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25" i="5"/>
  <c r="AB25"/>
  <c r="AA25"/>
  <c r="Y25"/>
  <c r="X25"/>
  <c r="W25"/>
  <c r="V25"/>
  <c r="T25"/>
  <c r="U25"/>
  <c r="S25"/>
  <c r="R25"/>
  <c r="H25"/>
  <c r="I25"/>
  <c r="J25"/>
  <c r="K25"/>
  <c r="L25"/>
  <c r="M25"/>
  <c r="N25"/>
  <c r="O25"/>
  <c r="P25"/>
  <c r="Q25"/>
  <c r="G25"/>
  <c r="F25"/>
  <c r="D25"/>
  <c r="E25"/>
  <c r="C25"/>
  <c r="P5" i="59" l="1"/>
  <c r="P6"/>
  <c r="P7"/>
  <c r="P4"/>
  <c r="E41" i="22" l="1"/>
  <c r="M59" i="18" l="1"/>
  <c r="D14" i="48" l="1"/>
  <c r="E25" i="14"/>
  <c r="E55" s="1"/>
  <c r="C25"/>
  <c r="D6" i="16"/>
  <c r="B14" i="48" l="1"/>
  <c r="Q14" s="1"/>
  <c r="R25" i="14"/>
  <c r="D5" i="17"/>
  <c r="B5"/>
  <c r="N18" i="18" l="1"/>
  <c r="L88" i="14" s="1"/>
  <c r="L18" i="59" s="1"/>
  <c r="M18" i="18"/>
  <c r="K88" i="14" s="1"/>
  <c r="K18" i="59" s="1"/>
  <c r="K89" i="14"/>
  <c r="K19" i="59" s="1"/>
  <c r="L89" i="14"/>
  <c r="L19" i="59" s="1"/>
  <c r="L87" i="14"/>
  <c r="L17" i="59" s="1"/>
  <c r="K87" i="14"/>
  <c r="K17" i="59" s="1"/>
  <c r="K77" i="14"/>
  <c r="K9" i="59" s="1"/>
  <c r="L77" i="14"/>
  <c r="L9" i="59" s="1"/>
  <c r="L76" i="14"/>
  <c r="K76"/>
  <c r="K8" i="59" s="1"/>
  <c r="K10" s="1"/>
  <c r="B75" i="14"/>
  <c r="B7" i="59" s="1"/>
  <c r="L78" i="14" l="1"/>
  <c r="L8" i="59"/>
  <c r="L10" s="1"/>
  <c r="K20"/>
  <c r="L20"/>
  <c r="K78" i="14"/>
  <c r="L90"/>
  <c r="K90"/>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8" i="14" l="1"/>
  <c r="P18"/>
  <c r="O18"/>
  <c r="M18"/>
  <c r="L18"/>
  <c r="K18"/>
  <c r="J18"/>
  <c r="G18"/>
  <c r="D18"/>
  <c r="P13" i="48"/>
  <c r="O13"/>
  <c r="N13"/>
  <c r="L13"/>
  <c r="K13"/>
  <c r="J13"/>
  <c r="I13"/>
  <c r="F13"/>
  <c r="C13"/>
  <c r="R90" i="14" l="1"/>
  <c r="R78"/>
  <c r="R44" l="1"/>
  <c r="Q54"/>
  <c r="Q56" s="1"/>
  <c r="P54"/>
  <c r="P56" s="1"/>
  <c r="L54"/>
  <c r="L56" s="1"/>
  <c r="J54"/>
  <c r="J56" s="1"/>
  <c r="I54"/>
  <c r="I56" s="1"/>
  <c r="H54"/>
  <c r="H56" s="1"/>
  <c r="Q24"/>
  <c r="Q26" s="1"/>
  <c r="P24"/>
  <c r="P26" s="1"/>
  <c r="N24"/>
  <c r="N26" s="1"/>
  <c r="L24"/>
  <c r="L26" s="1"/>
  <c r="J24"/>
  <c r="J26" s="1"/>
  <c r="I24"/>
  <c r="I26" s="1"/>
  <c r="H24"/>
  <c r="H26" s="1"/>
  <c r="B46" i="15" l="1"/>
  <c r="B69" i="13"/>
  <c r="B35" i="19" l="1"/>
  <c r="B26"/>
  <c r="B27" s="1"/>
  <c r="B6" i="13" l="1"/>
  <c r="B17" i="17" l="1"/>
  <c r="B34" l="1"/>
  <c r="B18" i="13" l="1"/>
  <c r="B19"/>
  <c r="B20"/>
  <c r="B21"/>
  <c r="B6" i="16" l="1"/>
  <c r="W92" i="18" l="1"/>
  <c r="V92"/>
  <c r="U92"/>
  <c r="T92"/>
  <c r="S92"/>
  <c r="R92"/>
  <c r="Q92"/>
  <c r="P92"/>
  <c r="O92"/>
  <c r="N92"/>
  <c r="M92"/>
  <c r="W91"/>
  <c r="V91"/>
  <c r="U91"/>
  <c r="T91"/>
  <c r="S91"/>
  <c r="R91"/>
  <c r="Q91"/>
  <c r="P91"/>
  <c r="O91"/>
  <c r="N91"/>
  <c r="M91"/>
  <c r="W90"/>
  <c r="V90"/>
  <c r="U90"/>
  <c r="T90"/>
  <c r="S90"/>
  <c r="R90"/>
  <c r="Q90"/>
  <c r="P90"/>
  <c r="O90"/>
  <c r="N90"/>
  <c r="M90"/>
  <c r="W89"/>
  <c r="H9" s="1"/>
  <c r="M77" i="14" s="1"/>
  <c r="M9" i="59" s="1"/>
  <c r="V89" i="18"/>
  <c r="U89"/>
  <c r="I9" s="1"/>
  <c r="I77" i="14" s="1"/>
  <c r="I9" i="59" s="1"/>
  <c r="T89" i="18"/>
  <c r="S89"/>
  <c r="E9" s="1"/>
  <c r="F77" i="14" s="1"/>
  <c r="F9" i="59" s="1"/>
  <c r="R89" i="18"/>
  <c r="Q89"/>
  <c r="P89"/>
  <c r="O89"/>
  <c r="N89"/>
  <c r="B9" s="1"/>
  <c r="M89"/>
  <c r="W61"/>
  <c r="V61"/>
  <c r="U61"/>
  <c r="T61"/>
  <c r="S61"/>
  <c r="R61"/>
  <c r="Q61"/>
  <c r="P61"/>
  <c r="D6" i="17" s="1"/>
  <c r="O61" i="18"/>
  <c r="C6" i="17" s="1"/>
  <c r="N61" i="18"/>
  <c r="M61"/>
  <c r="W60"/>
  <c r="V60"/>
  <c r="U60"/>
  <c r="T60"/>
  <c r="S60"/>
  <c r="R60"/>
  <c r="Q60"/>
  <c r="P60"/>
  <c r="O60"/>
  <c r="N60"/>
  <c r="M60"/>
  <c r="W59"/>
  <c r="V59"/>
  <c r="U59"/>
  <c r="T59"/>
  <c r="S59"/>
  <c r="R59"/>
  <c r="Q59"/>
  <c r="P59"/>
  <c r="D16" i="16" s="1"/>
  <c r="O59" i="18"/>
  <c r="N59"/>
  <c r="W58"/>
  <c r="V58"/>
  <c r="U58"/>
  <c r="T58"/>
  <c r="S58"/>
  <c r="R58"/>
  <c r="Q58"/>
  <c r="P58"/>
  <c r="O58"/>
  <c r="B17" s="1"/>
  <c r="N58"/>
  <c r="B8" s="1"/>
  <c r="M58"/>
  <c r="K22"/>
  <c r="J22"/>
  <c r="I22"/>
  <c r="H22"/>
  <c r="G22"/>
  <c r="F22"/>
  <c r="E22"/>
  <c r="D22"/>
  <c r="C22"/>
  <c r="L19"/>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c r="L18"/>
  <c r="O88" i="14" s="1"/>
  <c r="O18" i="59" s="1"/>
  <c r="K18" i="18"/>
  <c r="N88" i="14" s="1"/>
  <c r="N18" i="59" s="1"/>
  <c r="J18" i="18"/>
  <c r="J88" i="14" s="1"/>
  <c r="J18" i="59" s="1"/>
  <c r="I18" i="18"/>
  <c r="I88" i="14" s="1"/>
  <c r="I18" i="59" s="1"/>
  <c r="H18" i="18"/>
  <c r="M88" i="14" s="1"/>
  <c r="M18" i="59" s="1"/>
  <c r="G18" i="18"/>
  <c r="F18"/>
  <c r="G88" i="14" s="1"/>
  <c r="G18" i="59" s="1"/>
  <c r="E18" i="18"/>
  <c r="D18"/>
  <c r="E88" i="14" s="1"/>
  <c r="E18" i="59" s="1"/>
  <c r="C18" i="18"/>
  <c r="B18"/>
  <c r="K12"/>
  <c r="J12"/>
  <c r="I12"/>
  <c r="H12"/>
  <c r="G12"/>
  <c r="F12"/>
  <c r="E12"/>
  <c r="D12"/>
  <c r="C12"/>
  <c r="L9"/>
  <c r="K9"/>
  <c r="G9"/>
  <c r="G10" s="1"/>
  <c r="F9"/>
  <c r="F10" s="1"/>
  <c r="D9"/>
  <c r="D10" s="1"/>
  <c r="C9"/>
  <c r="D77" i="14" s="1"/>
  <c r="D9" i="59" s="1"/>
  <c r="B6" i="18"/>
  <c r="B5"/>
  <c r="B4"/>
  <c r="B72" i="14" s="1"/>
  <c r="B4" i="59"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8"/>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7" i="48" s="1"/>
  <c r="M10" i="13"/>
  <c r="L10"/>
  <c r="K10"/>
  <c r="K17" i="48" s="1"/>
  <c r="K32" s="1"/>
  <c r="J10" i="13"/>
  <c r="J17" i="48" s="1"/>
  <c r="I10" i="13"/>
  <c r="I17" i="48" s="1"/>
  <c r="I32" s="1"/>
  <c r="H10" i="13"/>
  <c r="H17" i="48" s="1"/>
  <c r="H32" s="1"/>
  <c r="G10" i="13"/>
  <c r="G17" i="48" s="1"/>
  <c r="G32" s="1"/>
  <c r="F10" i="13"/>
  <c r="F17" i="48" s="1"/>
  <c r="E10" i="13"/>
  <c r="E17" i="48" s="1"/>
  <c r="E32" s="1"/>
  <c r="D10" i="13"/>
  <c r="D17" i="48" s="1"/>
  <c r="D32" s="1"/>
  <c r="M8" i="13"/>
  <c r="N11" i="14" s="1"/>
  <c r="L8" i="13"/>
  <c r="M11" i="14" s="1"/>
  <c r="O5" i="13"/>
  <c r="O8" s="1"/>
  <c r="O4" i="48" s="1"/>
  <c r="D8" i="13"/>
  <c r="C5"/>
  <c r="C8" s="1"/>
  <c r="B5"/>
  <c r="B8" s="1"/>
  <c r="B5" i="9"/>
  <c r="B19" i="6"/>
  <c r="B18"/>
  <c r="C64" i="14"/>
  <c r="B5" i="6"/>
  <c r="C29"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P17" i="48"/>
  <c r="P32" s="1"/>
  <c r="O17"/>
  <c r="O32" s="1"/>
  <c r="M11"/>
  <c r="H11"/>
  <c r="G11"/>
  <c r="P9"/>
  <c r="O9"/>
  <c r="N9"/>
  <c r="L9"/>
  <c r="K9"/>
  <c r="J9"/>
  <c r="I9"/>
  <c r="F9"/>
  <c r="C9"/>
  <c r="M8"/>
  <c r="K8"/>
  <c r="I8"/>
  <c r="H8"/>
  <c r="G8"/>
  <c r="P7"/>
  <c r="O7"/>
  <c r="M7"/>
  <c r="K7"/>
  <c r="I7"/>
  <c r="H7"/>
  <c r="G7"/>
  <c r="K4"/>
  <c r="I4"/>
  <c r="H4"/>
  <c r="G4"/>
  <c r="O87" i="14"/>
  <c r="O17" i="59" s="1"/>
  <c r="N87" i="14"/>
  <c r="N17" i="59" s="1"/>
  <c r="H87" i="14"/>
  <c r="H17" i="59" s="1"/>
  <c r="G87" i="14"/>
  <c r="G17" i="59" s="1"/>
  <c r="E87" i="14"/>
  <c r="E17" i="59" s="1"/>
  <c r="O76" i="14"/>
  <c r="O8" i="59" s="1"/>
  <c r="N76" i="14"/>
  <c r="N8" i="59" s="1"/>
  <c r="H76" i="14"/>
  <c r="H8" i="59" s="1"/>
  <c r="G76" i="14"/>
  <c r="G8" i="59" s="1"/>
  <c r="E76" i="14"/>
  <c r="E8" i="59" s="1"/>
  <c r="Q50" i="14"/>
  <c r="P50"/>
  <c r="O50"/>
  <c r="M50"/>
  <c r="L50"/>
  <c r="K50"/>
  <c r="J50"/>
  <c r="G50"/>
  <c r="D50"/>
  <c r="Q48"/>
  <c r="P48"/>
  <c r="O48"/>
  <c r="M48"/>
  <c r="L48"/>
  <c r="K48"/>
  <c r="J48"/>
  <c r="G48"/>
  <c r="D48"/>
  <c r="L43"/>
  <c r="J43"/>
  <c r="I43"/>
  <c r="H43"/>
  <c r="L41"/>
  <c r="J41"/>
  <c r="I41"/>
  <c r="H41"/>
  <c r="I39"/>
  <c r="H39"/>
  <c r="Q20"/>
  <c r="P20"/>
  <c r="O20"/>
  <c r="M20"/>
  <c r="L20"/>
  <c r="K20"/>
  <c r="J20"/>
  <c r="G20"/>
  <c r="D20"/>
  <c r="N13"/>
  <c r="L13"/>
  <c r="J13"/>
  <c r="I13"/>
  <c r="H13"/>
  <c r="L11"/>
  <c r="J11"/>
  <c r="I11"/>
  <c r="H11"/>
  <c r="N9"/>
  <c r="I9"/>
  <c r="H9"/>
  <c r="A7" i="31"/>
  <c r="A6"/>
  <c r="J30" i="48" l="1"/>
  <c r="J32"/>
  <c r="F30"/>
  <c r="F32"/>
  <c r="N30"/>
  <c r="N32"/>
  <c r="O20" i="59"/>
  <c r="N20"/>
  <c r="F16" i="16"/>
  <c r="G20" i="59"/>
  <c r="C13" i="15"/>
  <c r="L6" i="17"/>
  <c r="L5" s="1"/>
  <c r="E20" i="59"/>
  <c r="B13" i="15"/>
  <c r="F6" i="17"/>
  <c r="D89" i="14"/>
  <c r="D19" i="59" s="1"/>
  <c r="O19" i="18"/>
  <c r="K10"/>
  <c r="N77" i="14"/>
  <c r="L10" i="18"/>
  <c r="O77" i="14"/>
  <c r="C89"/>
  <c r="C19" i="59" s="1"/>
  <c r="B89" i="14"/>
  <c r="B19" i="59" s="1"/>
  <c r="H16" i="14"/>
  <c r="B8" i="9"/>
  <c r="C16" i="15"/>
  <c r="L16" i="16"/>
  <c r="L18" s="1"/>
  <c r="M13" i="14" s="1"/>
  <c r="I14" i="15"/>
  <c r="I16" s="1"/>
  <c r="J10" i="14" s="1"/>
  <c r="B13" i="16"/>
  <c r="C35"/>
  <c r="D8" i="17"/>
  <c r="D12" s="1"/>
  <c r="E54" i="14" s="1"/>
  <c r="E9"/>
  <c r="D14" i="15"/>
  <c r="P18" i="16"/>
  <c r="P22" s="1"/>
  <c r="Q43" i="14" s="1"/>
  <c r="N6" i="17"/>
  <c r="N5" s="1"/>
  <c r="J8"/>
  <c r="J12" s="1"/>
  <c r="K54" i="14" s="1"/>
  <c r="K56" s="1"/>
  <c r="N16" i="16"/>
  <c r="F8" i="17"/>
  <c r="G24" i="14" s="1"/>
  <c r="G26" s="1"/>
  <c r="N13" i="15"/>
  <c r="L13"/>
  <c r="L16" s="1"/>
  <c r="F13"/>
  <c r="D13"/>
  <c r="B67" i="22"/>
  <c r="M11"/>
  <c r="G10"/>
  <c r="M9"/>
  <c r="G8"/>
  <c r="M7"/>
  <c r="G6"/>
  <c r="G11"/>
  <c r="M8"/>
  <c r="G7"/>
  <c r="M10"/>
  <c r="G9"/>
  <c r="M6"/>
  <c r="B12" i="48"/>
  <c r="Q12" s="1"/>
  <c r="O9" i="14"/>
  <c r="B7" i="15"/>
  <c r="O5" i="16"/>
  <c r="B38" i="13"/>
  <c r="B50" s="1"/>
  <c r="B11" i="15"/>
  <c r="B11" i="16"/>
  <c r="J9" i="14"/>
  <c r="B98" i="18"/>
  <c r="B102" s="1"/>
  <c r="B16" i="16"/>
  <c r="K9" i="14"/>
  <c r="H77"/>
  <c r="J11" i="48"/>
  <c r="J29" s="1"/>
  <c r="M9" i="14"/>
  <c r="L11" i="48"/>
  <c r="O19" i="14"/>
  <c r="O22" s="1"/>
  <c r="N10" i="48"/>
  <c r="N28" s="1"/>
  <c r="J19" i="14"/>
  <c r="J22" s="1"/>
  <c r="I10" i="48"/>
  <c r="I28" s="1"/>
  <c r="J19" i="19"/>
  <c r="K39" i="14" s="1"/>
  <c r="N19" i="19"/>
  <c r="O39" i="14" s="1"/>
  <c r="C98" i="18"/>
  <c r="I101" s="1"/>
  <c r="H8" s="1"/>
  <c r="M76" i="14" s="1"/>
  <c r="M8" i="59" s="1"/>
  <c r="M10" s="1"/>
  <c r="J9" i="18"/>
  <c r="J77" i="14" s="1"/>
  <c r="J9" i="59" s="1"/>
  <c r="C16" i="16"/>
  <c r="C18" s="1"/>
  <c r="C8" i="48" s="1"/>
  <c r="C12" i="14"/>
  <c r="R12" s="1"/>
  <c r="I11" i="48"/>
  <c r="I29" s="1"/>
  <c r="N11"/>
  <c r="N29" s="1"/>
  <c r="L10" i="14"/>
  <c r="K5" i="48"/>
  <c r="K23" s="1"/>
  <c r="C18" i="14"/>
  <c r="B13" i="48"/>
  <c r="E18" i="14"/>
  <c r="D13" i="48"/>
  <c r="D31" s="1"/>
  <c r="D31" i="20"/>
  <c r="E48" i="14" s="1"/>
  <c r="E19"/>
  <c r="D10" i="48"/>
  <c r="D28" s="1"/>
  <c r="Q89" i="14"/>
  <c r="P19" i="59" s="1"/>
  <c r="L4" i="48"/>
  <c r="G20" i="18"/>
  <c r="K20"/>
  <c r="G9" i="14"/>
  <c r="M4" i="48"/>
  <c r="F11"/>
  <c r="F29" s="1"/>
  <c r="K19" i="19"/>
  <c r="L39" i="14" s="1"/>
  <c r="I19" i="19"/>
  <c r="J39" i="14" s="1"/>
  <c r="E31" i="20"/>
  <c r="F48" i="14" s="1"/>
  <c r="B6" i="48"/>
  <c r="Q6" s="1"/>
  <c r="L12" i="13"/>
  <c r="M41" i="14" s="1"/>
  <c r="E8" i="16"/>
  <c r="F18" i="14"/>
  <c r="E13" i="48"/>
  <c r="E31" s="1"/>
  <c r="K20" i="15"/>
  <c r="L40" i="14" s="1"/>
  <c r="L9"/>
  <c r="K11" i="48"/>
  <c r="K29" s="1"/>
  <c r="D11"/>
  <c r="D29" s="1"/>
  <c r="F19" i="19"/>
  <c r="G39" i="14" s="1"/>
  <c r="L19" i="19"/>
  <c r="M39" i="14" s="1"/>
  <c r="M12" i="13"/>
  <c r="N41" i="14" s="1"/>
  <c r="C78" i="22"/>
  <c r="M51" s="1"/>
  <c r="M27" i="20"/>
  <c r="M12" i="22" s="1"/>
  <c r="H27" i="20"/>
  <c r="J7" i="15"/>
  <c r="J11"/>
  <c r="N7"/>
  <c r="N11"/>
  <c r="E7"/>
  <c r="F11"/>
  <c r="C10" i="48"/>
  <c r="D19" i="14"/>
  <c r="D22" s="1"/>
  <c r="H10" i="48"/>
  <c r="H28" s="1"/>
  <c r="I19" i="14"/>
  <c r="L10" i="48"/>
  <c r="M19" i="14"/>
  <c r="M22" s="1"/>
  <c r="L58" i="22"/>
  <c r="M49" i="14" s="1"/>
  <c r="M52" s="1"/>
  <c r="E10" i="48"/>
  <c r="E28" s="1"/>
  <c r="E58" i="22"/>
  <c r="F49" i="14" s="1"/>
  <c r="F19"/>
  <c r="J58" i="22"/>
  <c r="K49" i="14" s="1"/>
  <c r="K52" s="1"/>
  <c r="K19"/>
  <c r="K22" s="1"/>
  <c r="J10" i="48"/>
  <c r="J28" s="1"/>
  <c r="O58" i="22"/>
  <c r="P49" i="14" s="1"/>
  <c r="P52" s="1"/>
  <c r="O10" i="48"/>
  <c r="O28" s="1"/>
  <c r="P19" i="14"/>
  <c r="P22" s="1"/>
  <c r="G19"/>
  <c r="G22" s="1"/>
  <c r="F10" i="48"/>
  <c r="F28" s="1"/>
  <c r="L19" i="14"/>
  <c r="L22" s="1"/>
  <c r="K58" i="22"/>
  <c r="L49" i="14" s="1"/>
  <c r="L52" s="1"/>
  <c r="K10" i="48"/>
  <c r="K28" s="1"/>
  <c r="Q19" i="14"/>
  <c r="Q22" s="1"/>
  <c r="P58" i="22"/>
  <c r="Q49" i="14" s="1"/>
  <c r="Q52" s="1"/>
  <c r="P10" i="48"/>
  <c r="P28" s="1"/>
  <c r="I58" i="22"/>
  <c r="J49" i="14" s="1"/>
  <c r="J52" s="1"/>
  <c r="N58" i="22"/>
  <c r="O49" i="14" s="1"/>
  <c r="O52" s="1"/>
  <c r="F58" i="22"/>
  <c r="G49" i="14" s="1"/>
  <c r="G52" s="1"/>
  <c r="G27" i="20"/>
  <c r="D58" i="22"/>
  <c r="E49" i="14" s="1"/>
  <c r="H58" i="22"/>
  <c r="I49" i="14" s="1"/>
  <c r="Q9"/>
  <c r="G5" i="48"/>
  <c r="G23" s="1"/>
  <c r="E12" i="15"/>
  <c r="O5"/>
  <c r="O16" s="1"/>
  <c r="M20"/>
  <c r="N40" i="14" s="1"/>
  <c r="N46" s="1"/>
  <c r="N10"/>
  <c r="N16" s="1"/>
  <c r="G20" i="15"/>
  <c r="H40" i="14" s="1"/>
  <c r="H46" s="1"/>
  <c r="H20" i="15"/>
  <c r="I40" i="14" s="1"/>
  <c r="I46" s="1"/>
  <c r="I10"/>
  <c r="I16" s="1"/>
  <c r="B74"/>
  <c r="B6" i="59" s="1"/>
  <c r="F8" i="16"/>
  <c r="J9"/>
  <c r="B7" i="48"/>
  <c r="C24" i="14"/>
  <c r="C26" s="1"/>
  <c r="B73"/>
  <c r="B5" i="59" s="1"/>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9" s="1"/>
  <c r="F9" i="14"/>
  <c r="D9"/>
  <c r="E19" i="19"/>
  <c r="F39" i="14" s="1"/>
  <c r="C11" i="48"/>
  <c r="D19" i="19"/>
  <c r="E39" i="14" s="1"/>
  <c r="C9"/>
  <c r="B11" i="48"/>
  <c r="E5" i="22"/>
  <c r="E14" s="1"/>
  <c r="D5"/>
  <c r="D14" s="1"/>
  <c r="B5"/>
  <c r="B14" s="1"/>
  <c r="P11" i="48"/>
  <c r="P29" s="1"/>
  <c r="I5"/>
  <c r="I23" s="1"/>
  <c r="H5"/>
  <c r="O11"/>
  <c r="P9" i="14"/>
  <c r="M5" i="48"/>
  <c r="G29"/>
  <c r="C11" i="14"/>
  <c r="B4" i="48"/>
  <c r="E30"/>
  <c r="I31"/>
  <c r="I27"/>
  <c r="I30"/>
  <c r="K27"/>
  <c r="O30"/>
  <c r="K22"/>
  <c r="G22"/>
  <c r="M17"/>
  <c r="K30"/>
  <c r="B39" i="13"/>
  <c r="B51" s="1"/>
  <c r="F5" s="1"/>
  <c r="F8" s="1"/>
  <c r="G11" i="14" s="1"/>
  <c r="I22" i="48"/>
  <c r="G30"/>
  <c r="O22"/>
  <c r="H25"/>
  <c r="L17"/>
  <c r="L32" s="1"/>
  <c r="H22"/>
  <c r="K25"/>
  <c r="K26"/>
  <c r="Q11" i="14"/>
  <c r="P12" i="13"/>
  <c r="Q41" i="14" s="1"/>
  <c r="P4" i="48"/>
  <c r="D12" i="13"/>
  <c r="E41" i="14" s="1"/>
  <c r="D4" i="48"/>
  <c r="D22" s="1"/>
  <c r="E11" i="14"/>
  <c r="F24" i="48"/>
  <c r="J24"/>
  <c r="N24"/>
  <c r="N27"/>
  <c r="H29"/>
  <c r="F31"/>
  <c r="J31"/>
  <c r="N31"/>
  <c r="G24"/>
  <c r="K24"/>
  <c r="O24"/>
  <c r="G26"/>
  <c r="F27"/>
  <c r="J27"/>
  <c r="O27"/>
  <c r="D30"/>
  <c r="H30"/>
  <c r="P30"/>
  <c r="K31"/>
  <c r="O31"/>
  <c r="C22" i="13"/>
  <c r="C21"/>
  <c r="C20"/>
  <c r="D24" i="48"/>
  <c r="H24"/>
  <c r="P24"/>
  <c r="H26"/>
  <c r="P27"/>
  <c r="P31"/>
  <c r="E24"/>
  <c r="I24"/>
  <c r="O25"/>
  <c r="I26"/>
  <c r="P11" i="14"/>
  <c r="O12" i="13"/>
  <c r="P41" i="14" s="1"/>
  <c r="B10" i="48"/>
  <c r="C19" i="14"/>
  <c r="P25" i="48"/>
  <c r="E5" i="17"/>
  <c r="C8"/>
  <c r="G25" i="48"/>
  <c r="I25"/>
  <c r="G90" i="14"/>
  <c r="D88"/>
  <c r="D18" i="59" s="1"/>
  <c r="H88" i="14"/>
  <c r="N90"/>
  <c r="F88"/>
  <c r="F18" i="59" s="1"/>
  <c r="E77" i="14"/>
  <c r="D20" i="18"/>
  <c r="L20"/>
  <c r="G77" i="14"/>
  <c r="E90"/>
  <c r="O90"/>
  <c r="F20" i="18"/>
  <c r="D11" i="14"/>
  <c r="C4" i="48"/>
  <c r="O18" i="18"/>
  <c r="H78" i="14" l="1"/>
  <c r="H9" i="59"/>
  <c r="H10" s="1"/>
  <c r="N78" i="14"/>
  <c r="N9" i="59"/>
  <c r="N10" s="1"/>
  <c r="M24" i="48"/>
  <c r="M32"/>
  <c r="E78" i="14"/>
  <c r="E9" i="59"/>
  <c r="E10" s="1"/>
  <c r="O78" i="14"/>
  <c r="O9" i="59"/>
  <c r="O10" s="1"/>
  <c r="G78" i="14"/>
  <c r="G9" i="59"/>
  <c r="G10" s="1"/>
  <c r="H90" i="14"/>
  <c r="H18" i="59"/>
  <c r="H20" s="1"/>
  <c r="K15" i="48"/>
  <c r="I33"/>
  <c r="J16" i="14"/>
  <c r="J27" s="1"/>
  <c r="I20" i="15"/>
  <c r="J40" i="14" s="1"/>
  <c r="J46" s="1"/>
  <c r="J61" s="1"/>
  <c r="I15" i="48"/>
  <c r="J7"/>
  <c r="J25" s="1"/>
  <c r="K33"/>
  <c r="P22"/>
  <c r="L8"/>
  <c r="L22" i="16"/>
  <c r="M43" i="14" s="1"/>
  <c r="C17" i="18"/>
  <c r="C20" s="1"/>
  <c r="D10" i="14"/>
  <c r="B88"/>
  <c r="B18" i="59" s="1"/>
  <c r="C88" i="14"/>
  <c r="C18" i="59" s="1"/>
  <c r="B77" i="14"/>
  <c r="B9" i="59" s="1"/>
  <c r="C77" i="14"/>
  <c r="C9" i="59" s="1"/>
  <c r="L46" i="14"/>
  <c r="L61" s="1"/>
  <c r="L16"/>
  <c r="L27" s="1"/>
  <c r="B35" i="13"/>
  <c r="P8" i="48"/>
  <c r="P26" s="1"/>
  <c r="D18" i="16"/>
  <c r="D22" s="1"/>
  <c r="E43" i="14" s="1"/>
  <c r="G31" i="20"/>
  <c r="H48" i="14" s="1"/>
  <c r="G12" i="22"/>
  <c r="D16" i="15"/>
  <c r="K24" i="14"/>
  <c r="K26" s="1"/>
  <c r="E8" i="17"/>
  <c r="F24" i="14" s="1"/>
  <c r="F26" s="1"/>
  <c r="O18" i="16"/>
  <c r="O22" s="1"/>
  <c r="P43" i="14" s="1"/>
  <c r="B36" i="13"/>
  <c r="B48" s="1"/>
  <c r="C48" s="1"/>
  <c r="N5" s="1"/>
  <c r="N8" s="1"/>
  <c r="N4" i="48" s="1"/>
  <c r="N22" s="1"/>
  <c r="H13"/>
  <c r="H31" s="1"/>
  <c r="H12" i="22"/>
  <c r="B34" i="13"/>
  <c r="N8" i="17"/>
  <c r="N12" s="1"/>
  <c r="O54" i="14" s="1"/>
  <c r="O56" s="1"/>
  <c r="L8" i="17"/>
  <c r="L12" s="1"/>
  <c r="M54" i="14" s="1"/>
  <c r="M56" s="1"/>
  <c r="M50" i="22"/>
  <c r="M54" s="1"/>
  <c r="M10" i="48" s="1"/>
  <c r="G51" i="22"/>
  <c r="G50" s="1"/>
  <c r="G54" s="1"/>
  <c r="H19" i="14" s="1"/>
  <c r="E24"/>
  <c r="E26" s="1"/>
  <c r="B9" i="48"/>
  <c r="E101" i="18"/>
  <c r="E8" s="1"/>
  <c r="F76" i="14" s="1"/>
  <c r="F7" i="48"/>
  <c r="F25" s="1"/>
  <c r="D101" i="18"/>
  <c r="O9"/>
  <c r="M29" i="48"/>
  <c r="F12" i="17"/>
  <c r="G54" i="14" s="1"/>
  <c r="G56" s="1"/>
  <c r="C102" i="18"/>
  <c r="C101"/>
  <c r="B10"/>
  <c r="E102"/>
  <c r="E17" s="1"/>
  <c r="F87" i="14" s="1"/>
  <c r="G102" i="18"/>
  <c r="D7" i="48"/>
  <c r="D25" s="1"/>
  <c r="H101" i="18"/>
  <c r="G101"/>
  <c r="D102"/>
  <c r="L28" i="48"/>
  <c r="H102" i="18"/>
  <c r="I102"/>
  <c r="H17" s="1"/>
  <c r="F102"/>
  <c r="F101"/>
  <c r="H10"/>
  <c r="M78" i="14"/>
  <c r="B101" i="18"/>
  <c r="L31" i="48"/>
  <c r="L24"/>
  <c r="L22"/>
  <c r="M23"/>
  <c r="M22"/>
  <c r="I18" i="14"/>
  <c r="Q88"/>
  <c r="P18" i="59" s="1"/>
  <c r="L26" i="48"/>
  <c r="D9"/>
  <c r="D27" s="1"/>
  <c r="D13" i="14"/>
  <c r="F20"/>
  <c r="F22" s="1"/>
  <c r="Q77"/>
  <c r="P9" i="59" s="1"/>
  <c r="L30" i="48"/>
  <c r="B20" i="18"/>
  <c r="C7" i="48"/>
  <c r="D24" i="14"/>
  <c r="D26" s="1"/>
  <c r="L29" i="48"/>
  <c r="M31" i="20"/>
  <c r="N48" i="14" s="1"/>
  <c r="N18"/>
  <c r="M13" i="48"/>
  <c r="M31" s="1"/>
  <c r="H31" i="20"/>
  <c r="I48" i="14" s="1"/>
  <c r="G13" i="48"/>
  <c r="G31" s="1"/>
  <c r="H18" i="14"/>
  <c r="M5" i="22"/>
  <c r="M14" s="1"/>
  <c r="G5"/>
  <c r="G14" s="1"/>
  <c r="H5"/>
  <c r="H14" s="1"/>
  <c r="E5" i="15"/>
  <c r="O20"/>
  <c r="P40" i="14" s="1"/>
  <c r="P10"/>
  <c r="P20" i="15"/>
  <c r="Q40" i="14" s="1"/>
  <c r="Q46" s="1"/>
  <c r="Q61" s="1"/>
  <c r="Q10"/>
  <c r="Q16" s="1"/>
  <c r="Q27" s="1"/>
  <c r="J5" i="15"/>
  <c r="F4" i="48"/>
  <c r="F22" s="1"/>
  <c r="F5" i="15"/>
  <c r="F16" s="1"/>
  <c r="B5"/>
  <c r="B16" s="1"/>
  <c r="B5" i="16"/>
  <c r="B18" s="1"/>
  <c r="C13" i="14" s="1"/>
  <c r="N5" i="15"/>
  <c r="N16" s="1"/>
  <c r="F12" i="13"/>
  <c r="G41" i="14" s="1"/>
  <c r="P5" i="48"/>
  <c r="P23" s="1"/>
  <c r="F13" i="16"/>
  <c r="E13"/>
  <c r="N13"/>
  <c r="J13"/>
  <c r="B47" i="13"/>
  <c r="N12" i="16"/>
  <c r="J12"/>
  <c r="F12"/>
  <c r="E12"/>
  <c r="Q11" i="48"/>
  <c r="O5"/>
  <c r="R9" i="14"/>
  <c r="O29" i="48"/>
  <c r="H23"/>
  <c r="B46" i="13"/>
  <c r="E5" s="1"/>
  <c r="E8" s="1"/>
  <c r="E12" s="1"/>
  <c r="F41" i="14" s="1"/>
  <c r="L27" i="48"/>
  <c r="M30"/>
  <c r="M26"/>
  <c r="M25"/>
  <c r="C50" i="13"/>
  <c r="J5" s="1"/>
  <c r="J8" s="1"/>
  <c r="C5" i="48"/>
  <c r="F78" i="14" l="1"/>
  <c r="F8" i="59"/>
  <c r="F10" s="1"/>
  <c r="F90" i="14"/>
  <c r="F17" i="59"/>
  <c r="F20" s="1"/>
  <c r="E13" i="14"/>
  <c r="P15" i="48"/>
  <c r="P33"/>
  <c r="O8"/>
  <c r="O26" s="1"/>
  <c r="P13" i="14"/>
  <c r="P16" s="1"/>
  <c r="P27" s="1"/>
  <c r="E12" i="17"/>
  <c r="F54" i="14" s="1"/>
  <c r="F56" s="1"/>
  <c r="E7" i="48"/>
  <c r="E25" s="1"/>
  <c r="M28"/>
  <c r="C15"/>
  <c r="I8" i="18"/>
  <c r="C8"/>
  <c r="D76" i="14" s="1"/>
  <c r="D8" i="59" s="1"/>
  <c r="D10" s="1"/>
  <c r="D87" i="14"/>
  <c r="D16"/>
  <c r="D27" s="1"/>
  <c r="D20" i="15"/>
  <c r="P46" i="14"/>
  <c r="P61" s="1"/>
  <c r="N7" i="48"/>
  <c r="N25" s="1"/>
  <c r="J16" i="15"/>
  <c r="K10" i="14" s="1"/>
  <c r="E16" i="15"/>
  <c r="F10" i="14" s="1"/>
  <c r="D8" i="48"/>
  <c r="D26" s="1"/>
  <c r="O24" i="14"/>
  <c r="O26" s="1"/>
  <c r="L7" i="48"/>
  <c r="L25" s="1"/>
  <c r="M24" i="14"/>
  <c r="M26" s="1"/>
  <c r="M58" i="22"/>
  <c r="N49" i="14" s="1"/>
  <c r="N19"/>
  <c r="R19" s="1"/>
  <c r="D18" i="22"/>
  <c r="E50" i="14" s="1"/>
  <c r="E52" s="1"/>
  <c r="C20"/>
  <c r="C22" s="1"/>
  <c r="J8" i="18"/>
  <c r="J76" i="14" s="1"/>
  <c r="E10" i="18"/>
  <c r="J17"/>
  <c r="C10"/>
  <c r="I17"/>
  <c r="I87" i="14" s="1"/>
  <c r="E20" i="18"/>
  <c r="M87" i="14"/>
  <c r="M17" i="59" s="1"/>
  <c r="M20" s="1"/>
  <c r="H20" i="18"/>
  <c r="E20" i="14"/>
  <c r="E22" s="1"/>
  <c r="E18" i="22"/>
  <c r="F50" i="14" s="1"/>
  <c r="F52" s="1"/>
  <c r="E9" i="48"/>
  <c r="E10" i="14"/>
  <c r="E16" s="1"/>
  <c r="E27" s="1"/>
  <c r="D5" i="48"/>
  <c r="D15" s="1"/>
  <c r="I76" i="14"/>
  <c r="I8" i="59" s="1"/>
  <c r="I10" s="1"/>
  <c r="I10" i="18"/>
  <c r="G58" i="22"/>
  <c r="H49" i="14" s="1"/>
  <c r="G10" i="48"/>
  <c r="G9"/>
  <c r="R18" i="14"/>
  <c r="Q13" i="48"/>
  <c r="I20" i="14"/>
  <c r="I22" s="1"/>
  <c r="I27" s="1"/>
  <c r="M18" i="22"/>
  <c r="N50" i="14" s="1"/>
  <c r="M9" i="48"/>
  <c r="M15" s="1"/>
  <c r="N20" i="14"/>
  <c r="B8" i="48"/>
  <c r="J20" i="15"/>
  <c r="K40" i="14" s="1"/>
  <c r="J63"/>
  <c r="L63"/>
  <c r="N20" i="15"/>
  <c r="O10" i="14"/>
  <c r="L5" i="48"/>
  <c r="M10" i="14"/>
  <c r="M16" s="1"/>
  <c r="F20" i="15"/>
  <c r="G10" i="14"/>
  <c r="C10"/>
  <c r="B5" i="48"/>
  <c r="B15" s="1"/>
  <c r="Q63" i="14"/>
  <c r="N5" i="16"/>
  <c r="F5" i="48"/>
  <c r="E5" i="16"/>
  <c r="J5"/>
  <c r="C35" i="13"/>
  <c r="F5" i="16"/>
  <c r="C36" i="13"/>
  <c r="O23" i="48"/>
  <c r="O33" s="1"/>
  <c r="N12" i="13"/>
  <c r="O41" i="14" s="1"/>
  <c r="O11"/>
  <c r="C38" i="13"/>
  <c r="C39"/>
  <c r="C32"/>
  <c r="C34"/>
  <c r="E4" i="48"/>
  <c r="E22" s="1"/>
  <c r="F11" i="14"/>
  <c r="J4" i="48"/>
  <c r="J12" i="13"/>
  <c r="K41" i="14" s="1"/>
  <c r="K11"/>
  <c r="N5" i="48"/>
  <c r="L20" i="15"/>
  <c r="I90" i="14" l="1"/>
  <c r="I17" i="59"/>
  <c r="I20" s="1"/>
  <c r="J78" i="14"/>
  <c r="J8" i="59"/>
  <c r="J10" s="1"/>
  <c r="D90" i="14"/>
  <c r="D17" i="59"/>
  <c r="D20" s="1"/>
  <c r="J5" i="48"/>
  <c r="J23" s="1"/>
  <c r="O15"/>
  <c r="E27"/>
  <c r="G15"/>
  <c r="O17" i="18"/>
  <c r="O20" s="1"/>
  <c r="Q76" i="14"/>
  <c r="P8" i="59" s="1"/>
  <c r="P10" s="1"/>
  <c r="D78" i="14"/>
  <c r="B76"/>
  <c r="B8" i="59" s="1"/>
  <c r="B10" s="1"/>
  <c r="F23" i="48"/>
  <c r="L23"/>
  <c r="L33" s="1"/>
  <c r="L15"/>
  <c r="B20" i="6"/>
  <c r="B22" s="1"/>
  <c r="E40" i="14"/>
  <c r="E46" s="1"/>
  <c r="G40"/>
  <c r="O40"/>
  <c r="D23" i="48"/>
  <c r="D33" s="1"/>
  <c r="P63" i="14"/>
  <c r="M27"/>
  <c r="N52"/>
  <c r="N61" s="1"/>
  <c r="C76"/>
  <c r="C8" i="59" s="1"/>
  <c r="C10" s="1"/>
  <c r="C16" i="14"/>
  <c r="C27" s="1"/>
  <c r="N22"/>
  <c r="N27" s="1"/>
  <c r="E5" i="48"/>
  <c r="E23" s="1"/>
  <c r="N18" i="16"/>
  <c r="N8" i="48" s="1"/>
  <c r="N15" s="1"/>
  <c r="E20" i="15"/>
  <c r="F40" i="14" s="1"/>
  <c r="F18" i="16"/>
  <c r="G13" i="14" s="1"/>
  <c r="G16" s="1"/>
  <c r="G27" s="1"/>
  <c r="J18" i="16"/>
  <c r="K13" i="14" s="1"/>
  <c r="K16" s="1"/>
  <c r="K27" s="1"/>
  <c r="J10" i="18"/>
  <c r="O8"/>
  <c r="O10" s="1"/>
  <c r="E18" i="16"/>
  <c r="E22" s="1"/>
  <c r="F43" i="14" s="1"/>
  <c r="R24"/>
  <c r="R26" s="1"/>
  <c r="Q7" i="48"/>
  <c r="G18" i="22"/>
  <c r="H50" i="14" s="1"/>
  <c r="H52" s="1"/>
  <c r="H61" s="1"/>
  <c r="I20" i="18"/>
  <c r="J20"/>
  <c r="J87" i="14"/>
  <c r="M90"/>
  <c r="Q87"/>
  <c r="I78"/>
  <c r="H20"/>
  <c r="H22" s="1"/>
  <c r="H27" s="1"/>
  <c r="H18" i="22"/>
  <c r="I50" i="14" s="1"/>
  <c r="G28" i="48"/>
  <c r="Q10"/>
  <c r="H9"/>
  <c r="M27"/>
  <c r="M33" s="1"/>
  <c r="G27"/>
  <c r="M40" i="14"/>
  <c r="Q4" i="48"/>
  <c r="N23"/>
  <c r="R11" i="14"/>
  <c r="J22" i="48"/>
  <c r="R10" i="14"/>
  <c r="J90" l="1"/>
  <c r="J17" i="59"/>
  <c r="J20" s="1"/>
  <c r="Q90" i="14"/>
  <c r="B17" i="6" s="1"/>
  <c r="P17" i="59"/>
  <c r="P20" s="1"/>
  <c r="Q5" i="48"/>
  <c r="C18" i="15"/>
  <c r="C20" s="1"/>
  <c r="D40" i="14" s="1"/>
  <c r="C22" i="59"/>
  <c r="G33" i="48"/>
  <c r="Q9"/>
  <c r="H15"/>
  <c r="F22" i="16"/>
  <c r="G43" i="14" s="1"/>
  <c r="G46" s="1"/>
  <c r="G61" s="1"/>
  <c r="G63" s="1"/>
  <c r="Q78" s="1"/>
  <c r="B9" i="6" s="1"/>
  <c r="F8" i="48"/>
  <c r="F15" s="1"/>
  <c r="O13" i="14"/>
  <c r="O16" s="1"/>
  <c r="O27" s="1"/>
  <c r="C10" i="13"/>
  <c r="C12" s="1"/>
  <c r="C29" i="20"/>
  <c r="C17" i="19"/>
  <c r="C19" s="1"/>
  <c r="D39" i="14" s="1"/>
  <c r="C16" i="22"/>
  <c r="C56"/>
  <c r="C58" s="1"/>
  <c r="D49" i="14" s="1"/>
  <c r="D52" s="1"/>
  <c r="C20" i="16"/>
  <c r="C22" s="1"/>
  <c r="D43" i="14" s="1"/>
  <c r="C10" i="17"/>
  <c r="C12" s="1"/>
  <c r="D54" i="14" s="1"/>
  <c r="D56" s="1"/>
  <c r="C17" i="49"/>
  <c r="C87" i="14"/>
  <c r="B87"/>
  <c r="I52"/>
  <c r="I61" s="1"/>
  <c r="I63" s="1"/>
  <c r="F46"/>
  <c r="F61" s="1"/>
  <c r="M46"/>
  <c r="M61" s="1"/>
  <c r="M63" s="1"/>
  <c r="B3" i="6"/>
  <c r="N22" i="16"/>
  <c r="O43" i="14" s="1"/>
  <c r="E8" i="48"/>
  <c r="E26" s="1"/>
  <c r="E33" s="1"/>
  <c r="F13" i="14"/>
  <c r="J22" i="16"/>
  <c r="K43" i="14" s="1"/>
  <c r="J8" i="48"/>
  <c r="N26"/>
  <c r="N33" s="1"/>
  <c r="N63" i="14"/>
  <c r="H63"/>
  <c r="R20"/>
  <c r="R22" s="1"/>
  <c r="H27" i="48"/>
  <c r="H33" s="1"/>
  <c r="C90" i="14" l="1"/>
  <c r="C17" i="59"/>
  <c r="C20" s="1"/>
  <c r="B90" i="14"/>
  <c r="B17" i="59"/>
  <c r="B20" s="1"/>
  <c r="F26" i="48"/>
  <c r="F33" s="1"/>
  <c r="J26"/>
  <c r="J33" s="1"/>
  <c r="J15"/>
  <c r="E15"/>
  <c r="C17"/>
  <c r="C24" s="1"/>
  <c r="D41" i="14"/>
  <c r="D46" s="1"/>
  <c r="D61" s="1"/>
  <c r="D63" s="1"/>
  <c r="O46"/>
  <c r="O61" s="1"/>
  <c r="O63" s="1"/>
  <c r="K46"/>
  <c r="K61" s="1"/>
  <c r="K63" s="1"/>
  <c r="F16"/>
  <c r="R13"/>
  <c r="R16" s="1"/>
  <c r="R27" s="1"/>
  <c r="Q8" i="48"/>
  <c r="Q15" s="1"/>
  <c r="C28" l="1"/>
  <c r="C30"/>
  <c r="C27"/>
  <c r="C29"/>
  <c r="C32"/>
  <c r="C25"/>
  <c r="C31"/>
  <c r="C26"/>
  <c r="C22"/>
  <c r="C23"/>
  <c r="F27" i="14"/>
  <c r="F63" s="1"/>
  <c r="C78"/>
  <c r="B78"/>
  <c r="B4" i="6" s="1"/>
  <c r="B12" s="1"/>
  <c r="C12" i="59" l="1"/>
  <c r="C33" i="48"/>
  <c r="C55" i="14"/>
  <c r="R55" s="1"/>
  <c r="B56" i="22"/>
  <c r="B58" s="1"/>
  <c r="B10" i="17"/>
  <c r="B12" s="1"/>
  <c r="B16" i="22"/>
  <c r="B18" s="1"/>
  <c r="B18" i="15"/>
  <c r="B20" s="1"/>
  <c r="B20" i="16"/>
  <c r="B22" s="1"/>
  <c r="B17" i="19"/>
  <c r="B19" s="1"/>
  <c r="B29" i="20"/>
  <c r="B31" s="1"/>
  <c r="B10" i="9"/>
  <c r="B12" s="1"/>
  <c r="B10" i="13"/>
  <c r="B17" i="49"/>
  <c r="B19" s="1"/>
  <c r="C54" i="14" l="1"/>
  <c r="R54" s="1"/>
  <c r="R56" s="1"/>
  <c r="C43"/>
  <c r="R43" s="1"/>
  <c r="C49"/>
  <c r="R49" s="1"/>
  <c r="C39"/>
  <c r="R39" s="1"/>
  <c r="C42"/>
  <c r="R42" s="1"/>
  <c r="C48"/>
  <c r="R48" s="1"/>
  <c r="C50"/>
  <c r="R50" s="1"/>
  <c r="C40"/>
  <c r="R40" s="1"/>
  <c r="B17" i="48"/>
  <c r="B32" s="1"/>
  <c r="Q32" s="1"/>
  <c r="B12" i="13"/>
  <c r="R52" i="14" l="1"/>
  <c r="C52"/>
  <c r="C41"/>
  <c r="R41" s="1"/>
  <c r="R46" s="1"/>
  <c r="B27" i="48"/>
  <c r="Q27" s="1"/>
  <c r="B26"/>
  <c r="Q26" s="1"/>
  <c r="B24"/>
  <c r="Q24" s="1"/>
  <c r="B23"/>
  <c r="Q23" s="1"/>
  <c r="B31"/>
  <c r="Q31" s="1"/>
  <c r="B25"/>
  <c r="Q25" s="1"/>
  <c r="B29"/>
  <c r="Q29" s="1"/>
  <c r="B30"/>
  <c r="Q30" s="1"/>
  <c r="B28"/>
  <c r="Q28" s="1"/>
  <c r="B22"/>
  <c r="R61" i="14" l="1"/>
  <c r="B33" i="48"/>
  <c r="C46" i="14"/>
  <c r="Q22" i="48"/>
  <c r="Q33" s="1"/>
  <c r="C56" i="14"/>
  <c r="E56"/>
  <c r="E61" s="1"/>
  <c r="E63" s="1"/>
  <c r="C61" l="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<sst xmlns="http://schemas.openxmlformats.org/spreadsheetml/2006/main" count="2367" uniqueCount="882">
  <si>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</si>
  <si>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</si>
  <si>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</si>
  <si>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</si>
  <si>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</si>
  <si>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</si>
  <si>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</si>
  <si>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</si>
  <si>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</si>
  <si>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</si>
  <si>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</si>
  <si>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</si>
  <si>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</si>
  <si>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</si>
  <si>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</si>
  <si>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</si>
  <si>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</si>
  <si>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</si>
  <si>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</si>
  <si>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</si>
  <si>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</si>
  <si>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</si>
  <si>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</si>
  <si>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</si>
  <si>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</si>
  <si>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</si>
  <si>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</si>
  <si>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</si>
  <si>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</si>
  <si>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</si>
  <si>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</si>
  <si>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</si>
  <si>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</si>
  <si>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</si>
  <si>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</si>
  <si>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</si>
  <si>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</si>
  <si>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</si>
  <si>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</si>
  <si>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</si>
  <si>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</si>
  <si>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</si>
  <si>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</si>
  <si>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</si>
  <si>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</si>
  <si>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</si>
  <si>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</si>
  <si>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</si>
  <si>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</si>
  <si>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</si>
  <si>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</si>
  <si>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</si>
  <si>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</si>
  <si>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</si>
  <si>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</si>
  <si>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</si>
  <si>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</si>
  <si>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</si>
  <si>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</si>
  <si>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</si>
  <si>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</si>
  <si>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</si>
  <si>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</si>
  <si>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</si>
  <si>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</si>
  <si>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</si>
  <si>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</si>
  <si>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</si>
  <si>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</si>
  <si>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</si>
  <si>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</si>
  <si>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</si>
  <si>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</si>
  <si>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</si>
  <si>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</si>
  <si>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</si>
  <si>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</si>
  <si>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</si>
  <si>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</si>
  <si>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</si>
  <si>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</si>
  <si>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</si>
  <si>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</si>
  <si>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</si>
  <si>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</si>
  <si>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</si>
  <si>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</si>
  <si>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</si>
  <si>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</si>
  <si>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</si>
  <si>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</si>
  <si>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</si>
  <si>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</si>
  <si>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</si>
  <si>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</si>
  <si>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</si>
  <si>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</si>
  <si>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</si>
  <si>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</si>
  <si>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</si>
  <si>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</si>
  <si>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</si>
  <si>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</si>
  <si>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</si>
  <si>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</si>
  <si>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</si>
  <si>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</si>
  <si>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</si>
  <si>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</si>
  <si>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</si>
  <si>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</si>
  <si>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</si>
  <si>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</si>
  <si>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</si>
  <si>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</si>
  <si>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</si>
  <si>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</si>
  <si>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</si>
  <si>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</si>
  <si>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</si>
  <si>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</si>
  <si>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</si>
  <si>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</si>
  <si>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</si>
  <si>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</si>
  <si>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</si>
  <si>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</si>
  <si>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</si>
  <si>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</si>
  <si>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</si>
  <si>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</si>
  <si>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</si>
  <si>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</si>
  <si>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</si>
  <si>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</si>
  <si>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</si>
  <si>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</si>
  <si>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</si>
  <si>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</si>
  <si>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</si>
  <si>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</si>
  <si>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</si>
  <si>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</si>
  <si>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</si>
  <si>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</si>
  <si>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</si>
  <si>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</si>
  <si>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</si>
  <si>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</si>
  <si>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</si>
  <si>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</si>
  <si>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</si>
  <si>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</si>
  <si>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</si>
  <si>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</si>
  <si>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</si>
  <si>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</si>
  <si>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</si>
  <si>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</si>
  <si>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</si>
  <si>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</si>
  <si>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</si>
  <si>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</si>
  <si>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</si>
  <si>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</si>
  <si>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</si>
  <si>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</si>
  <si>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</si>
  <si>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</si>
  <si>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</si>
  <si>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</si>
  <si>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</si>
  <si>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</si>
  <si>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</si>
  <si>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</si>
  <si>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</si>
  <si>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</si>
  <si>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</si>
  <si>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</si>
  <si>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</si>
  <si>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</si>
  <si>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</si>
  <si>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</si>
  <si>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</si>
  <si>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</si>
  <si>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</si>
  <si>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</si>
  <si>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</si>
  <si>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</si>
  <si>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</si>
  <si>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</si>
  <si>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</si>
  <si>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</si>
  <si>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</si>
  <si>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</si>
  <si>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</si>
  <si>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</si>
  <si>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</si>
  <si>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</si>
  <si>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</si>
  <si>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</si>
  <si>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</si>
  <si>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</si>
  <si>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</si>
  <si>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</si>
  <si>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</si>
  <si>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</si>
  <si>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</si>
  <si>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</si>
  <si>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</si>
  <si>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</si>
  <si>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</si>
  <si>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</si>
  <si>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</si>
  <si>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</si>
  <si>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</si>
  <si>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</si>
  <si>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</si>
  <si>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</si>
  <si>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</si>
  <si>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</si>
  <si>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</si>
  <si>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</si>
  <si>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</si>
  <si>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</si>
  <si>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</si>
  <si>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</si>
  <si>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</si>
  <si>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</si>
  <si>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</si>
  <si>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</si>
  <si>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</si>
  <si>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</si>
  <si>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</si>
  <si>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</si>
  <si>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</si>
  <si>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</si>
  <si>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</si>
  <si>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</si>
  <si>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</si>
  <si>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</si>
  <si>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</si>
  <si>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</si>
  <si>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</si>
  <si>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</si>
  <si>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</si>
  <si>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</si>
  <si>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</si>
  <si>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</si>
  <si>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</si>
  <si>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</si>
  <si>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</si>
  <si>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</si>
  <si>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</si>
  <si>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</si>
  <si>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</si>
  <si>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</si>
  <si>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</si>
  <si>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</si>
  <si>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</si>
  <si>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</si>
  <si>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</si>
  <si>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</si>
  <si>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</si>
  <si>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</si>
  <si>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</si>
  <si>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</si>
  <si>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</si>
  <si>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</si>
  <si>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</si>
  <si>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</si>
  <si>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</si>
  <si>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</si>
  <si>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</si>
  <si>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</si>
  <si>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</si>
  <si>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</si>
  <si>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</si>
  <si>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</si>
  <si>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</si>
  <si>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</si>
  <si>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</si>
  <si>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</si>
  <si>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</si>
  <si>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</si>
  <si>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</si>
  <si>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</si>
  <si>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</si>
  <si>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</si>
  <si>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</si>
  <si>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</si>
  <si>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</si>
  <si>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</si>
  <si>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</si>
  <si>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</si>
  <si>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</si>
  <si>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</si>
  <si>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</si>
  <si>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</si>
  <si>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</si>
  <si>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</si>
  <si>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</si>
  <si>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</si>
  <si>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</si>
  <si>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</si>
  <si>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</si>
  <si>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</si>
  <si>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</si>
  <si>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</si>
  <si>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</si>
  <si>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</si>
  <si>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</si>
  <si>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</si>
  <si>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</si>
  <si>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</si>
  <si>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</si>
  <si>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</si>
  <si>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</si>
  <si>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</si>
  <si>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</si>
  <si>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</si>
  <si>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</si>
  <si>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</si>
  <si>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</si>
  <si>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</si>
  <si>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</si>
  <si>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</si>
  <si>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</si>
  <si>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</si>
  <si>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</si>
  <si>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</si>
  <si>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</si>
  <si>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</si>
  <si>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</si>
  <si>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</si>
  <si>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</si>
  <si>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</si>
  <si>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</si>
  <si>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</si>
  <si>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</si>
  <si>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</si>
  <si>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</si>
  <si>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</si>
  <si>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</si>
  <si>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</si>
  <si>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</si>
  <si>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</si>
  <si>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</si>
  <si>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</si>
  <si>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</si>
  <si>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</si>
  <si>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</si>
  <si>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</si>
  <si>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</si>
  <si>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</si>
  <si>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</si>
  <si>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</si>
  <si>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</si>
  <si>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</si>
  <si>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</si>
  <si>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</si>
  <si>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</si>
  <si>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</si>
  <si>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</si>
  <si>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</si>
  <si>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</si>
  <si>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</si>
  <si>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</si>
  <si>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</si>
  <si>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</si>
  <si>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</si>
  <si>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</si>
  <si>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</si>
  <si>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</si>
  <si>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</si>
  <si>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</si>
  <si>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</si>
  <si>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</si>
  <si>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</si>
  <si>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</si>
  <si>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</si>
  <si>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</si>
  <si>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</si>
  <si>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</si>
  <si>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</si>
  <si>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</si>
  <si>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</si>
  <si>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</si>
  <si>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</si>
  <si>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</si>
  <si>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</si>
  <si>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</si>
  <si>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</si>
  <si>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</si>
  <si>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</si>
  <si>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</si>
  <si>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</si>
  <si>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</si>
  <si>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</si>
  <si>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</si>
  <si>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</si>
  <si>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</si>
  <si>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</si>
  <si>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</si>
  <si>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</si>
  <si>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</si>
  <si>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</si>
  <si>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</si>
  <si>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</si>
  <si>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</si>
  <si>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</si>
  <si>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</si>
  <si>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</si>
  <si>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</si>
  <si>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</si>
  <si>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</si>
  <si>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</si>
  <si>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</si>
  <si>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</si>
  <si>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</si>
  <si>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</si>
  <si>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</si>
  <si>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</si>
  <si>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</si>
  <si>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</si>
  <si>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</si>
  <si>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</si>
  <si>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</si>
  <si>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</si>
  <si>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</si>
  <si>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</si>
  <si>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</si>
  <si>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</si>
  <si>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</si>
  <si>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</si>
  <si>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</si>
  <si>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</si>
  <si>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</si>
  <si>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</si>
  <si>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</si>
  <si>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</si>
  <si>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</si>
  <si>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</si>
  <si>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</si>
  <si>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</si>
  <si>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</si>
  <si>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</si>
  <si>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</si>
  <si>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</si>
  <si>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</si>
  <si>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</si>
  <si>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</si>
  <si>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</si>
  <si>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</si>
  <si>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</si>
  <si>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</si>
  <si>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</si>
  <si>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</si>
  <si>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</si>
  <si>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</si>
  <si>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</si>
  <si>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</si>
  <si>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</si>
  <si>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</si>
  <si>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</si>
  <si>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</si>
  <si>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</si>
  <si>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</si>
  <si>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</si>
  <si>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</si>
  <si>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</si>
  <si>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</si>
  <si>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</si>
  <si>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</si>
  <si>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</si>
  <si>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</si>
  <si>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</si>
  <si>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</si>
  <si>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</si>
  <si>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</si>
  <si>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</si>
  <si>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</si>
  <si>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</si>
  <si>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</si>
  <si>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</si>
  <si>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</si>
  <si>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</si>
  <si>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</si>
  <si>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</si>
  <si>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</si>
  <si>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</si>
  <si>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</si>
  <si>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</si>
  <si>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</si>
  <si>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</si>
  <si>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</si>
  <si>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</si>
  <si>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</si>
  <si>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</si>
  <si>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</si>
  <si>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</si>
  <si>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</si>
  <si>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</si>
  <si>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</si>
  <si>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</si>
  <si>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</si>
  <si>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</si>
  <si>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</si>
  <si>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</si>
  <si>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</si>
  <si>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</si>
  <si>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</si>
  <si>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</si>
  <si>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</si>
  <si>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</si>
  <si>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</si>
  <si>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</si>
  <si>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</si>
  <si>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</si>
  <si>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</si>
  <si>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</si>
  <si>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</si>
  <si>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</si>
  <si>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</si>
  <si>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</si>
  <si>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</si>
  <si>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</si>
  <si>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</si>
  <si>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</si>
  <si>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</si>
  <si>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</si>
  <si>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</si>
  <si>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</si>
  <si>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</si>
  <si>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</si>
  <si>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</si>
  <si>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</si>
  <si>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</si>
  <si>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</si>
  <si>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</si>
  <si>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</si>
  <si>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</si>
  <si>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</si>
  <si>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</si>
  <si>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</si>
  <si>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</si>
  <si>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</si>
  <si>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</si>
  <si>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</si>
  <si>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</si>
  <si>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</si>
  <si>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</si>
  <si>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</si>
  <si>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</si>
  <si>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</si>
  <si>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</si>
  <si>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</si>
  <si>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</si>
  <si>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</si>
  <si>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</si>
  <si>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</si>
  <si>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</si>
  <si>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</si>
  <si>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</si>
  <si>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</si>
  <si>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</si>
  <si>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</si>
  <si>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</si>
  <si>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</si>
  <si>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</si>
  <si>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</si>
  <si>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</si>
  <si>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</si>
  <si>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</si>
  <si>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</si>
  <si>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</si>
  <si>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</si>
  <si>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</si>
  <si>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</si>
  <si>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</si>
  <si>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</si>
  <si>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</si>
  <si>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</si>
  <si>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</si>
  <si>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</si>
  <si>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</si>
  <si>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</si>
  <si>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</si>
  <si>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</si>
  <si>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</si>
  <si>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</si>
  <si>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</si>
  <si>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</si>
  <si>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</si>
  <si>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</si>
  <si>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</si>
  <si>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</si>
  <si>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</si>
  <si>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</si>
  <si>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</si>
  <si>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</si>
  <si>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</si>
  <si>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</si>
  <si>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</si>
  <si>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</si>
  <si>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</si>
  <si>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</si>
  <si>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</si>
  <si>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</si>
  <si>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</si>
  <si>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</si>
  <si>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</si>
  <si>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</si>
  <si>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</si>
  <si>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</si>
  <si>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</si>
  <si>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</si>
  <si>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</si>
  <si>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</si>
  <si>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</si>
  <si>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</si>
  <si>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</si>
  <si>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</si>
  <si>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</si>
  <si>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</si>
  <si>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</si>
  <si>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</si>
  <si>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</si>
  <si>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</si>
  <si>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</si>
  <si>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</si>
  <si>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</si>
  <si>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</si>
  <si>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</si>
  <si>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</si>
  <si>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</si>
  <si>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</si>
  <si>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</si>
  <si>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</si>
  <si>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</si>
  <si>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</si>
  <si>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</si>
  <si>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</si>
  <si>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</si>
  <si>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</si>
  <si>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</si>
  <si>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</si>
  <si>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</si>
  <si>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</si>
  <si>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</si>
  <si>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</si>
  <si>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</si>
  <si>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</si>
  <si>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</si>
  <si>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</si>
  <si>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</si>
  <si>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</si>
  <si>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</si>
  <si>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</si>
  <si>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</si>
  <si>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</si>
  <si>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</si>
  <si>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</si>
  <si>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</si>
  <si>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</si>
  <si>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</si>
  <si>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</si>
  <si>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</si>
  <si>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</si>
  <si>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</si>
  <si>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</si>
  <si>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</si>
  <si>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</si>
  <si>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</si>
  <si>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</si>
  <si>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</si>
  <si>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</si>
  <si>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</si>
  <si>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</si>
  <si>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</si>
  <si>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</si>
  <si>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</si>
  <si>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</si>
  <si>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</si>
  <si>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</si>
  <si>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</si>
  <si>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</si>
  <si>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</si>
  <si>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</si>
  <si>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</si>
  <si>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</si>
  <si>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COPERT 4.11</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</si>
  <si>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</si>
  <si>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</si>
  <si>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</si>
  <si>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</si>
  <si>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</si>
  <si>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</si>
  <si>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</si>
  <si>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</si>
  <si>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</si>
  <si>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</si>
  <si>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</si>
  <si>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</si>
  <si>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</si>
  <si>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</si>
  <si>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</si>
  <si>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</si>
  <si>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</si>
  <si>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</si>
  <si>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Studiedienst van de Vlaamse Regering (januari 2018)</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</si>
  <si>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</si>
  <si>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</si>
  <si>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</si>
  <si>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</si>
  <si>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</si>
  <si>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</si>
  <si>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</si>
  <si>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</si>
  <si>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</si>
  <si>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</si>
  <si>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</si>
  <si>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</si>
  <si>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</si>
  <si>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</si>
  <si>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</si>
  <si>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</si>
  <si>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</si>
  <si>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</si>
  <si>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</si>
  <si>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</si>
  <si>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</si>
  <si>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</si>
  <si>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</si>
  <si>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</si>
  <si>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</si>
  <si>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</si>
  <si>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</si>
  <si>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</si>
  <si>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</si>
  <si>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</si>
  <si>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</si>
  <si>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</si>
  <si>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</si>
  <si>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</si>
  <si>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</si>
  <si>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</si>
  <si>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</si>
  <si>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</si>
  <si>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</si>
  <si>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</si>
  <si>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</si>
  <si>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</si>
  <si>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</si>
  <si>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</si>
  <si>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</si>
  <si>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</si>
  <si>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</si>
  <si>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</si>
  <si>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</si>
  <si>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</si>
  <si>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</si>
  <si>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</si>
  <si>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</si>
  <si>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</si>
  <si>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</si>
  <si>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</si>
  <si>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</si>
  <si>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</si>
  <si>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</si>
  <si>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</si>
  <si>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</si>
  <si>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</si>
  <si>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</si>
  <si>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</si>
  <si>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</si>
  <si>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</si>
  <si>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</si>
  <si>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</si>
  <si>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versie: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</si>
  <si>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</si>
  <si>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</si>
  <si>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</si>
  <si>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</si>
  <si>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</si>
  <si>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COPERT doorrekening voor wegtransport voor 2017</t>
  </si>
  <si>
    <t>"fuel sold" - gerapporteerde brandstofverkopen voor wegtransport voor 2017</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</si>
  <si>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</si>
  <si>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</si>
  <si>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</si>
  <si>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</si>
  <si>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</si>
  <si>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</si>
  <si>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</si>
  <si>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</si>
  <si>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Bron: COPERT4.11.4 doorrekening VMM januari 2019</t>
  </si>
  <si>
    <t>MOW (september 2017)</t>
  </si>
  <si>
    <t>Data VMM december 2018</t>
  </si>
  <si>
    <t>COPERT4.11.4 doorrekening VMM december 2018</t>
  </si>
  <si>
    <t>december 2018</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</si>
  <si>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</si>
  <si>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</si>
  <si>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</si>
  <si>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</si>
  <si>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</si>
  <si>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</si>
  <si>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</si>
  <si>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</si>
  <si>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</si>
  <si>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</si>
  <si>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</si>
  <si>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</si>
  <si>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</si>
  <si>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</si>
  <si>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</si>
  <si>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</si>
  <si>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</si>
  <si>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</si>
  <si>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</si>
  <si>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</si>
  <si>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</si>
  <si>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</si>
  <si>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</si>
  <si>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</si>
  <si>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</si>
  <si>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</si>
  <si>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</si>
  <si>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</si>
  <si>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</si>
  <si>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</si>
  <si>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</si>
  <si>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</si>
  <si>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VITO Energiebalans Vlaanderen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</si>
  <si>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</si>
  <si>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</si>
  <si>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</si>
  <si>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</si>
  <si>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</si>
  <si>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</si>
  <si>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</si>
  <si>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</si>
  <si>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</si>
  <si>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</si>
  <si>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</si>
  <si>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</si>
  <si>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</si>
  <si>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</si>
  <si>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</si>
  <si>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</si>
  <si>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</si>
  <si>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</si>
  <si>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</si>
  <si>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</si>
  <si>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</si>
  <si>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</si>
  <si>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</si>
  <si>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</si>
  <si>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</si>
  <si>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</si>
  <si>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</si>
  <si>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</si>
  <si>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</si>
  <si>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</si>
  <si>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</si>
  <si>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</si>
  <si>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</si>
  <si>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</si>
  <si>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</si>
  <si>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</si>
  <si>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</si>
  <si>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</si>
  <si>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</si>
  <si>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</si>
  <si>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</si>
  <si>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73109</t>
  </si>
  <si>
    <t>VOEREN</t>
  </si>
  <si>
    <t>Mestbank (maart 2019)</t>
  </si>
  <si>
    <t>Fluvius (februari 2019)</t>
  </si>
  <si>
    <t>referentietaak LNE (2017); Jaarverslag De Lijn (2018)</t>
  </si>
  <si>
    <t>VEA (30 april 2019)</t>
  </si>
  <si>
    <t>VEA (mei 2018)</t>
  </si>
  <si>
    <t>VEA (mei 2019)</t>
  </si>
</sst>
</file>

<file path=xl/styles.xml><?xml version="1.0" encoding="utf-8"?>
<styleSheet xmlns="http://schemas.openxmlformats.org/spreadsheetml/2006/main">
  <numFmts count="18">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 numFmtId="181" formatCode="#,##0.000000"/>
  </numFmts>
  <fonts count="118">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right/>
      <top/>
      <bottom style="thin">
        <color rgb="FF3FC6CD"/>
      </bottom>
      <diagonal/>
    </border>
  </borders>
  <cellStyleXfs count="178">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6" fillId="0" borderId="0"/>
    <xf numFmtId="0" fontId="2"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68" fontId="5" fillId="0" borderId="0" applyFont="0" applyFill="0" applyBorder="0" applyAlignment="0" applyProtection="0"/>
    <xf numFmtId="172" fontId="4" fillId="0" borderId="2" applyNumberFormat="0" applyFill="0" applyAlignment="0" applyProtection="0"/>
    <xf numFmtId="172" fontId="5" fillId="0" borderId="0"/>
  </cellStyleXfs>
  <cellXfs count="1312">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104"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24" fillId="0" borderId="61" xfId="0" applyNumberFormat="1" applyFont="1" applyFill="1" applyBorder="1" applyAlignment="1">
      <alignment horizontal="left"/>
    </xf>
    <xf numFmtId="172" fontId="24" fillId="0" borderId="18" xfId="0" applyFont="1" applyFill="1" applyBorder="1" applyAlignment="1">
      <alignment horizontal="left"/>
    </xf>
    <xf numFmtId="172"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2" fontId="86" fillId="0" borderId="103" xfId="0" applyFont="1" applyBorder="1"/>
    <xf numFmtId="171" fontId="61" fillId="19" borderId="55" xfId="0" applyNumberFormat="1" applyFont="1" applyFill="1" applyBorder="1" applyAlignment="1" applyProtection="1">
      <alignment horizontal="center" vertical="center"/>
      <protection locked="0"/>
    </xf>
    <xf numFmtId="3" fontId="109" fillId="12" borderId="184" xfId="0" applyNumberFormat="1" applyFont="1" applyFill="1" applyBorder="1" applyAlignment="1">
      <alignment horizontal="center" vertical="center" wrapText="1"/>
    </xf>
    <xf numFmtId="3" fontId="23" fillId="0" borderId="0" xfId="0" applyNumberFormat="1" applyFont="1"/>
    <xf numFmtId="3" fontId="109"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2" fontId="0" fillId="28" borderId="186" xfId="0" applyFill="1" applyBorder="1" applyAlignment="1">
      <alignment horizontal="left" vertical="top" wrapText="1"/>
    </xf>
    <xf numFmtId="172"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28" borderId="190" xfId="0" applyFill="1" applyBorder="1" applyAlignment="1">
      <alignment horizontal="left" vertical="top" wrapText="1"/>
    </xf>
    <xf numFmtId="172"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0"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1"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5" applyNumberFormat="1" applyFont="1" applyFill="1"/>
    <xf numFmtId="172" fontId="72" fillId="0" borderId="0" xfId="150"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5"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4"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4"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5"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5"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81"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70" fontId="7" fillId="0" borderId="198" xfId="4" applyNumberFormat="1" applyFont="1" applyBorder="1" applyAlignment="1">
      <alignment horizontal="center"/>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82" xfId="0" applyNumberFormat="1" applyFont="1" applyFill="1" applyBorder="1" applyAlignment="1">
      <alignment horizontal="center" vertical="center" wrapText="1"/>
    </xf>
    <xf numFmtId="3" fontId="109" fillId="12" borderId="183" xfId="0" applyNumberFormat="1" applyFont="1" applyFill="1" applyBorder="1" applyAlignment="1">
      <alignment horizontal="center" vertical="top" wrapText="1"/>
    </xf>
    <xf numFmtId="3" fontId="109" fillId="12" borderId="184"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117"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3"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1"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5" fillId="0" borderId="0" xfId="162" applyFont="1" applyBorder="1"/>
    <xf numFmtId="0" fontId="45" fillId="23" borderId="125" xfId="176" applyNumberFormat="1" applyFont="1" applyFill="1" applyBorder="1" applyAlignment="1">
      <alignment horizontal="left"/>
    </xf>
    <xf numFmtId="0" fontId="5" fillId="0" borderId="0" xfId="177" applyNumberFormat="1"/>
    <xf numFmtId="3" fontId="24" fillId="0" borderId="111" xfId="3" applyNumberFormat="1" applyFont="1" applyBorder="1"/>
    <xf numFmtId="1" fontId="0" fillId="0" borderId="0" xfId="0" applyNumberFormat="1"/>
    <xf numFmtId="0" fontId="24" fillId="0" borderId="199" xfId="3" applyNumberFormat="1" applyFont="1" applyBorder="1"/>
    <xf numFmtId="0" fontId="0" fillId="0" borderId="199" xfId="0" applyNumberFormat="1" applyBorder="1"/>
  </cellXfs>
  <cellStyles count="178">
    <cellStyle name="20% - Accent1 2" xfId="165"/>
    <cellStyle name="AggCels_T(2)" xfId="8"/>
    <cellStyle name="Background table" xfId="9"/>
    <cellStyle name="Bad 3" xfId="10"/>
    <cellStyle name="Bron" xfId="11"/>
    <cellStyle name="Calc cel" xfId="12"/>
    <cellStyle name="Calc cel 2" xfId="13"/>
    <cellStyle name="Calc cel 3" xfId="14"/>
    <cellStyle name="Comma" xfId="175" builtinId="3"/>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6"/>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7"/>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47585.895448120886</c:v>
                </c:pt>
                <c:pt idx="1">
                  <c:v>3944.681148796772</c:v>
                </c:pt>
                <c:pt idx="2">
                  <c:v>310.51799999999997</c:v>
                </c:pt>
                <c:pt idx="3">
                  <c:v>12638.553150110341</c:v>
                </c:pt>
                <c:pt idx="4">
                  <c:v>1291.0698398772554</c:v>
                </c:pt>
                <c:pt idx="5">
                  <c:v>32871.631760290336</c:v>
                </c:pt>
                <c:pt idx="6">
                  <c:v>1028.1492536811404</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76624640"/>
        <c:axId val="76626176"/>
      </c:barChart>
      <c:catAx>
        <c:axId val="76624640"/>
        <c:scaling>
          <c:orientation val="minMax"/>
        </c:scaling>
        <c:axPos val="b"/>
        <c:numFmt formatCode="General" sourceLinked="0"/>
        <c:tickLblPos val="nextTo"/>
        <c:crossAx val="76626176"/>
        <c:crosses val="autoZero"/>
        <c:auto val="1"/>
        <c:lblAlgn val="ctr"/>
        <c:lblOffset val="100"/>
      </c:catAx>
      <c:valAx>
        <c:axId val="76626176"/>
        <c:scaling>
          <c:orientation val="minMax"/>
        </c:scaling>
        <c:axPos val="l"/>
        <c:majorGridlines/>
        <c:numFmt formatCode="#,##0" sourceLinked="1"/>
        <c:tickLblPos val="nextTo"/>
        <c:crossAx val="7662464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47585.895448120886</c:v>
                </c:pt>
                <c:pt idx="1">
                  <c:v>3944.681148796772</c:v>
                </c:pt>
                <c:pt idx="2">
                  <c:v>310.51799999999997</c:v>
                </c:pt>
                <c:pt idx="3">
                  <c:v>12638.553150110341</c:v>
                </c:pt>
                <c:pt idx="4">
                  <c:v>1291.0698398772554</c:v>
                </c:pt>
                <c:pt idx="5">
                  <c:v>32871.631760290336</c:v>
                </c:pt>
                <c:pt idx="6">
                  <c:v>1028.1492536811404</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10211.20507901288</c:v>
                </c:pt>
                <c:pt idx="1">
                  <c:v>746.45640664375253</c:v>
                </c:pt>
                <c:pt idx="2">
                  <c:v>60.177536231643259</c:v>
                </c:pt>
                <c:pt idx="3">
                  <c:v>3242.6939508109645</c:v>
                </c:pt>
                <c:pt idx="4">
                  <c:v>280.0362518381823</c:v>
                </c:pt>
                <c:pt idx="5">
                  <c:v>8147.9613619882712</c:v>
                </c:pt>
                <c:pt idx="6">
                  <c:v>260.06159832379296</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76840320"/>
        <c:axId val="76850304"/>
      </c:barChart>
      <c:catAx>
        <c:axId val="76840320"/>
        <c:scaling>
          <c:orientation val="minMax"/>
        </c:scaling>
        <c:axPos val="b"/>
        <c:numFmt formatCode="General" sourceLinked="0"/>
        <c:tickLblPos val="nextTo"/>
        <c:crossAx val="76850304"/>
        <c:crosses val="autoZero"/>
        <c:auto val="1"/>
        <c:lblAlgn val="ctr"/>
        <c:lblOffset val="100"/>
      </c:catAx>
      <c:valAx>
        <c:axId val="76850304"/>
        <c:scaling>
          <c:orientation val="minMax"/>
        </c:scaling>
        <c:axPos val="l"/>
        <c:majorGridlines/>
        <c:numFmt formatCode="#,##0" sourceLinked="1"/>
        <c:tickLblPos val="nextTo"/>
        <c:crossAx val="7684032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10211.20507901288</c:v>
                </c:pt>
                <c:pt idx="1">
                  <c:v>746.45640664375253</c:v>
                </c:pt>
                <c:pt idx="2">
                  <c:v>60.177536231643259</c:v>
                </c:pt>
                <c:pt idx="3">
                  <c:v>3242.6939508109645</c:v>
                </c:pt>
                <c:pt idx="4">
                  <c:v>280.0362518381823</c:v>
                </c:pt>
                <c:pt idx="5">
                  <c:v>8147.9613619882712</c:v>
                </c:pt>
                <c:pt idx="6">
                  <c:v>260.06159832379296</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topLeftCell="A13"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644</v>
      </c>
      <c r="B2" s="419"/>
      <c r="C2" s="420"/>
    </row>
    <row r="3" spans="1:7" s="11" customFormat="1" ht="15" customHeight="1">
      <c r="A3" s="93"/>
      <c r="B3" s="74"/>
      <c r="C3" s="94"/>
    </row>
    <row r="4" spans="1:7" s="11" customFormat="1" ht="15.75" customHeight="1" thickBot="1">
      <c r="A4" s="105" t="s">
        <v>779</v>
      </c>
      <c r="B4" s="106"/>
      <c r="C4" s="107"/>
    </row>
    <row r="5" spans="1:7" s="413" customFormat="1" ht="15.75" customHeight="1">
      <c r="A5" s="410" t="s">
        <v>0</v>
      </c>
      <c r="B5" s="411"/>
      <c r="C5" s="412"/>
    </row>
    <row r="6" spans="1:7" s="413" customFormat="1" ht="15" customHeight="1">
      <c r="A6" s="414" t="str">
        <f>txtNIS</f>
        <v>73109</v>
      </c>
      <c r="B6" s="415"/>
      <c r="C6" s="416"/>
    </row>
    <row r="7" spans="1:7" s="413" customFormat="1" ht="15.75" customHeight="1">
      <c r="A7" s="417" t="str">
        <f>txtMunicipality</f>
        <v>VOEREN</v>
      </c>
      <c r="B7" s="415"/>
      <c r="C7" s="416"/>
    </row>
    <row r="8" spans="1:7" ht="15.75" thickBot="1">
      <c r="A8" s="45"/>
      <c r="B8" s="108"/>
      <c r="C8" s="109"/>
    </row>
    <row r="9" spans="1:7" s="406" customFormat="1" ht="15.75" thickBot="1">
      <c r="A9" s="430" t="s">
        <v>356</v>
      </c>
      <c r="B9" s="433"/>
      <c r="C9" s="434"/>
    </row>
    <row r="10" spans="1:7" s="15" customFormat="1" ht="57.75" customHeight="1" thickBot="1">
      <c r="A10" s="1088" t="s">
        <v>780</v>
      </c>
      <c r="B10" s="1089"/>
      <c r="C10" s="1090"/>
    </row>
    <row r="11" spans="1:7" s="407" customFormat="1" ht="15.75" thickBot="1">
      <c r="A11" s="430" t="s">
        <v>358</v>
      </c>
      <c r="B11" s="433"/>
      <c r="C11" s="434"/>
      <c r="G11" s="408"/>
    </row>
    <row r="12" spans="1:7">
      <c r="A12" s="44"/>
      <c r="B12" s="43"/>
      <c r="C12" s="96"/>
    </row>
    <row r="13" spans="1:7" s="407" customFormat="1">
      <c r="A13" s="799" t="s">
        <v>610</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359</v>
      </c>
      <c r="B16" s="1091" t="s">
        <v>514</v>
      </c>
      <c r="C16" s="1092"/>
    </row>
    <row r="17" spans="1:3" s="15" customFormat="1" ht="15.75">
      <c r="A17" s="98"/>
      <c r="B17" s="70"/>
      <c r="C17" s="99"/>
    </row>
    <row r="18" spans="1:3">
      <c r="A18" s="95" t="s">
        <v>362</v>
      </c>
      <c r="B18" s="69" t="s">
        <v>374</v>
      </c>
      <c r="C18" s="100" t="s">
        <v>373</v>
      </c>
    </row>
    <row r="19" spans="1:3" s="356" customFormat="1">
      <c r="A19" s="397" t="s">
        <v>360</v>
      </c>
      <c r="B19" s="398" t="s">
        <v>781</v>
      </c>
      <c r="C19" s="399" t="s">
        <v>512</v>
      </c>
    </row>
    <row r="20" spans="1:3" s="356" customFormat="1">
      <c r="A20" s="400"/>
      <c r="B20" s="342"/>
      <c r="C20" s="401"/>
    </row>
    <row r="21" spans="1:3" s="356" customFormat="1">
      <c r="A21" s="402" t="s">
        <v>361</v>
      </c>
      <c r="B21" s="398" t="s">
        <v>509</v>
      </c>
      <c r="C21" s="399" t="s">
        <v>513</v>
      </c>
    </row>
    <row r="22" spans="1:3" s="356" customFormat="1">
      <c r="A22" s="403"/>
      <c r="B22" s="342"/>
      <c r="C22" s="401"/>
    </row>
    <row r="23" spans="1:3" s="356" customFormat="1" ht="30">
      <c r="A23" s="397" t="s">
        <v>430</v>
      </c>
      <c r="B23" s="468" t="s">
        <v>434</v>
      </c>
      <c r="C23" s="399" t="s">
        <v>510</v>
      </c>
    </row>
    <row r="24" spans="1:3" s="356" customFormat="1">
      <c r="A24" s="403"/>
      <c r="B24" s="342"/>
      <c r="C24" s="401"/>
    </row>
    <row r="25" spans="1:3" s="356" customFormat="1">
      <c r="A25" s="397" t="s">
        <v>432</v>
      </c>
      <c r="B25" s="398" t="s">
        <v>431</v>
      </c>
      <c r="C25" s="399" t="s">
        <v>511</v>
      </c>
    </row>
    <row r="26" spans="1:3" s="356" customFormat="1">
      <c r="A26" s="403"/>
      <c r="B26" s="342"/>
      <c r="C26" s="401"/>
    </row>
    <row r="27" spans="1:3" s="356" customFormat="1">
      <c r="A27" s="397" t="s">
        <v>405</v>
      </c>
      <c r="B27" s="398" t="s">
        <v>429</v>
      </c>
      <c r="C27" s="399"/>
    </row>
    <row r="28" spans="1:3" s="356" customFormat="1">
      <c r="A28" s="403"/>
      <c r="B28" s="342" t="s">
        <v>567</v>
      </c>
      <c r="C28" s="401"/>
    </row>
    <row r="29" spans="1:3" ht="15.75" thickBot="1">
      <c r="A29" s="44"/>
      <c r="B29" s="43"/>
      <c r="C29" s="96"/>
    </row>
    <row r="30" spans="1:3" s="406" customFormat="1" ht="15.75" thickBot="1">
      <c r="A30" s="430" t="s">
        <v>371</v>
      </c>
      <c r="B30" s="431"/>
      <c r="C30" s="432"/>
    </row>
    <row r="31" spans="1:3" s="15" customFormat="1" ht="15.75">
      <c r="A31" s="98"/>
      <c r="B31" s="71"/>
      <c r="C31" s="102"/>
    </row>
    <row r="32" spans="1:3" s="15" customFormat="1">
      <c r="A32" s="103" t="s">
        <v>372</v>
      </c>
      <c r="B32" s="73" t="s">
        <v>374</v>
      </c>
      <c r="C32" s="104"/>
    </row>
    <row r="33" spans="1:3" s="424" customFormat="1">
      <c r="A33" s="421" t="s">
        <v>363</v>
      </c>
      <c r="B33" s="422" t="s">
        <v>375</v>
      </c>
      <c r="C33" s="423"/>
    </row>
    <row r="34" spans="1:3" s="424" customFormat="1">
      <c r="A34" s="425" t="s">
        <v>364</v>
      </c>
      <c r="B34" s="426" t="s">
        <v>365</v>
      </c>
      <c r="C34" s="427"/>
    </row>
    <row r="35" spans="1:3" s="424" customFormat="1">
      <c r="A35" s="428" t="s">
        <v>366</v>
      </c>
      <c r="B35" s="426" t="s">
        <v>367</v>
      </c>
      <c r="C35" s="427"/>
    </row>
    <row r="36" spans="1:3" s="424" customFormat="1">
      <c r="A36" s="429" t="s">
        <v>368</v>
      </c>
      <c r="B36" s="426" t="s">
        <v>369</v>
      </c>
      <c r="C36" s="427"/>
    </row>
    <row r="37" spans="1:3" s="424" customFormat="1" ht="30">
      <c r="A37" s="456" t="s">
        <v>370</v>
      </c>
      <c r="B37" s="426" t="s">
        <v>462</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495"/>
      <c r="B4" s="493"/>
      <c r="C4" s="525"/>
      <c r="D4" s="525"/>
      <c r="E4" s="525"/>
      <c r="F4" s="525"/>
      <c r="G4" s="525"/>
      <c r="H4" s="525"/>
      <c r="I4" s="525"/>
      <c r="J4" s="525"/>
      <c r="K4" s="525"/>
      <c r="L4" s="525"/>
      <c r="M4" s="525"/>
      <c r="N4" s="525"/>
      <c r="O4" s="525"/>
      <c r="P4" s="525"/>
    </row>
    <row r="5" spans="1:16" outlineLevel="1">
      <c r="A5" s="495"/>
      <c r="B5" s="493"/>
      <c r="C5" s="525"/>
      <c r="D5" s="525"/>
      <c r="E5" s="525"/>
      <c r="F5" s="525"/>
      <c r="G5" s="525"/>
      <c r="H5" s="525"/>
      <c r="I5" s="525"/>
      <c r="J5" s="525"/>
      <c r="K5" s="525"/>
      <c r="L5" s="525"/>
      <c r="M5" s="525"/>
      <c r="N5" s="525"/>
      <c r="O5" s="525"/>
      <c r="P5" s="525"/>
    </row>
    <row r="6" spans="1:16" outlineLevel="1">
      <c r="A6" s="495"/>
      <c r="B6" s="493"/>
      <c r="C6" s="525"/>
      <c r="D6" s="525"/>
      <c r="E6" s="525"/>
      <c r="F6" s="525"/>
      <c r="G6" s="525"/>
      <c r="H6" s="525"/>
      <c r="I6" s="525"/>
      <c r="J6" s="525"/>
      <c r="K6" s="525"/>
      <c r="L6" s="525"/>
      <c r="M6" s="525"/>
      <c r="N6" s="525"/>
      <c r="O6" s="525"/>
      <c r="P6" s="525"/>
    </row>
    <row r="7" spans="1:16" outlineLevel="1">
      <c r="A7" s="495"/>
      <c r="B7" s="493"/>
      <c r="C7" s="525"/>
      <c r="D7" s="525"/>
      <c r="E7" s="525"/>
      <c r="F7" s="525"/>
      <c r="G7" s="525"/>
      <c r="H7" s="525"/>
      <c r="I7" s="525"/>
      <c r="J7" s="525"/>
      <c r="K7" s="525"/>
      <c r="L7" s="525"/>
      <c r="M7" s="525"/>
      <c r="N7" s="525"/>
      <c r="O7" s="525"/>
      <c r="P7" s="525"/>
    </row>
    <row r="8" spans="1:16" outlineLevel="1">
      <c r="A8" s="708"/>
      <c r="B8" s="493"/>
      <c r="C8" s="525"/>
      <c r="D8" s="525"/>
      <c r="E8" s="525"/>
      <c r="F8" s="525"/>
      <c r="G8" s="525"/>
      <c r="H8" s="525"/>
      <c r="I8" s="525"/>
      <c r="J8" s="525"/>
      <c r="K8" s="525"/>
      <c r="L8" s="525"/>
      <c r="M8" s="525"/>
      <c r="N8" s="525"/>
      <c r="O8" s="525"/>
      <c r="P8" s="525"/>
    </row>
    <row r="9" spans="1:16" outlineLevel="1">
      <c r="A9" s="495"/>
      <c r="B9" s="493"/>
      <c r="C9" s="525"/>
      <c r="D9" s="525"/>
      <c r="E9" s="525"/>
      <c r="F9" s="525"/>
      <c r="G9" s="525"/>
      <c r="H9" s="525"/>
      <c r="I9" s="525"/>
      <c r="J9" s="525"/>
      <c r="K9" s="525"/>
      <c r="L9" s="525"/>
      <c r="M9" s="525"/>
      <c r="N9" s="525"/>
      <c r="O9" s="525"/>
      <c r="P9" s="525"/>
    </row>
    <row r="10" spans="1:16" outlineLevel="1">
      <c r="A10" s="495"/>
      <c r="B10" s="493"/>
      <c r="C10" s="525"/>
      <c r="D10" s="525"/>
      <c r="E10" s="525"/>
      <c r="F10" s="525"/>
      <c r="G10" s="525"/>
      <c r="H10" s="525"/>
      <c r="I10" s="525"/>
      <c r="J10" s="525"/>
      <c r="K10" s="525"/>
      <c r="L10" s="525"/>
      <c r="M10" s="525"/>
      <c r="N10" s="525"/>
      <c r="O10" s="525"/>
      <c r="P10" s="525"/>
    </row>
    <row r="11" spans="1:16" outlineLevel="1">
      <c r="A11" s="495"/>
      <c r="B11" s="493"/>
      <c r="C11" s="525"/>
      <c r="D11" s="525"/>
      <c r="E11" s="525"/>
      <c r="F11" s="525"/>
      <c r="G11" s="525"/>
      <c r="H11" s="525"/>
      <c r="I11" s="525"/>
      <c r="J11" s="525"/>
      <c r="K11" s="525"/>
      <c r="L11" s="525"/>
      <c r="M11" s="525"/>
      <c r="N11" s="525"/>
      <c r="O11" s="525"/>
      <c r="P11" s="525"/>
    </row>
    <row r="12" spans="1:16" ht="15.75" outlineLevel="1" thickBot="1">
      <c r="A12" s="495"/>
      <c r="B12" s="493"/>
      <c r="C12" s="525"/>
      <c r="D12" s="525"/>
      <c r="E12" s="525"/>
      <c r="F12" s="525"/>
      <c r="G12" s="525"/>
      <c r="H12" s="525"/>
      <c r="I12" s="525"/>
      <c r="J12" s="525"/>
      <c r="K12" s="525"/>
      <c r="L12" s="525"/>
      <c r="M12" s="525"/>
      <c r="N12" s="525"/>
      <c r="O12" s="525"/>
      <c r="P12" s="525"/>
    </row>
    <row r="13" spans="1:16" ht="25.5" customHeight="1" outlineLevel="1" thickBot="1">
      <c r="A13" s="496" t="s">
        <v>570</v>
      </c>
      <c r="B13" s="478"/>
      <c r="C13" s="497"/>
      <c r="D13" s="497"/>
      <c r="E13" s="497"/>
      <c r="F13" s="497"/>
      <c r="G13" s="497"/>
      <c r="H13" s="497"/>
      <c r="I13" s="497"/>
      <c r="J13" s="497"/>
      <c r="K13" s="497"/>
      <c r="L13" s="497"/>
      <c r="M13" s="497"/>
      <c r="N13" s="497"/>
      <c r="O13" s="1211"/>
      <c r="P13" s="1211"/>
    </row>
    <row r="14" spans="1:16" outlineLevel="1">
      <c r="A14" s="495"/>
      <c r="B14" s="52"/>
      <c r="C14" s="525"/>
      <c r="D14" s="525"/>
      <c r="E14" s="525"/>
      <c r="F14" s="525"/>
      <c r="G14" s="525"/>
      <c r="H14" s="525"/>
      <c r="I14" s="525"/>
      <c r="J14" s="525"/>
      <c r="K14" s="525"/>
      <c r="L14" s="525"/>
      <c r="M14" s="525"/>
      <c r="N14" s="525"/>
      <c r="O14" s="525"/>
      <c r="P14" s="525"/>
    </row>
    <row r="15" spans="1:16" s="489" customFormat="1" outlineLevel="1">
      <c r="A15" s="498" t="s">
        <v>305</v>
      </c>
      <c r="B15" s="499">
        <f>SUM(B4:B12)</f>
        <v>0</v>
      </c>
      <c r="C15" s="500"/>
      <c r="D15" s="500"/>
      <c r="E15" s="500"/>
      <c r="F15" s="500"/>
      <c r="G15" s="500"/>
      <c r="H15" s="500"/>
      <c r="I15" s="500"/>
      <c r="J15" s="500"/>
      <c r="K15" s="500"/>
      <c r="L15" s="500"/>
      <c r="M15" s="500"/>
      <c r="N15" s="500"/>
      <c r="O15" s="501"/>
      <c r="P15" s="501"/>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0.19379725565552808</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c r="D19" s="504"/>
      <c r="E19" s="504"/>
      <c r="F19" s="504"/>
      <c r="G19" s="504"/>
      <c r="H19" s="504"/>
      <c r="I19" s="504"/>
      <c r="J19" s="504"/>
      <c r="K19" s="504"/>
      <c r="L19" s="504"/>
      <c r="M19" s="504"/>
      <c r="N19" s="504"/>
      <c r="O19" s="504"/>
      <c r="P19" s="504"/>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82" t="s">
        <v>327</v>
      </c>
      <c r="B1" s="1205" t="s">
        <v>194</v>
      </c>
      <c r="C1" s="1206"/>
      <c r="D1" s="1206"/>
      <c r="E1" s="1206"/>
      <c r="F1" s="1206"/>
      <c r="G1" s="1206"/>
      <c r="H1" s="1206"/>
      <c r="I1" s="1206"/>
      <c r="J1" s="1206"/>
      <c r="K1" s="1206"/>
      <c r="L1" s="1206"/>
      <c r="M1" s="1206"/>
      <c r="N1" s="1206"/>
      <c r="O1" s="1206"/>
      <c r="P1" s="1206"/>
    </row>
    <row r="2" spans="1:16" ht="15" customHeight="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c r="B4" s="493"/>
      <c r="C4" s="525"/>
      <c r="D4" s="494"/>
      <c r="E4" s="494"/>
      <c r="F4" s="525"/>
      <c r="G4" s="494"/>
      <c r="H4" s="494"/>
      <c r="I4" s="525"/>
      <c r="J4" s="525"/>
      <c r="K4" s="525"/>
      <c r="L4" s="525"/>
      <c r="M4" s="525"/>
      <c r="N4" s="525"/>
      <c r="O4" s="525"/>
      <c r="P4" s="525"/>
    </row>
    <row r="5" spans="1:16">
      <c r="B5" s="493"/>
      <c r="C5" s="52"/>
      <c r="D5" s="493"/>
      <c r="E5" s="493"/>
      <c r="F5" s="52"/>
      <c r="G5" s="493"/>
      <c r="H5" s="493"/>
      <c r="I5" s="52"/>
      <c r="J5" s="52"/>
      <c r="K5" s="52"/>
      <c r="L5" s="52"/>
      <c r="M5" s="52"/>
      <c r="N5" s="52"/>
      <c r="O5" s="52"/>
      <c r="P5" s="52"/>
    </row>
    <row r="6" spans="1:16">
      <c r="B6" s="493"/>
      <c r="C6" s="52"/>
      <c r="D6" s="493"/>
      <c r="E6" s="493"/>
      <c r="F6" s="52"/>
      <c r="G6" s="493"/>
      <c r="H6" s="493"/>
      <c r="I6" s="52"/>
      <c r="J6" s="52"/>
      <c r="K6" s="52"/>
      <c r="L6" s="52"/>
      <c r="M6" s="52"/>
      <c r="N6" s="52"/>
      <c r="O6" s="52"/>
      <c r="P6" s="52"/>
    </row>
    <row r="7" spans="1:16">
      <c r="B7" s="493"/>
      <c r="C7" s="52"/>
      <c r="D7" s="493"/>
      <c r="E7" s="493"/>
      <c r="F7" s="52"/>
      <c r="G7" s="493"/>
      <c r="H7" s="493"/>
      <c r="I7" s="52"/>
      <c r="J7" s="52"/>
      <c r="K7" s="52"/>
      <c r="L7" s="52"/>
      <c r="M7" s="52"/>
      <c r="N7" s="52"/>
      <c r="O7" s="52"/>
      <c r="P7" s="52"/>
    </row>
    <row r="8" spans="1:16">
      <c r="A8" s="489"/>
      <c r="B8" s="493"/>
      <c r="C8" s="52"/>
      <c r="D8" s="493"/>
      <c r="E8" s="493"/>
      <c r="F8" s="52"/>
      <c r="G8" s="493"/>
      <c r="H8" s="493"/>
      <c r="I8" s="52"/>
      <c r="J8" s="52"/>
      <c r="K8" s="52"/>
      <c r="L8" s="52"/>
      <c r="M8" s="52"/>
      <c r="N8" s="52"/>
      <c r="O8" s="52"/>
      <c r="P8" s="52"/>
    </row>
    <row r="9" spans="1:16">
      <c r="B9" s="493"/>
      <c r="C9" s="52"/>
      <c r="D9" s="493"/>
      <c r="E9" s="493"/>
      <c r="F9" s="52"/>
      <c r="G9" s="493"/>
      <c r="H9" s="493"/>
      <c r="I9" s="52"/>
      <c r="J9" s="52"/>
      <c r="K9" s="52"/>
      <c r="L9" s="52"/>
      <c r="M9" s="52"/>
      <c r="N9" s="52"/>
      <c r="O9" s="52"/>
      <c r="P9" s="52"/>
    </row>
    <row r="10" spans="1:16">
      <c r="B10" s="493"/>
      <c r="C10" s="52"/>
      <c r="D10" s="493"/>
      <c r="E10" s="493"/>
      <c r="F10" s="52"/>
      <c r="G10" s="493"/>
      <c r="H10" s="493"/>
      <c r="I10" s="52"/>
      <c r="J10" s="52"/>
      <c r="K10" s="52"/>
      <c r="L10" s="52"/>
      <c r="M10" s="52"/>
      <c r="N10" s="52"/>
      <c r="O10" s="52"/>
      <c r="P10" s="52"/>
    </row>
    <row r="11" spans="1:16">
      <c r="B11" s="493"/>
      <c r="C11" s="52"/>
      <c r="D11" s="493"/>
      <c r="E11" s="493"/>
      <c r="F11" s="52"/>
      <c r="G11" s="493"/>
      <c r="H11" s="493"/>
      <c r="I11" s="52"/>
      <c r="J11" s="52"/>
      <c r="K11" s="52"/>
      <c r="L11" s="52"/>
      <c r="M11" s="52"/>
      <c r="N11" s="52"/>
      <c r="O11" s="52"/>
      <c r="P11" s="52"/>
    </row>
    <row r="12" spans="1:16">
      <c r="B12" s="493"/>
      <c r="C12" s="52"/>
      <c r="D12" s="493"/>
      <c r="E12" s="493"/>
      <c r="F12" s="52"/>
      <c r="G12" s="493"/>
      <c r="H12" s="493"/>
      <c r="I12" s="52"/>
      <c r="J12" s="52"/>
      <c r="K12" s="52"/>
      <c r="L12" s="52"/>
      <c r="M12" s="52"/>
      <c r="N12" s="52"/>
      <c r="O12" s="52"/>
      <c r="P12" s="52"/>
    </row>
    <row r="13" spans="1:16">
      <c r="B13" s="493"/>
      <c r="C13" s="52"/>
      <c r="D13" s="493"/>
      <c r="E13" s="493"/>
      <c r="F13" s="52"/>
      <c r="G13" s="493"/>
      <c r="H13" s="493"/>
      <c r="I13" s="52"/>
      <c r="J13" s="52"/>
      <c r="K13" s="52"/>
      <c r="L13" s="52"/>
      <c r="M13" s="52"/>
      <c r="N13" s="52"/>
      <c r="O13" s="52"/>
      <c r="P13" s="52"/>
    </row>
    <row r="14" spans="1:16">
      <c r="B14" s="493"/>
      <c r="C14" s="52"/>
      <c r="D14" s="493"/>
      <c r="E14" s="493"/>
      <c r="F14" s="52"/>
      <c r="G14" s="493"/>
      <c r="H14" s="493"/>
      <c r="I14" s="52"/>
      <c r="J14" s="52"/>
      <c r="K14" s="52"/>
      <c r="L14" s="52"/>
      <c r="M14" s="52"/>
      <c r="N14" s="52"/>
      <c r="O14" s="52"/>
      <c r="P14" s="52"/>
    </row>
    <row r="15" spans="1:16">
      <c r="B15" s="493"/>
      <c r="C15" s="52"/>
      <c r="D15" s="493"/>
      <c r="E15" s="493"/>
      <c r="F15" s="52"/>
      <c r="G15" s="493"/>
      <c r="H15" s="493"/>
      <c r="I15" s="52"/>
      <c r="J15" s="52"/>
      <c r="K15" s="52"/>
      <c r="L15" s="52"/>
      <c r="M15" s="52"/>
      <c r="N15" s="52"/>
      <c r="O15" s="52"/>
      <c r="P15" s="52"/>
    </row>
    <row r="16" spans="1:16">
      <c r="B16" s="493"/>
      <c r="C16" s="52"/>
      <c r="D16" s="493"/>
      <c r="E16" s="493"/>
      <c r="F16" s="52"/>
      <c r="G16" s="493"/>
      <c r="H16" s="493"/>
      <c r="I16" s="52"/>
      <c r="J16" s="52"/>
      <c r="K16" s="52"/>
      <c r="L16" s="52"/>
      <c r="M16" s="52"/>
      <c r="N16" s="52"/>
      <c r="O16" s="52"/>
      <c r="P16" s="52"/>
    </row>
    <row r="17" spans="1:16">
      <c r="B17" s="493"/>
      <c r="C17" s="52"/>
      <c r="D17" s="493"/>
      <c r="E17" s="493"/>
      <c r="F17" s="52"/>
      <c r="G17" s="493"/>
      <c r="H17" s="493"/>
      <c r="I17" s="52"/>
      <c r="J17" s="52"/>
      <c r="K17" s="52"/>
      <c r="L17" s="52"/>
      <c r="M17" s="52"/>
      <c r="N17" s="52"/>
      <c r="O17" s="52"/>
      <c r="P17" s="52"/>
    </row>
    <row r="18" spans="1:16">
      <c r="B18" s="493"/>
      <c r="C18" s="52"/>
      <c r="D18" s="493"/>
      <c r="E18" s="493"/>
      <c r="F18" s="52"/>
      <c r="G18" s="493"/>
      <c r="H18" s="493"/>
      <c r="I18" s="52"/>
      <c r="J18" s="52"/>
      <c r="K18" s="52"/>
      <c r="L18" s="52"/>
      <c r="M18" s="52"/>
      <c r="N18" s="52"/>
      <c r="O18" s="52"/>
      <c r="P18" s="52"/>
    </row>
    <row r="19" spans="1:16">
      <c r="B19" s="493"/>
      <c r="C19" s="52"/>
      <c r="D19" s="493"/>
      <c r="E19" s="493"/>
      <c r="F19" s="52"/>
      <c r="G19" s="493"/>
      <c r="H19" s="493"/>
      <c r="I19" s="52"/>
      <c r="J19" s="52"/>
      <c r="K19" s="52"/>
      <c r="L19" s="52"/>
      <c r="M19" s="52"/>
      <c r="N19" s="52"/>
      <c r="O19" s="52"/>
      <c r="P19" s="52"/>
    </row>
    <row r="20" spans="1:16">
      <c r="B20" s="493"/>
      <c r="C20" s="52"/>
      <c r="D20" s="493"/>
      <c r="E20" s="493"/>
      <c r="F20" s="52"/>
      <c r="G20" s="493"/>
      <c r="H20" s="493"/>
      <c r="I20" s="52"/>
      <c r="J20" s="52"/>
      <c r="K20" s="52"/>
      <c r="L20" s="52"/>
      <c r="M20" s="52"/>
      <c r="N20" s="52"/>
      <c r="O20" s="52"/>
      <c r="P20" s="52"/>
    </row>
    <row r="21" spans="1:16">
      <c r="B21" s="493"/>
      <c r="C21" s="52"/>
      <c r="D21" s="493"/>
      <c r="E21" s="493"/>
      <c r="F21" s="52"/>
      <c r="G21" s="493"/>
      <c r="H21" s="493"/>
      <c r="I21" s="52"/>
      <c r="J21" s="52"/>
      <c r="K21" s="52"/>
      <c r="L21" s="52"/>
      <c r="M21" s="52"/>
      <c r="N21" s="52"/>
      <c r="O21" s="52"/>
      <c r="P21" s="52"/>
    </row>
    <row r="22" spans="1:16">
      <c r="B22" s="493"/>
      <c r="C22" s="52"/>
      <c r="D22" s="493"/>
      <c r="E22" s="493"/>
      <c r="F22" s="52"/>
      <c r="G22" s="493"/>
      <c r="H22" s="493"/>
      <c r="I22" s="52"/>
      <c r="J22" s="52"/>
      <c r="K22" s="52"/>
      <c r="L22" s="52"/>
      <c r="M22" s="52"/>
      <c r="N22" s="52"/>
      <c r="O22" s="52"/>
      <c r="P22" s="52"/>
    </row>
    <row r="23" spans="1:16" ht="15.75" thickBot="1">
      <c r="B23" s="493"/>
      <c r="C23" s="52"/>
      <c r="D23" s="493"/>
      <c r="E23" s="493"/>
      <c r="F23" s="52"/>
      <c r="G23" s="493"/>
      <c r="H23" s="493"/>
      <c r="I23" s="52"/>
      <c r="J23" s="52"/>
      <c r="K23" s="52"/>
      <c r="L23" s="52"/>
      <c r="M23" s="52"/>
      <c r="N23" s="52"/>
      <c r="O23" s="52"/>
      <c r="P23" s="52"/>
    </row>
    <row r="24" spans="1:16" ht="15.75" thickBot="1">
      <c r="A24" s="496" t="s">
        <v>570</v>
      </c>
    </row>
    <row r="26" spans="1:16" s="489" customFormat="1">
      <c r="A26" s="498" t="s">
        <v>519</v>
      </c>
      <c r="B26" s="498">
        <f t="shared" ref="B26:H26" si="0">SUM(B4:B23)</f>
        <v>0</v>
      </c>
      <c r="C26" s="498"/>
      <c r="D26" s="498">
        <f t="shared" si="0"/>
        <v>0</v>
      </c>
      <c r="E26" s="498">
        <f t="shared" si="0"/>
        <v>0</v>
      </c>
      <c r="F26" s="498"/>
      <c r="G26" s="498">
        <f t="shared" si="0"/>
        <v>0</v>
      </c>
      <c r="H26" s="498">
        <f t="shared" si="0"/>
        <v>0</v>
      </c>
      <c r="I26" s="498"/>
      <c r="J26" s="498"/>
      <c r="K26" s="498"/>
      <c r="L26" s="498"/>
      <c r="M26" s="498"/>
      <c r="N26" s="498"/>
      <c r="O26" s="498"/>
      <c r="P26" s="498"/>
    </row>
    <row r="27" spans="1:16" s="489" customFormat="1">
      <c r="A27" s="498" t="s">
        <v>588</v>
      </c>
      <c r="B27" s="498">
        <f>B26</f>
        <v>0</v>
      </c>
      <c r="C27" s="498"/>
      <c r="D27" s="498">
        <f>D26</f>
        <v>0</v>
      </c>
      <c r="E27" s="498">
        <f>E26</f>
        <v>0</v>
      </c>
      <c r="F27" s="498"/>
      <c r="G27" s="498">
        <f>(1-transport!C35)*'Eigen vloot'!G26</f>
        <v>0</v>
      </c>
      <c r="H27" s="498">
        <f>(1-transport!C42)*'Eigen vloot'!H26</f>
        <v>0</v>
      </c>
      <c r="I27" s="498"/>
      <c r="J27" s="498"/>
      <c r="K27" s="498"/>
      <c r="L27" s="498"/>
      <c r="M27" s="709">
        <f>G26*transport!C35+'Eigen vloot'!H26*transport!C42</f>
        <v>0</v>
      </c>
      <c r="N27" s="498"/>
      <c r="O27" s="498"/>
      <c r="P27" s="498"/>
    </row>
    <row r="29" spans="1:16">
      <c r="A29" s="503" t="s">
        <v>597</v>
      </c>
      <c r="B29" s="528">
        <f ca="1">'EF ele_warmte'!B12</f>
        <v>0.19379725565552808</v>
      </c>
      <c r="C29" s="528">
        <f ca="1">'EF ele_warmte'!B22</f>
        <v>0</v>
      </c>
      <c r="D29" s="528">
        <f>EF_CO2_aardgas</f>
        <v>0.20200000000000001</v>
      </c>
      <c r="E29" s="528">
        <f>EF_VLgas_CO2</f>
        <v>0.22700000000000001</v>
      </c>
      <c r="F29" s="528">
        <f>EF_stookolie_CO2</f>
        <v>0.26700000000000002</v>
      </c>
      <c r="G29" s="528">
        <f>EF_diesel_CO2</f>
        <v>0.26700000000000002</v>
      </c>
      <c r="H29" s="528">
        <f>EF_benzine_CO2</f>
        <v>0.249</v>
      </c>
      <c r="I29" s="528">
        <f>EF_bruinkool_CO2</f>
        <v>0.35099999999999998</v>
      </c>
      <c r="J29" s="528">
        <f>EF_steenkool_CO2</f>
        <v>0.35399999999999998</v>
      </c>
      <c r="K29" s="528">
        <f>EF_anderfossiel_CO2</f>
        <v>0.26400000000000001</v>
      </c>
      <c r="L29" s="528">
        <f>'EF brandstof'!J4</f>
        <v>0</v>
      </c>
      <c r="M29" s="528">
        <f>'EF brandstof'!K4</f>
        <v>0</v>
      </c>
      <c r="N29" s="528">
        <f>'EF brandstof'!L4</f>
        <v>0</v>
      </c>
      <c r="O29" s="528">
        <v>0</v>
      </c>
      <c r="P29" s="528">
        <v>0</v>
      </c>
    </row>
    <row r="31" spans="1:16">
      <c r="A31" s="498" t="s">
        <v>212</v>
      </c>
      <c r="B31" s="710">
        <f ca="1">B27*B29</f>
        <v>0</v>
      </c>
      <c r="C31" s="710"/>
      <c r="D31" s="710">
        <f>D27*D29</f>
        <v>0</v>
      </c>
      <c r="E31" s="710">
        <f>E27*E29</f>
        <v>0</v>
      </c>
      <c r="F31" s="710"/>
      <c r="G31" s="710">
        <f>G27*G29</f>
        <v>0</v>
      </c>
      <c r="H31" s="710">
        <f>H27*H29</f>
        <v>0</v>
      </c>
      <c r="I31" s="710"/>
      <c r="J31" s="710"/>
      <c r="K31" s="710"/>
      <c r="L31" s="710"/>
      <c r="M31" s="710">
        <f>M27*M29</f>
        <v>0</v>
      </c>
      <c r="N31" s="526"/>
      <c r="O31" s="526"/>
      <c r="P31" s="52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516</v>
      </c>
      <c r="B2" s="529"/>
      <c r="C2" s="185"/>
      <c r="D2" s="186"/>
    </row>
    <row r="3" spans="1:11">
      <c r="A3" s="101"/>
      <c r="B3" s="530"/>
      <c r="C3" s="141" t="s">
        <v>181</v>
      </c>
      <c r="D3" s="144" t="s">
        <v>390</v>
      </c>
    </row>
    <row r="4" spans="1:11">
      <c r="A4" s="44" t="s">
        <v>435</v>
      </c>
      <c r="B4" s="47"/>
      <c r="C4" s="32"/>
      <c r="D4" s="143" t="s">
        <v>392</v>
      </c>
    </row>
    <row r="5" spans="1:11">
      <c r="A5" s="44"/>
      <c r="B5" s="48"/>
      <c r="C5" s="32"/>
      <c r="D5" s="143"/>
    </row>
    <row r="6" spans="1:11" s="10" customFormat="1" ht="21.75" thickBot="1">
      <c r="A6" s="189" t="s">
        <v>468</v>
      </c>
      <c r="B6" s="531"/>
      <c r="C6" s="190"/>
      <c r="D6" s="191"/>
    </row>
    <row r="7" spans="1:11" s="43" customFormat="1" ht="15.75" thickBot="1">
      <c r="B7" s="478"/>
    </row>
    <row r="8" spans="1:11" s="43" customFormat="1">
      <c r="A8" s="184" t="s">
        <v>529</v>
      </c>
      <c r="B8" s="529"/>
      <c r="C8" s="185"/>
      <c r="D8" s="186"/>
    </row>
    <row r="9" spans="1:11" s="32" customFormat="1">
      <c r="A9" s="46"/>
      <c r="B9" s="532"/>
      <c r="C9" s="42"/>
      <c r="D9" s="303"/>
    </row>
    <row r="10" spans="1:11">
      <c r="A10" s="304" t="s">
        <v>558</v>
      </c>
      <c r="B10" s="530"/>
      <c r="C10" s="141" t="s">
        <v>181</v>
      </c>
      <c r="D10" s="144" t="s">
        <v>390</v>
      </c>
      <c r="I10" s="1212"/>
      <c r="K10" s="58"/>
    </row>
    <row r="11" spans="1:11" s="43" customFormat="1">
      <c r="A11" s="44" t="s">
        <v>559</v>
      </c>
      <c r="B11" s="47"/>
      <c r="D11" s="142" t="s">
        <v>391</v>
      </c>
      <c r="I11" s="1212"/>
      <c r="K11" s="58"/>
    </row>
    <row r="12" spans="1:11" s="43" customFormat="1">
      <c r="A12" s="44" t="s">
        <v>560</v>
      </c>
      <c r="B12" s="47"/>
      <c r="D12" s="142" t="s">
        <v>391</v>
      </c>
      <c r="I12" s="1212"/>
      <c r="K12" s="58"/>
    </row>
    <row r="13" spans="1:11" s="43" customFormat="1">
      <c r="A13" s="44"/>
      <c r="B13" s="478"/>
      <c r="D13" s="96"/>
      <c r="I13" s="1212"/>
    </row>
    <row r="14" spans="1:11" s="43" customFormat="1">
      <c r="A14" s="304" t="s">
        <v>557</v>
      </c>
      <c r="B14" s="530"/>
      <c r="C14" s="141" t="s">
        <v>181</v>
      </c>
      <c r="D14" s="144" t="s">
        <v>390</v>
      </c>
      <c r="I14" s="1212"/>
    </row>
    <row r="15" spans="1:11" s="43" customFormat="1">
      <c r="A15" s="44" t="s">
        <v>70</v>
      </c>
      <c r="B15" s="47"/>
      <c r="D15" s="142" t="s">
        <v>391</v>
      </c>
      <c r="I15" s="1212"/>
      <c r="J15" s="1212"/>
    </row>
    <row r="16" spans="1:11" s="43" customFormat="1">
      <c r="A16" s="44" t="s">
        <v>521</v>
      </c>
      <c r="B16" s="47"/>
      <c r="D16" s="142" t="s">
        <v>391</v>
      </c>
      <c r="I16" s="1212"/>
      <c r="J16" s="1212"/>
    </row>
    <row r="17" spans="1:11" s="43" customFormat="1">
      <c r="A17" s="44" t="s">
        <v>77</v>
      </c>
      <c r="B17" s="47"/>
      <c r="D17" s="142" t="s">
        <v>391</v>
      </c>
      <c r="I17" s="1212"/>
      <c r="J17" s="1212"/>
    </row>
    <row r="18" spans="1:11" s="43" customFormat="1">
      <c r="A18" s="44" t="s">
        <v>522</v>
      </c>
      <c r="B18" s="47"/>
      <c r="D18" s="142" t="s">
        <v>391</v>
      </c>
      <c r="I18" s="1212"/>
      <c r="J18" s="1212"/>
      <c r="K18" s="58"/>
    </row>
    <row r="19" spans="1:11" s="43" customFormat="1">
      <c r="A19" s="44" t="s">
        <v>76</v>
      </c>
      <c r="B19" s="47"/>
      <c r="D19" s="142" t="s">
        <v>391</v>
      </c>
      <c r="I19" s="1212"/>
      <c r="J19" s="1213"/>
      <c r="K19" s="58"/>
    </row>
    <row r="20" spans="1:11" s="43" customFormat="1">
      <c r="A20" s="32" t="s">
        <v>523</v>
      </c>
      <c r="B20" s="47"/>
      <c r="D20" s="142" t="s">
        <v>391</v>
      </c>
      <c r="I20" s="305"/>
      <c r="J20" s="306"/>
      <c r="K20" s="58"/>
    </row>
    <row r="21" spans="1:11" s="43" customFormat="1">
      <c r="A21" s="32" t="s">
        <v>524</v>
      </c>
      <c r="B21" s="47"/>
      <c r="D21" s="142" t="s">
        <v>391</v>
      </c>
      <c r="I21" s="305"/>
      <c r="J21" s="306"/>
      <c r="K21" s="58"/>
    </row>
    <row r="22" spans="1:11" s="43" customFormat="1">
      <c r="A22" s="32" t="s">
        <v>525</v>
      </c>
      <c r="B22" s="47"/>
      <c r="D22" s="142" t="s">
        <v>391</v>
      </c>
      <c r="I22" s="305"/>
      <c r="J22" s="306"/>
      <c r="K22" s="58"/>
    </row>
    <row r="23" spans="1:11">
      <c r="A23" s="32" t="s">
        <v>526</v>
      </c>
      <c r="B23" s="47"/>
      <c r="C23" s="43"/>
      <c r="D23" s="142" t="s">
        <v>391</v>
      </c>
      <c r="I23" s="58"/>
      <c r="J23" s="58"/>
      <c r="K23" s="58"/>
    </row>
    <row r="24" spans="1:11">
      <c r="A24" s="32" t="s">
        <v>527</v>
      </c>
      <c r="B24" s="47"/>
      <c r="C24" s="43"/>
      <c r="D24" s="142" t="s">
        <v>391</v>
      </c>
      <c r="I24" s="58"/>
      <c r="J24" s="58"/>
      <c r="K24" s="58"/>
    </row>
    <row r="25" spans="1:11">
      <c r="A25" s="58"/>
      <c r="B25" s="48"/>
      <c r="C25" s="43"/>
      <c r="D25" s="142"/>
      <c r="I25" s="58"/>
      <c r="J25" s="58"/>
      <c r="K25" s="58"/>
    </row>
    <row r="26" spans="1:11" ht="21.75" thickBot="1">
      <c r="A26" s="189" t="s">
        <v>568</v>
      </c>
      <c r="B26" s="533"/>
      <c r="C26" s="108"/>
      <c r="D26" s="109"/>
      <c r="I26" s="58"/>
      <c r="J26" s="58"/>
      <c r="K26" s="58"/>
    </row>
    <row r="28" spans="1:11" ht="15.75" thickBot="1"/>
    <row r="29" spans="1:11" s="43" customFormat="1">
      <c r="A29" s="184" t="s">
        <v>517</v>
      </c>
      <c r="B29" s="529"/>
      <c r="C29" s="185"/>
      <c r="D29" s="186"/>
    </row>
    <row r="30" spans="1:11" s="32" customFormat="1">
      <c r="A30" s="46"/>
      <c r="B30" s="532"/>
      <c r="C30" s="42"/>
      <c r="D30" s="303"/>
    </row>
    <row r="31" spans="1:11">
      <c r="A31" s="304" t="s">
        <v>558</v>
      </c>
      <c r="B31" s="530"/>
      <c r="C31" s="141" t="s">
        <v>181</v>
      </c>
      <c r="D31" s="144" t="s">
        <v>390</v>
      </c>
    </row>
    <row r="32" spans="1:11">
      <c r="A32" s="467" t="s">
        <v>559</v>
      </c>
      <c r="B32" s="47"/>
      <c r="C32" s="48"/>
      <c r="D32" s="142" t="s">
        <v>391</v>
      </c>
    </row>
    <row r="33" spans="1:11">
      <c r="A33" s="44"/>
      <c r="B33" s="48"/>
      <c r="C33" s="48"/>
      <c r="D33" s="142"/>
    </row>
    <row r="34" spans="1:11" s="43" customFormat="1">
      <c r="A34" s="304" t="s">
        <v>557</v>
      </c>
      <c r="B34" s="530"/>
      <c r="C34" s="141" t="s">
        <v>181</v>
      </c>
      <c r="D34" s="144" t="s">
        <v>390</v>
      </c>
      <c r="I34"/>
    </row>
    <row r="35" spans="1:11" s="43" customFormat="1">
      <c r="A35" s="466" t="s">
        <v>70</v>
      </c>
      <c r="B35" s="47"/>
      <c r="D35" s="142" t="s">
        <v>391</v>
      </c>
      <c r="I35" s="1212"/>
      <c r="J35" s="1212"/>
    </row>
    <row r="36" spans="1:11" s="43" customFormat="1">
      <c r="A36" s="466" t="s">
        <v>521</v>
      </c>
      <c r="B36" s="47"/>
      <c r="D36" s="142" t="s">
        <v>391</v>
      </c>
      <c r="I36" s="1212"/>
      <c r="J36" s="1212"/>
    </row>
    <row r="37" spans="1:11" s="43" customFormat="1">
      <c r="A37" s="466" t="s">
        <v>77</v>
      </c>
      <c r="B37" s="47"/>
      <c r="D37" s="142" t="s">
        <v>391</v>
      </c>
      <c r="I37" s="1212"/>
      <c r="J37" s="1212"/>
    </row>
    <row r="38" spans="1:11" s="43" customFormat="1">
      <c r="A38" s="466" t="s">
        <v>522</v>
      </c>
      <c r="B38" s="47"/>
      <c r="D38" s="142" t="s">
        <v>391</v>
      </c>
      <c r="I38" s="1212"/>
      <c r="J38" s="1212"/>
      <c r="K38" s="58"/>
    </row>
    <row r="39" spans="1:11" s="43" customFormat="1">
      <c r="A39" s="466" t="s">
        <v>76</v>
      </c>
      <c r="B39" s="47"/>
      <c r="D39" s="142" t="s">
        <v>391</v>
      </c>
      <c r="I39" s="1212"/>
      <c r="J39" s="1213"/>
      <c r="K39" s="58"/>
    </row>
    <row r="40" spans="1:11" s="43" customFormat="1">
      <c r="A40" s="181" t="s">
        <v>523</v>
      </c>
      <c r="B40" s="48"/>
      <c r="D40" s="142" t="s">
        <v>391</v>
      </c>
      <c r="I40" s="305"/>
      <c r="J40" s="306"/>
      <c r="K40" s="58"/>
    </row>
    <row r="41" spans="1:11" s="43" customFormat="1">
      <c r="A41" s="181" t="s">
        <v>524</v>
      </c>
      <c r="B41" s="47"/>
      <c r="D41" s="142" t="s">
        <v>391</v>
      </c>
      <c r="I41" s="305"/>
      <c r="J41" s="306"/>
      <c r="K41" s="58"/>
    </row>
    <row r="42" spans="1:11" s="43" customFormat="1">
      <c r="A42" s="181" t="s">
        <v>525</v>
      </c>
      <c r="B42" s="47"/>
      <c r="D42" s="142" t="s">
        <v>391</v>
      </c>
      <c r="I42" s="305"/>
      <c r="J42" s="306"/>
      <c r="K42" s="58"/>
    </row>
    <row r="43" spans="1:11">
      <c r="A43" s="181" t="s">
        <v>526</v>
      </c>
      <c r="B43" s="47"/>
      <c r="C43" s="43"/>
      <c r="D43" s="142" t="s">
        <v>391</v>
      </c>
      <c r="I43" s="58"/>
      <c r="J43" s="58"/>
      <c r="K43" s="58"/>
    </row>
    <row r="44" spans="1:11">
      <c r="A44" s="181" t="s">
        <v>527</v>
      </c>
      <c r="B44" s="47"/>
      <c r="C44" s="43"/>
      <c r="D44" s="142" t="s">
        <v>391</v>
      </c>
      <c r="I44" s="58"/>
      <c r="J44" s="58"/>
      <c r="K44" s="58"/>
    </row>
    <row r="45" spans="1:11" s="913" customFormat="1">
      <c r="A45" s="181" t="s">
        <v>739</v>
      </c>
      <c r="B45" s="47"/>
      <c r="C45" s="43"/>
      <c r="D45" s="142" t="s">
        <v>391</v>
      </c>
      <c r="I45" s="58"/>
      <c r="J45" s="58"/>
      <c r="K45" s="58"/>
    </row>
    <row r="46" spans="1:11" s="913" customFormat="1">
      <c r="A46" s="181" t="s">
        <v>740</v>
      </c>
      <c r="B46" s="47"/>
      <c r="C46" s="43"/>
      <c r="D46" s="142" t="s">
        <v>391</v>
      </c>
      <c r="I46" s="58"/>
      <c r="J46" s="58"/>
      <c r="K46" s="58"/>
    </row>
    <row r="47" spans="1:11" s="15" customFormat="1" ht="21.75" thickBot="1">
      <c r="A47" s="1007"/>
      <c r="B47" s="187"/>
      <c r="C47" s="153"/>
      <c r="D47" s="307"/>
      <c r="I47" s="58"/>
      <c r="J47" s="58"/>
      <c r="K47" s="58"/>
    </row>
    <row r="48" spans="1:11" s="15" customFormat="1">
      <c r="A48" s="58"/>
      <c r="B48" s="48"/>
      <c r="C48" s="32"/>
      <c r="D48" s="32"/>
      <c r="I48" s="58"/>
      <c r="J48" s="58"/>
      <c r="K48" s="58"/>
    </row>
    <row r="49" spans="1:4" ht="15.75" thickBot="1"/>
    <row r="50" spans="1:4" s="43" customFormat="1">
      <c r="A50" s="184" t="s">
        <v>389</v>
      </c>
      <c r="B50" s="529"/>
      <c r="C50" s="185"/>
      <c r="D50" s="186"/>
    </row>
    <row r="51" spans="1:4">
      <c r="A51" s="101"/>
      <c r="B51" s="530"/>
      <c r="C51" s="141" t="s">
        <v>181</v>
      </c>
      <c r="D51" s="144" t="s">
        <v>390</v>
      </c>
    </row>
    <row r="52" spans="1:4">
      <c r="A52" s="44" t="s">
        <v>561</v>
      </c>
      <c r="B52" s="47"/>
      <c r="C52" s="32"/>
      <c r="D52" s="143" t="s">
        <v>392</v>
      </c>
    </row>
    <row r="53" spans="1:4">
      <c r="A53" s="44" t="s">
        <v>562</v>
      </c>
      <c r="B53" s="47"/>
      <c r="C53" s="32"/>
      <c r="D53" s="143" t="s">
        <v>392</v>
      </c>
    </row>
    <row r="54" spans="1:4" ht="15.75" thickBot="1">
      <c r="A54" s="45"/>
      <c r="B54" s="187"/>
      <c r="C54" s="153"/>
      <c r="D54" s="192"/>
    </row>
    <row r="56" spans="1:4" ht="15.75" thickBot="1"/>
    <row r="57" spans="1:4" s="43" customFormat="1">
      <c r="A57" s="184" t="s">
        <v>518</v>
      </c>
      <c r="B57" s="529"/>
      <c r="C57" s="185"/>
      <c r="D57" s="186"/>
    </row>
    <row r="58" spans="1:4">
      <c r="A58" s="101"/>
      <c r="B58" s="530"/>
      <c r="C58" s="141" t="s">
        <v>181</v>
      </c>
      <c r="D58" s="144" t="s">
        <v>390</v>
      </c>
    </row>
    <row r="59" spans="1:4">
      <c r="A59" s="44" t="s">
        <v>563</v>
      </c>
      <c r="B59" s="47"/>
      <c r="C59" s="32"/>
      <c r="D59" s="142" t="s">
        <v>154</v>
      </c>
    </row>
    <row r="60" spans="1:4">
      <c r="A60" s="44" t="s">
        <v>564</v>
      </c>
      <c r="B60" s="47"/>
      <c r="C60" s="32"/>
      <c r="D60" s="142" t="s">
        <v>155</v>
      </c>
    </row>
    <row r="61" spans="1:4">
      <c r="A61" s="44" t="s">
        <v>565</v>
      </c>
      <c r="B61" s="47"/>
      <c r="C61" s="48"/>
      <c r="D61" s="142" t="s">
        <v>388</v>
      </c>
    </row>
    <row r="62" spans="1:4">
      <c r="A62" s="44" t="s">
        <v>566</v>
      </c>
      <c r="B62" s="47"/>
      <c r="C62" s="48"/>
      <c r="D62" s="142" t="s">
        <v>111</v>
      </c>
    </row>
    <row r="63" spans="1:4">
      <c r="A63" s="44"/>
      <c r="B63" s="48"/>
      <c r="C63" s="48"/>
      <c r="D63" s="142"/>
    </row>
    <row r="64" spans="1:4" ht="21.75" thickBot="1">
      <c r="A64" s="189" t="s">
        <v>520</v>
      </c>
      <c r="B64" s="187"/>
      <c r="C64" s="187"/>
      <c r="D64" s="188"/>
    </row>
    <row r="65" spans="2:2" s="43" customFormat="1">
      <c r="B65"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36" sqref="F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1" t="s">
        <v>583</v>
      </c>
      <c r="B1" s="672"/>
      <c r="C1" s="672"/>
      <c r="D1" s="672"/>
      <c r="E1" s="673"/>
    </row>
    <row r="2" spans="1:5">
      <c r="A2" s="684" t="s">
        <v>393</v>
      </c>
      <c r="B2" s="689" t="s">
        <v>508</v>
      </c>
      <c r="C2" s="685"/>
      <c r="D2" s="685"/>
      <c r="E2" s="686"/>
    </row>
    <row r="3" spans="1:5">
      <c r="A3" s="687"/>
      <c r="B3" s="688"/>
      <c r="C3" s="676"/>
      <c r="D3" s="676"/>
      <c r="E3" s="677"/>
    </row>
    <row r="4" spans="1:5" s="334" customFormat="1" ht="45">
      <c r="A4" s="675" t="s">
        <v>587</v>
      </c>
      <c r="B4" s="683" t="s">
        <v>576</v>
      </c>
      <c r="C4" s="704" t="s">
        <v>598</v>
      </c>
      <c r="D4" s="705" t="s">
        <v>599</v>
      </c>
      <c r="E4" s="706" t="s">
        <v>600</v>
      </c>
    </row>
    <row r="5" spans="1:5">
      <c r="A5" s="678" t="s">
        <v>577</v>
      </c>
      <c r="B5" s="670" t="s">
        <v>578</v>
      </c>
      <c r="C5" s="701">
        <v>3.678273E-2</v>
      </c>
      <c r="D5" s="702">
        <v>0.27778000000000003</v>
      </c>
      <c r="E5" s="694">
        <f>C5*D5</f>
        <v>1.0217506739400001E-2</v>
      </c>
    </row>
    <row r="6" spans="1:5">
      <c r="A6" s="678" t="s">
        <v>577</v>
      </c>
      <c r="B6" s="670" t="s">
        <v>579</v>
      </c>
      <c r="C6" s="701">
        <v>4.2278999999999997E-2</v>
      </c>
      <c r="D6" s="702">
        <v>0.27778000000000003</v>
      </c>
      <c r="E6" s="694">
        <f t="shared" ref="E6:E21" si="0">C6*D6</f>
        <v>1.174426062E-2</v>
      </c>
    </row>
    <row r="7" spans="1:5">
      <c r="A7" s="678" t="s">
        <v>577</v>
      </c>
      <c r="B7" s="670" t="s">
        <v>580</v>
      </c>
      <c r="C7" s="701">
        <v>42.279000000000003</v>
      </c>
      <c r="D7" s="702">
        <v>0.27778000000000003</v>
      </c>
      <c r="E7" s="694">
        <f t="shared" si="0"/>
        <v>11.744260620000002</v>
      </c>
    </row>
    <row r="8" spans="1:5">
      <c r="A8" s="678" t="s">
        <v>581</v>
      </c>
      <c r="B8" s="670" t="s">
        <v>578</v>
      </c>
      <c r="C8" s="701">
        <v>3.8573799999999998E-2</v>
      </c>
      <c r="D8" s="702">
        <v>0.27778000000000003</v>
      </c>
      <c r="E8" s="694">
        <f t="shared" si="0"/>
        <v>1.0715030164E-2</v>
      </c>
    </row>
    <row r="9" spans="1:5">
      <c r="A9" s="678" t="s">
        <v>581</v>
      </c>
      <c r="B9" s="670" t="s">
        <v>579</v>
      </c>
      <c r="C9" s="701">
        <v>4.0604000000000001E-2</v>
      </c>
      <c r="D9" s="702">
        <v>0.27778000000000003</v>
      </c>
      <c r="E9" s="694">
        <f t="shared" si="0"/>
        <v>1.1278979120000001E-2</v>
      </c>
    </row>
    <row r="10" spans="1:5">
      <c r="A10" s="678" t="s">
        <v>581</v>
      </c>
      <c r="B10" s="670" t="s">
        <v>580</v>
      </c>
      <c r="C10" s="701">
        <v>40.603999999999999</v>
      </c>
      <c r="D10" s="702">
        <v>0.27778000000000003</v>
      </c>
      <c r="E10" s="694">
        <f t="shared" si="0"/>
        <v>11.278979120000001</v>
      </c>
    </row>
    <row r="11" spans="1:5">
      <c r="A11" s="678" t="s">
        <v>601</v>
      </c>
      <c r="B11" s="670" t="s">
        <v>578</v>
      </c>
      <c r="C11" s="701">
        <v>2.3511000000000001E-2</v>
      </c>
      <c r="D11" s="702">
        <v>0.27778000000000003</v>
      </c>
      <c r="E11" s="694">
        <f t="shared" si="0"/>
        <v>6.5308855800000004E-3</v>
      </c>
    </row>
    <row r="12" spans="1:5">
      <c r="A12" s="678" t="s">
        <v>601</v>
      </c>
      <c r="B12" s="670" t="s">
        <v>579</v>
      </c>
      <c r="C12" s="701">
        <v>4.6100000000000002E-2</v>
      </c>
      <c r="D12" s="702">
        <v>0.27778000000000003</v>
      </c>
      <c r="E12" s="694">
        <f t="shared" si="0"/>
        <v>1.2805658000000001E-2</v>
      </c>
    </row>
    <row r="13" spans="1:5">
      <c r="A13" s="678" t="s">
        <v>601</v>
      </c>
      <c r="B13" s="670" t="s">
        <v>580</v>
      </c>
      <c r="C13" s="701">
        <v>46.1</v>
      </c>
      <c r="D13" s="702">
        <v>0.27778000000000003</v>
      </c>
      <c r="E13" s="694">
        <f t="shared" si="0"/>
        <v>12.805658000000001</v>
      </c>
    </row>
    <row r="14" spans="1:5">
      <c r="A14" s="678" t="s">
        <v>602</v>
      </c>
      <c r="B14" s="670" t="s">
        <v>578</v>
      </c>
      <c r="C14" s="701">
        <v>2.6525139999999999E-2</v>
      </c>
      <c r="D14" s="702">
        <v>0.27778000000000003</v>
      </c>
      <c r="E14" s="694">
        <f t="shared" si="0"/>
        <v>7.3681533892000009E-3</v>
      </c>
    </row>
    <row r="15" spans="1:5">
      <c r="A15" s="678" t="s">
        <v>602</v>
      </c>
      <c r="B15" s="670" t="s">
        <v>579</v>
      </c>
      <c r="C15" s="701">
        <v>4.5733000000000003E-2</v>
      </c>
      <c r="D15" s="702">
        <v>0.27778000000000003</v>
      </c>
      <c r="E15" s="694">
        <f t="shared" si="0"/>
        <v>1.2703712740000001E-2</v>
      </c>
    </row>
    <row r="16" spans="1:5">
      <c r="A16" s="678" t="s">
        <v>602</v>
      </c>
      <c r="B16" s="670" t="s">
        <v>580</v>
      </c>
      <c r="C16" s="701">
        <v>45.732999999999997</v>
      </c>
      <c r="D16" s="702">
        <v>0.27778000000000003</v>
      </c>
      <c r="E16" s="694">
        <f t="shared" si="0"/>
        <v>12.70371274</v>
      </c>
    </row>
    <row r="17" spans="1:10">
      <c r="A17" s="678" t="s">
        <v>585</v>
      </c>
      <c r="B17" s="670" t="s">
        <v>582</v>
      </c>
      <c r="C17" s="701">
        <v>3.2923000000000001E-2</v>
      </c>
      <c r="D17" s="702">
        <f>0.27778</f>
        <v>0.27778000000000003</v>
      </c>
      <c r="E17" s="694">
        <f t="shared" si="0"/>
        <v>9.1453509400000015E-3</v>
      </c>
    </row>
    <row r="18" spans="1:10">
      <c r="A18" s="678" t="s">
        <v>586</v>
      </c>
      <c r="B18" s="670" t="s">
        <v>582</v>
      </c>
      <c r="C18" s="701">
        <v>3.8852400000000002E-2</v>
      </c>
      <c r="D18" s="702">
        <f>0.27778</f>
        <v>0.27778000000000003</v>
      </c>
      <c r="E18" s="694">
        <f t="shared" si="0"/>
        <v>1.0792419672000002E-2</v>
      </c>
    </row>
    <row r="19" spans="1:10">
      <c r="A19" s="678" t="s">
        <v>589</v>
      </c>
      <c r="B19" s="670" t="s">
        <v>578</v>
      </c>
      <c r="C19" s="701">
        <v>2.4812460000000001E-2</v>
      </c>
      <c r="D19" s="702">
        <v>0.27778000000000003</v>
      </c>
      <c r="E19" s="694">
        <f t="shared" si="0"/>
        <v>6.8924051388000009E-3</v>
      </c>
    </row>
    <row r="20" spans="1:10">
      <c r="A20" s="678" t="s">
        <v>589</v>
      </c>
      <c r="B20" s="670" t="s">
        <v>579</v>
      </c>
      <c r="C20" s="701">
        <v>4.5948999999999997E-2</v>
      </c>
      <c r="D20" s="702">
        <v>0.27778000000000003</v>
      </c>
      <c r="E20" s="694">
        <f t="shared" si="0"/>
        <v>1.276371322E-2</v>
      </c>
    </row>
    <row r="21" spans="1:10">
      <c r="A21" s="678" t="s">
        <v>589</v>
      </c>
      <c r="B21" s="670" t="s">
        <v>580</v>
      </c>
      <c r="C21" s="701">
        <v>45.948999999999998</v>
      </c>
      <c r="D21" s="702">
        <v>0.27778000000000003</v>
      </c>
      <c r="E21" s="694">
        <f t="shared" si="0"/>
        <v>12.763713220000001</v>
      </c>
    </row>
    <row r="22" spans="1:10" ht="15.75" thickBot="1">
      <c r="A22" s="699"/>
      <c r="B22" s="681"/>
      <c r="C22" s="703"/>
      <c r="D22" s="703"/>
      <c r="E22" s="682"/>
    </row>
    <row r="23" spans="1:10" ht="15.75" thickBot="1">
      <c r="A23" s="674"/>
      <c r="B23" s="674"/>
      <c r="C23" s="674"/>
      <c r="D23" s="674"/>
      <c r="E23" s="674"/>
    </row>
    <row r="24" spans="1:10" ht="15.75" thickBot="1">
      <c r="A24" s="671" t="s">
        <v>584</v>
      </c>
      <c r="B24" s="672"/>
      <c r="C24" s="672"/>
      <c r="D24" s="672"/>
      <c r="E24" s="673"/>
    </row>
    <row r="25" spans="1:10">
      <c r="A25" s="698" t="s">
        <v>393</v>
      </c>
      <c r="B25" s="676" t="s">
        <v>645</v>
      </c>
      <c r="C25" s="676"/>
      <c r="D25" s="676"/>
      <c r="E25" s="677"/>
    </row>
    <row r="26" spans="1:10">
      <c r="A26" s="44"/>
      <c r="B26" s="43"/>
      <c r="C26" s="43"/>
      <c r="D26" s="43"/>
      <c r="E26" s="96"/>
    </row>
    <row r="27" spans="1:10" s="334" customFormat="1">
      <c r="A27" s="675" t="s">
        <v>587</v>
      </c>
      <c r="B27" s="683" t="s">
        <v>576</v>
      </c>
      <c r="C27" s="691"/>
      <c r="D27" s="690"/>
      <c r="E27" s="706" t="s">
        <v>591</v>
      </c>
    </row>
    <row r="28" spans="1:10">
      <c r="A28" s="678" t="s">
        <v>201</v>
      </c>
      <c r="B28" s="670" t="s">
        <v>578</v>
      </c>
      <c r="C28" s="692"/>
      <c r="D28" s="693"/>
      <c r="E28" s="700">
        <f>E29*0.853</f>
        <v>1.0116343055555555E-2</v>
      </c>
      <c r="G28" s="674"/>
      <c r="H28" s="818"/>
      <c r="I28" s="818"/>
      <c r="J28" s="818"/>
    </row>
    <row r="29" spans="1:10">
      <c r="A29" s="678" t="s">
        <v>201</v>
      </c>
      <c r="B29" s="670" t="s">
        <v>579</v>
      </c>
      <c r="C29" s="692"/>
      <c r="D29" s="693"/>
      <c r="E29" s="700">
        <f>0.042695/3.6</f>
        <v>1.1859722222222221E-2</v>
      </c>
      <c r="F29" s="939"/>
      <c r="G29" s="674"/>
      <c r="H29" s="818"/>
      <c r="I29" s="818"/>
      <c r="J29" s="818"/>
    </row>
    <row r="30" spans="1:10">
      <c r="A30" s="678" t="s">
        <v>119</v>
      </c>
      <c r="B30" s="670" t="s">
        <v>578</v>
      </c>
      <c r="C30" s="692"/>
      <c r="D30" s="693"/>
      <c r="E30" s="700">
        <f>E31*0.755</f>
        <v>9.1803805555555566E-3</v>
      </c>
      <c r="H30" s="818"/>
      <c r="I30" s="818"/>
      <c r="J30" s="818"/>
    </row>
    <row r="31" spans="1:10">
      <c r="A31" s="678" t="s">
        <v>119</v>
      </c>
      <c r="B31" s="670" t="s">
        <v>579</v>
      </c>
      <c r="C31" s="692"/>
      <c r="D31" s="693"/>
      <c r="E31" s="700">
        <f>0.043774/3.6</f>
        <v>1.2159444444444445E-2</v>
      </c>
      <c r="H31" s="818"/>
      <c r="I31" s="818"/>
      <c r="J31" s="818"/>
    </row>
    <row r="32" spans="1:10">
      <c r="A32" s="678" t="s">
        <v>589</v>
      </c>
      <c r="B32" s="670" t="s">
        <v>578</v>
      </c>
      <c r="C32" s="692"/>
      <c r="D32" s="693"/>
      <c r="E32" s="700">
        <f>E33*0.55</f>
        <v>7.1139444444444453E-3</v>
      </c>
      <c r="H32" s="818"/>
    </row>
    <row r="33" spans="1:8">
      <c r="A33" s="678" t="s">
        <v>589</v>
      </c>
      <c r="B33" s="670" t="s">
        <v>579</v>
      </c>
      <c r="C33" s="692"/>
      <c r="D33" s="693"/>
      <c r="E33" s="700">
        <f>0.046564/3.6</f>
        <v>1.2934444444444445E-2</v>
      </c>
      <c r="H33" s="818"/>
    </row>
    <row r="34" spans="1:8">
      <c r="A34" s="678" t="s">
        <v>590</v>
      </c>
      <c r="B34" s="670" t="s">
        <v>578</v>
      </c>
      <c r="C34" s="692"/>
      <c r="D34" s="693"/>
      <c r="E34" s="700">
        <f>E35*0.0007</f>
        <v>9.3333333333333326E-6</v>
      </c>
      <c r="H34" s="818"/>
    </row>
    <row r="35" spans="1:8">
      <c r="A35" s="678" t="s">
        <v>590</v>
      </c>
      <c r="B35" s="670" t="s">
        <v>579</v>
      </c>
      <c r="C35" s="692"/>
      <c r="D35" s="693"/>
      <c r="E35" s="700">
        <f>0.048/3.6</f>
        <v>1.3333333333333332E-2</v>
      </c>
      <c r="H35" s="818"/>
    </row>
    <row r="36" spans="1:8" ht="15.75" thickBot="1">
      <c r="A36" s="679"/>
      <c r="B36" s="680"/>
      <c r="C36" s="695"/>
      <c r="D36" s="696"/>
      <c r="E36" s="697"/>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433</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446</v>
      </c>
      <c r="B6" s="130" t="s">
        <v>447</v>
      </c>
      <c r="C6" s="131" t="s">
        <v>449</v>
      </c>
    </row>
    <row r="7" spans="1:3" s="11" customFormat="1">
      <c r="A7" s="123"/>
      <c r="B7" s="158"/>
      <c r="C7" s="159" t="s">
        <v>603</v>
      </c>
    </row>
    <row r="8" spans="1:3" s="11" customFormat="1">
      <c r="A8" s="132"/>
      <c r="B8" s="133"/>
      <c r="C8" s="134"/>
    </row>
    <row r="9" spans="1:3" s="11" customFormat="1">
      <c r="A9" s="113" t="s">
        <v>448</v>
      </c>
      <c r="B9" s="130" t="s">
        <v>451</v>
      </c>
      <c r="C9" s="131" t="s">
        <v>504</v>
      </c>
    </row>
    <row r="10" spans="1:3" s="11" customFormat="1">
      <c r="A10" s="132"/>
      <c r="B10" s="133"/>
      <c r="C10" s="134"/>
    </row>
    <row r="11" spans="1:3" s="11" customFormat="1" ht="18">
      <c r="A11" s="113" t="s">
        <v>450</v>
      </c>
      <c r="B11" s="130" t="s">
        <v>452</v>
      </c>
      <c r="C11" s="156" t="s">
        <v>502</v>
      </c>
    </row>
    <row r="12" spans="1:3" s="11" customFormat="1">
      <c r="A12" s="132"/>
      <c r="B12" s="133"/>
      <c r="C12" s="134"/>
    </row>
    <row r="13" spans="1:3" s="11" customFormat="1" ht="18">
      <c r="A13" s="113" t="s">
        <v>453</v>
      </c>
      <c r="B13" s="130" t="s">
        <v>454</v>
      </c>
      <c r="C13" s="157" t="s">
        <v>503</v>
      </c>
    </row>
    <row r="14" spans="1:3" s="11" customFormat="1">
      <c r="A14" s="132"/>
      <c r="B14" s="133"/>
      <c r="C14" s="134"/>
    </row>
    <row r="15" spans="1:3" s="11" customFormat="1" ht="18">
      <c r="A15" s="113" t="s">
        <v>455</v>
      </c>
      <c r="B15" t="s">
        <v>459</v>
      </c>
      <c r="C15" s="131" t="s">
        <v>505</v>
      </c>
    </row>
    <row r="16" spans="1:3" s="11" customFormat="1">
      <c r="A16" s="132"/>
      <c r="B16" s="133"/>
      <c r="C16" s="134"/>
    </row>
    <row r="17" spans="1:3" s="11" customFormat="1" ht="30">
      <c r="A17" s="113" t="s">
        <v>392</v>
      </c>
      <c r="B17" s="130" t="s">
        <v>460</v>
      </c>
      <c r="C17" s="131" t="s">
        <v>506</v>
      </c>
    </row>
    <row r="18" spans="1:3" s="11" customFormat="1">
      <c r="A18" s="132"/>
      <c r="B18" s="133"/>
      <c r="C18" s="134" t="s">
        <v>456</v>
      </c>
    </row>
    <row r="19" spans="1:3" s="11" customFormat="1" ht="30">
      <c r="A19" s="113" t="s">
        <v>457</v>
      </c>
      <c r="B19" s="130" t="s">
        <v>461</v>
      </c>
      <c r="C19" s="131" t="s">
        <v>507</v>
      </c>
    </row>
    <row r="20" spans="1:3" s="11" customFormat="1">
      <c r="A20" s="132"/>
      <c r="B20" s="133"/>
      <c r="C20" s="134"/>
    </row>
    <row r="21" spans="1:3" s="11" customFormat="1" ht="30">
      <c r="A21" s="113" t="s">
        <v>458</v>
      </c>
      <c r="B21" s="130" t="s">
        <v>847</v>
      </c>
      <c r="C21" s="131" t="s">
        <v>571</v>
      </c>
    </row>
    <row r="22" spans="1:3" s="11" customFormat="1">
      <c r="A22" s="140"/>
      <c r="B22" s="158"/>
      <c r="C22" s="159"/>
    </row>
    <row r="23" spans="1:3" ht="21">
      <c r="A23" s="126" t="s">
        <v>463</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73109</v>
      </c>
      <c r="B1" s="332"/>
      <c r="C1" s="332"/>
      <c r="D1" s="332"/>
      <c r="E1" s="332"/>
      <c r="F1" s="333"/>
    </row>
    <row r="3" spans="1:6" ht="19.5">
      <c r="A3" s="335" t="s">
        <v>0</v>
      </c>
    </row>
    <row r="4" spans="1:6" ht="22.5">
      <c r="A4" s="1305" t="s">
        <v>874</v>
      </c>
    </row>
    <row r="5" spans="1:6" ht="22.5">
      <c r="A5" s="1305" t="s">
        <v>875</v>
      </c>
    </row>
    <row r="6" spans="1:6" ht="15.75" thickBot="1"/>
    <row r="7" spans="1:6" ht="20.25" thickBot="1">
      <c r="A7" s="336" t="s">
        <v>1</v>
      </c>
      <c r="B7" s="337" t="s">
        <v>393</v>
      </c>
      <c r="C7" s="337" t="s">
        <v>710</v>
      </c>
      <c r="D7" s="337"/>
      <c r="E7" s="337"/>
      <c r="F7" s="338"/>
    </row>
    <row r="8" spans="1:6" ht="16.5" thickTop="1" thickBot="1">
      <c r="A8" s="339" t="s">
        <v>4</v>
      </c>
      <c r="B8" s="340">
        <v>2017</v>
      </c>
      <c r="C8" s="340"/>
      <c r="D8" s="332"/>
      <c r="E8" s="332"/>
      <c r="F8" s="333"/>
    </row>
    <row r="9" spans="1:6">
      <c r="A9" s="341" t="s">
        <v>2</v>
      </c>
      <c r="B9" s="342">
        <v>1710</v>
      </c>
      <c r="C9" s="342"/>
      <c r="D9" s="342"/>
      <c r="E9" s="342"/>
      <c r="F9" s="342"/>
    </row>
    <row r="10" spans="1:6">
      <c r="A10" s="343"/>
    </row>
    <row r="11" spans="1:6" ht="15.75" thickBot="1">
      <c r="A11" s="343"/>
    </row>
    <row r="12" spans="1:6" ht="20.25" thickBot="1">
      <c r="A12" s="336" t="s">
        <v>3</v>
      </c>
      <c r="B12" s="337" t="s">
        <v>393</v>
      </c>
      <c r="C12" s="337" t="s">
        <v>876</v>
      </c>
      <c r="D12" s="337"/>
      <c r="E12" s="337"/>
      <c r="F12" s="344"/>
    </row>
    <row r="13" spans="1:6" ht="16.5" thickTop="1" thickBot="1">
      <c r="A13" s="345" t="s">
        <v>4</v>
      </c>
      <c r="B13" s="346" t="s">
        <v>5</v>
      </c>
      <c r="C13" s="346"/>
      <c r="D13" s="346"/>
      <c r="E13" s="346"/>
      <c r="F13" s="347"/>
    </row>
    <row r="14" spans="1:6">
      <c r="A14" s="348" t="s">
        <v>669</v>
      </c>
      <c r="B14" s="334">
        <v>3319.97</v>
      </c>
    </row>
    <row r="15" spans="1:6">
      <c r="A15" s="348" t="s">
        <v>183</v>
      </c>
      <c r="B15" s="334">
        <v>70</v>
      </c>
    </row>
    <row r="16" spans="1:6">
      <c r="A16" s="348" t="s">
        <v>6</v>
      </c>
      <c r="B16" s="334">
        <v>2422</v>
      </c>
    </row>
    <row r="17" spans="1:6">
      <c r="A17" s="348" t="s">
        <v>7</v>
      </c>
      <c r="B17" s="334">
        <v>291</v>
      </c>
    </row>
    <row r="18" spans="1:6">
      <c r="A18" s="348" t="s">
        <v>8</v>
      </c>
      <c r="B18" s="334">
        <v>1031</v>
      </c>
    </row>
    <row r="19" spans="1:6">
      <c r="A19" s="348" t="s">
        <v>9</v>
      </c>
      <c r="B19" s="334">
        <v>915</v>
      </c>
    </row>
    <row r="20" spans="1:6">
      <c r="A20" s="348" t="s">
        <v>10</v>
      </c>
      <c r="B20" s="334">
        <v>729</v>
      </c>
    </row>
    <row r="21" spans="1:6">
      <c r="A21" s="348" t="s">
        <v>11</v>
      </c>
      <c r="B21" s="334">
        <v>939</v>
      </c>
    </row>
    <row r="22" spans="1:6">
      <c r="A22" s="348" t="s">
        <v>12</v>
      </c>
      <c r="B22" s="334">
        <v>3081</v>
      </c>
    </row>
    <row r="23" spans="1:6">
      <c r="A23" s="348" t="s">
        <v>13</v>
      </c>
      <c r="B23" s="334">
        <v>44</v>
      </c>
    </row>
    <row r="24" spans="1:6">
      <c r="A24" s="348" t="s">
        <v>14</v>
      </c>
      <c r="B24" s="334">
        <v>5</v>
      </c>
    </row>
    <row r="25" spans="1:6">
      <c r="A25" s="348" t="s">
        <v>15</v>
      </c>
      <c r="B25" s="334">
        <v>382</v>
      </c>
    </row>
    <row r="26" spans="1:6">
      <c r="A26" s="348" t="s">
        <v>16</v>
      </c>
      <c r="B26" s="334">
        <v>156</v>
      </c>
    </row>
    <row r="27" spans="1:6">
      <c r="A27" s="348" t="s">
        <v>17</v>
      </c>
      <c r="B27" s="334">
        <v>29</v>
      </c>
    </row>
    <row r="28" spans="1:6" s="356" customFormat="1">
      <c r="A28" s="355" t="s">
        <v>18</v>
      </c>
      <c r="B28" s="355">
        <v>41615</v>
      </c>
    </row>
    <row r="29" spans="1:6">
      <c r="A29" s="355" t="s">
        <v>713</v>
      </c>
      <c r="B29" s="355">
        <v>84</v>
      </c>
      <c r="C29" s="356"/>
      <c r="D29" s="356"/>
      <c r="E29" s="356"/>
      <c r="F29" s="356"/>
    </row>
    <row r="30" spans="1:6">
      <c r="A30" s="341" t="s">
        <v>714</v>
      </c>
      <c r="B30" s="341">
        <v>9</v>
      </c>
      <c r="C30" s="342"/>
      <c r="D30" s="342"/>
      <c r="E30" s="342"/>
      <c r="F30" s="342"/>
    </row>
    <row r="31" spans="1:6" ht="15.75" thickBot="1">
      <c r="A31" s="343"/>
    </row>
    <row r="32" spans="1:6" ht="20.25" thickBot="1">
      <c r="A32" s="336" t="s">
        <v>19</v>
      </c>
      <c r="B32" s="337" t="s">
        <v>393</v>
      </c>
      <c r="C32" s="337" t="s">
        <v>877</v>
      </c>
      <c r="D32" s="337"/>
      <c r="E32" s="337"/>
      <c r="F32" s="344"/>
    </row>
    <row r="33" spans="1:6" ht="16.5" thickTop="1" thickBot="1">
      <c r="A33" s="349"/>
      <c r="B33" s="350"/>
      <c r="C33" s="350"/>
      <c r="D33" s="350"/>
      <c r="E33" s="350" t="s">
        <v>20</v>
      </c>
      <c r="F33" s="351"/>
    </row>
    <row r="34" spans="1:6" ht="16.5" thickTop="1" thickBot="1">
      <c r="A34" s="352" t="s">
        <v>21</v>
      </c>
      <c r="B34" s="353" t="s">
        <v>22</v>
      </c>
      <c r="C34" s="353" t="s">
        <v>5</v>
      </c>
      <c r="D34" s="353" t="s">
        <v>23</v>
      </c>
      <c r="E34" s="353" t="s">
        <v>5</v>
      </c>
      <c r="F34" s="354" t="s">
        <v>23</v>
      </c>
    </row>
    <row r="35" spans="1:6">
      <c r="A35" s="348" t="s">
        <v>24</v>
      </c>
      <c r="B35" s="348" t="s">
        <v>25</v>
      </c>
      <c r="C35" s="334">
        <v>0</v>
      </c>
      <c r="D35" s="334">
        <v>0</v>
      </c>
      <c r="E35" s="334">
        <v>0</v>
      </c>
      <c r="F35" s="334">
        <v>0</v>
      </c>
    </row>
    <row r="36" spans="1:6">
      <c r="A36" s="348" t="s">
        <v>24</v>
      </c>
      <c r="B36" s="348" t="s">
        <v>26</v>
      </c>
      <c r="C36" s="334">
        <v>0</v>
      </c>
      <c r="D36" s="334">
        <v>0</v>
      </c>
      <c r="E36" s="334">
        <v>0</v>
      </c>
      <c r="F36" s="334">
        <v>0</v>
      </c>
    </row>
    <row r="37" spans="1:6">
      <c r="A37" s="348" t="s">
        <v>24</v>
      </c>
      <c r="B37" s="348" t="s">
        <v>27</v>
      </c>
      <c r="C37" s="334">
        <v>0</v>
      </c>
      <c r="D37" s="334">
        <v>0</v>
      </c>
      <c r="E37" s="334">
        <v>0</v>
      </c>
      <c r="F37" s="334">
        <v>0</v>
      </c>
    </row>
    <row r="38" spans="1:6">
      <c r="A38" s="348" t="s">
        <v>24</v>
      </c>
      <c r="B38" s="348" t="s">
        <v>28</v>
      </c>
      <c r="C38" s="334">
        <v>0</v>
      </c>
      <c r="D38" s="334">
        <v>0</v>
      </c>
      <c r="E38" s="334">
        <v>2</v>
      </c>
      <c r="F38" s="334">
        <v>32796</v>
      </c>
    </row>
    <row r="39" spans="1:6">
      <c r="A39" s="348" t="s">
        <v>29</v>
      </c>
      <c r="B39" s="348" t="s">
        <v>30</v>
      </c>
      <c r="C39" s="334">
        <v>0</v>
      </c>
      <c r="D39" s="334">
        <v>0</v>
      </c>
      <c r="E39" s="334">
        <v>1739</v>
      </c>
      <c r="F39" s="334">
        <v>7467792.8949999996</v>
      </c>
    </row>
    <row r="40" spans="1:6">
      <c r="A40" s="348" t="s">
        <v>29</v>
      </c>
      <c r="B40" s="348" t="s">
        <v>28</v>
      </c>
      <c r="C40" s="334">
        <v>0</v>
      </c>
      <c r="D40" s="334">
        <v>0</v>
      </c>
      <c r="E40" s="334">
        <v>0</v>
      </c>
      <c r="F40" s="334">
        <v>0</v>
      </c>
    </row>
    <row r="41" spans="1:6">
      <c r="A41" s="348" t="s">
        <v>31</v>
      </c>
      <c r="B41" s="348" t="s">
        <v>32</v>
      </c>
      <c r="C41" s="334">
        <v>0</v>
      </c>
      <c r="D41" s="334">
        <v>0</v>
      </c>
      <c r="E41" s="334">
        <v>45</v>
      </c>
      <c r="F41" s="334">
        <v>541231.65</v>
      </c>
    </row>
    <row r="42" spans="1:6">
      <c r="A42" s="348" t="s">
        <v>31</v>
      </c>
      <c r="B42" s="348" t="s">
        <v>33</v>
      </c>
      <c r="C42" s="334">
        <v>0</v>
      </c>
      <c r="D42" s="334">
        <v>0</v>
      </c>
      <c r="E42" s="334">
        <v>0</v>
      </c>
      <c r="F42" s="334">
        <v>0</v>
      </c>
    </row>
    <row r="43" spans="1:6">
      <c r="A43" s="348" t="s">
        <v>31</v>
      </c>
      <c r="B43" s="348" t="s">
        <v>34</v>
      </c>
      <c r="C43" s="334">
        <v>0</v>
      </c>
      <c r="D43" s="334">
        <v>0</v>
      </c>
      <c r="E43" s="334">
        <v>0</v>
      </c>
      <c r="F43" s="334">
        <v>0</v>
      </c>
    </row>
    <row r="44" spans="1:6">
      <c r="A44" s="348" t="s">
        <v>31</v>
      </c>
      <c r="B44" s="348" t="s">
        <v>35</v>
      </c>
      <c r="C44" s="334">
        <v>0</v>
      </c>
      <c r="D44" s="334">
        <v>0</v>
      </c>
      <c r="E44" s="334">
        <v>3</v>
      </c>
      <c r="F44" s="334">
        <v>25870</v>
      </c>
    </row>
    <row r="45" spans="1:6">
      <c r="A45" s="348" t="s">
        <v>31</v>
      </c>
      <c r="B45" s="348" t="s">
        <v>36</v>
      </c>
      <c r="C45" s="334">
        <v>0</v>
      </c>
      <c r="D45" s="334">
        <v>0</v>
      </c>
      <c r="E45" s="334">
        <v>0</v>
      </c>
      <c r="F45" s="334">
        <v>0</v>
      </c>
    </row>
    <row r="46" spans="1:6">
      <c r="A46" s="348" t="s">
        <v>31</v>
      </c>
      <c r="B46" s="348" t="s">
        <v>37</v>
      </c>
      <c r="C46" s="334">
        <v>0</v>
      </c>
      <c r="D46" s="334">
        <v>0</v>
      </c>
      <c r="E46" s="334">
        <v>0</v>
      </c>
      <c r="F46" s="334">
        <v>0</v>
      </c>
    </row>
    <row r="47" spans="1:6">
      <c r="A47" s="348" t="s">
        <v>31</v>
      </c>
      <c r="B47" s="348" t="s">
        <v>38</v>
      </c>
      <c r="C47" s="334">
        <v>0</v>
      </c>
      <c r="D47" s="334">
        <v>0</v>
      </c>
      <c r="E47" s="334">
        <v>0</v>
      </c>
      <c r="F47" s="334">
        <v>0</v>
      </c>
    </row>
    <row r="48" spans="1:6">
      <c r="A48" s="348" t="s">
        <v>31</v>
      </c>
      <c r="B48" s="348" t="s">
        <v>28</v>
      </c>
      <c r="C48" s="334">
        <v>0</v>
      </c>
      <c r="D48" s="334">
        <v>0</v>
      </c>
      <c r="E48" s="334">
        <v>1</v>
      </c>
      <c r="F48" s="334">
        <v>2547</v>
      </c>
    </row>
    <row r="49" spans="1:6">
      <c r="A49" s="348" t="s">
        <v>31</v>
      </c>
      <c r="B49" s="348" t="s">
        <v>39</v>
      </c>
      <c r="C49" s="334">
        <v>0</v>
      </c>
      <c r="D49" s="334">
        <v>0</v>
      </c>
      <c r="E49" s="334">
        <v>0</v>
      </c>
      <c r="F49" s="334">
        <v>0</v>
      </c>
    </row>
    <row r="50" spans="1:6">
      <c r="A50" s="348" t="s">
        <v>31</v>
      </c>
      <c r="B50" s="348" t="s">
        <v>40</v>
      </c>
      <c r="C50" s="334">
        <v>0</v>
      </c>
      <c r="D50" s="334">
        <v>0</v>
      </c>
      <c r="E50" s="334">
        <v>3</v>
      </c>
      <c r="F50" s="334">
        <v>71729</v>
      </c>
    </row>
    <row r="51" spans="1:6">
      <c r="A51" s="348" t="s">
        <v>41</v>
      </c>
      <c r="B51" s="348" t="s">
        <v>42</v>
      </c>
      <c r="C51" s="334">
        <v>0</v>
      </c>
      <c r="D51" s="334">
        <v>0</v>
      </c>
      <c r="E51" s="334">
        <v>87</v>
      </c>
      <c r="F51" s="334">
        <v>2610825</v>
      </c>
    </row>
    <row r="52" spans="1:6">
      <c r="A52" s="348" t="s">
        <v>41</v>
      </c>
      <c r="B52" s="348" t="s">
        <v>28</v>
      </c>
      <c r="C52" s="334">
        <v>0</v>
      </c>
      <c r="D52" s="334">
        <v>0</v>
      </c>
      <c r="E52" s="334">
        <v>0</v>
      </c>
      <c r="F52" s="334">
        <v>0</v>
      </c>
    </row>
    <row r="53" spans="1:6">
      <c r="A53" s="348" t="s">
        <v>43</v>
      </c>
      <c r="B53" s="348" t="s">
        <v>44</v>
      </c>
      <c r="C53" s="334">
        <v>0</v>
      </c>
      <c r="D53" s="334">
        <v>0</v>
      </c>
      <c r="E53" s="334">
        <v>104</v>
      </c>
      <c r="F53" s="334">
        <v>465695.65</v>
      </c>
    </row>
    <row r="54" spans="1:6">
      <c r="A54" s="348" t="s">
        <v>45</v>
      </c>
      <c r="B54" s="348" t="s">
        <v>46</v>
      </c>
      <c r="C54" s="334">
        <v>0</v>
      </c>
      <c r="D54" s="334">
        <v>0</v>
      </c>
      <c r="E54" s="334">
        <v>1</v>
      </c>
      <c r="F54" s="334">
        <v>310518</v>
      </c>
    </row>
    <row r="55" spans="1:6">
      <c r="A55" s="348" t="s">
        <v>45</v>
      </c>
      <c r="B55" s="348" t="s">
        <v>28</v>
      </c>
      <c r="C55" s="334">
        <v>0</v>
      </c>
      <c r="D55" s="334">
        <v>0</v>
      </c>
      <c r="E55" s="334">
        <v>0</v>
      </c>
      <c r="F55" s="334">
        <v>0</v>
      </c>
    </row>
    <row r="56" spans="1:6">
      <c r="A56" s="348" t="s">
        <v>47</v>
      </c>
      <c r="B56" s="348" t="s">
        <v>28</v>
      </c>
      <c r="C56" s="334">
        <v>0</v>
      </c>
      <c r="D56" s="334">
        <v>0</v>
      </c>
      <c r="E56" s="334">
        <v>0</v>
      </c>
      <c r="F56" s="334">
        <v>0</v>
      </c>
    </row>
    <row r="57" spans="1:6">
      <c r="A57" s="348" t="s">
        <v>48</v>
      </c>
      <c r="B57" s="348" t="s">
        <v>49</v>
      </c>
      <c r="C57" s="334">
        <v>0</v>
      </c>
      <c r="D57" s="334">
        <v>0</v>
      </c>
      <c r="E57" s="334">
        <v>19</v>
      </c>
      <c r="F57" s="334">
        <v>285524</v>
      </c>
    </row>
    <row r="58" spans="1:6">
      <c r="A58" s="348" t="s">
        <v>48</v>
      </c>
      <c r="B58" s="348" t="s">
        <v>50</v>
      </c>
      <c r="C58" s="334">
        <v>0</v>
      </c>
      <c r="D58" s="334">
        <v>0</v>
      </c>
      <c r="E58" s="334">
        <v>7</v>
      </c>
      <c r="F58" s="334">
        <v>293694</v>
      </c>
    </row>
    <row r="59" spans="1:6">
      <c r="A59" s="348" t="s">
        <v>48</v>
      </c>
      <c r="B59" s="348" t="s">
        <v>51</v>
      </c>
      <c r="C59" s="334">
        <v>0</v>
      </c>
      <c r="D59" s="334">
        <v>0</v>
      </c>
      <c r="E59" s="334">
        <v>34</v>
      </c>
      <c r="F59" s="334">
        <v>351513</v>
      </c>
    </row>
    <row r="60" spans="1:6">
      <c r="A60" s="348" t="s">
        <v>48</v>
      </c>
      <c r="B60" s="348" t="s">
        <v>52</v>
      </c>
      <c r="C60" s="334">
        <v>0</v>
      </c>
      <c r="D60" s="334">
        <v>0</v>
      </c>
      <c r="E60" s="334">
        <v>47</v>
      </c>
      <c r="F60" s="334">
        <v>1596023</v>
      </c>
    </row>
    <row r="61" spans="1:6">
      <c r="A61" s="348" t="s">
        <v>48</v>
      </c>
      <c r="B61" s="348" t="s">
        <v>53</v>
      </c>
      <c r="C61" s="334">
        <v>0</v>
      </c>
      <c r="D61" s="334">
        <v>0</v>
      </c>
      <c r="E61" s="334">
        <v>58</v>
      </c>
      <c r="F61" s="334">
        <v>406714.65</v>
      </c>
    </row>
    <row r="62" spans="1:6">
      <c r="A62" s="348" t="s">
        <v>48</v>
      </c>
      <c r="B62" s="348" t="s">
        <v>54</v>
      </c>
      <c r="C62" s="334">
        <v>0</v>
      </c>
      <c r="D62" s="334">
        <v>0</v>
      </c>
      <c r="E62" s="334">
        <v>3</v>
      </c>
      <c r="F62" s="334">
        <v>341774</v>
      </c>
    </row>
    <row r="63" spans="1:6">
      <c r="A63" s="348" t="s">
        <v>48</v>
      </c>
      <c r="B63" s="348" t="s">
        <v>28</v>
      </c>
      <c r="C63" s="334">
        <v>0</v>
      </c>
      <c r="D63" s="334">
        <v>0</v>
      </c>
      <c r="E63" s="334">
        <v>0</v>
      </c>
      <c r="F63" s="334">
        <v>0</v>
      </c>
    </row>
    <row r="64" spans="1:6">
      <c r="A64" s="348" t="s">
        <v>55</v>
      </c>
      <c r="B64" s="348" t="s">
        <v>56</v>
      </c>
      <c r="C64" s="334">
        <v>0</v>
      </c>
      <c r="D64" s="334">
        <v>0</v>
      </c>
      <c r="E64" s="334">
        <v>0</v>
      </c>
      <c r="F64" s="334">
        <v>0</v>
      </c>
    </row>
    <row r="65" spans="1:6">
      <c r="A65" s="348" t="s">
        <v>55</v>
      </c>
      <c r="B65" s="348" t="s">
        <v>28</v>
      </c>
      <c r="C65" s="334">
        <v>0</v>
      </c>
      <c r="D65" s="334">
        <v>0</v>
      </c>
      <c r="E65" s="334">
        <v>0</v>
      </c>
      <c r="F65" s="334">
        <v>0</v>
      </c>
    </row>
    <row r="66" spans="1:6">
      <c r="A66" s="348" t="s">
        <v>55</v>
      </c>
      <c r="B66" s="348" t="s">
        <v>57</v>
      </c>
      <c r="C66" s="334">
        <v>0</v>
      </c>
      <c r="D66" s="334">
        <v>0</v>
      </c>
      <c r="E66" s="334">
        <v>7</v>
      </c>
      <c r="F66" s="334">
        <v>192666</v>
      </c>
    </row>
    <row r="67" spans="1:6">
      <c r="A67" s="355" t="s">
        <v>55</v>
      </c>
      <c r="B67" s="355" t="s">
        <v>58</v>
      </c>
      <c r="C67" s="334">
        <v>0</v>
      </c>
      <c r="D67" s="334">
        <v>0</v>
      </c>
      <c r="E67" s="334">
        <v>0</v>
      </c>
      <c r="F67" s="334">
        <v>0</v>
      </c>
    </row>
    <row r="68" spans="1:6">
      <c r="A68" s="341" t="s">
        <v>55</v>
      </c>
      <c r="B68" s="341" t="s">
        <v>59</v>
      </c>
      <c r="C68" s="334">
        <v>0</v>
      </c>
      <c r="D68" s="334">
        <v>0</v>
      </c>
      <c r="E68" s="334">
        <v>6</v>
      </c>
      <c r="F68" s="334">
        <v>32502</v>
      </c>
    </row>
    <row r="69" spans="1:6" ht="15.75" thickBot="1">
      <c r="A69" s="343"/>
    </row>
    <row r="70" spans="1:6" ht="19.5">
      <c r="A70" s="336" t="s">
        <v>60</v>
      </c>
      <c r="B70" s="337"/>
      <c r="C70" s="337" t="s">
        <v>398</v>
      </c>
      <c r="D70" s="337" t="s">
        <v>796</v>
      </c>
      <c r="E70" s="337"/>
      <c r="F70" s="344"/>
    </row>
    <row r="71" spans="1:6" ht="20.25" thickBot="1">
      <c r="A71" s="357"/>
      <c r="B71" s="358"/>
      <c r="C71" s="358"/>
      <c r="D71" s="359" t="s">
        <v>436</v>
      </c>
      <c r="E71" s="358"/>
      <c r="F71" s="360"/>
    </row>
    <row r="72" spans="1:6" ht="16.5" thickTop="1" thickBot="1">
      <c r="A72" s="345" t="s">
        <v>61</v>
      </c>
      <c r="B72" s="346" t="s">
        <v>62</v>
      </c>
      <c r="C72" s="1306" t="s">
        <v>668</v>
      </c>
      <c r="D72" s="361">
        <v>2017</v>
      </c>
      <c r="E72" s="361"/>
      <c r="F72" s="347"/>
    </row>
    <row r="73" spans="1:6">
      <c r="A73" s="348" t="s">
        <v>63</v>
      </c>
      <c r="B73" s="348" t="s">
        <v>650</v>
      </c>
      <c r="C73" s="1307" t="s">
        <v>652</v>
      </c>
      <c r="D73" s="476">
        <v>18518157</v>
      </c>
      <c r="E73" s="476"/>
    </row>
    <row r="74" spans="1:6">
      <c r="A74" s="348" t="s">
        <v>63</v>
      </c>
      <c r="B74" s="348" t="s">
        <v>651</v>
      </c>
      <c r="C74" s="1307" t="s">
        <v>653</v>
      </c>
      <c r="D74" s="476">
        <v>1192097.5</v>
      </c>
      <c r="E74" s="476"/>
    </row>
    <row r="75" spans="1:6">
      <c r="A75" s="348" t="s">
        <v>64</v>
      </c>
      <c r="B75" s="348" t="s">
        <v>650</v>
      </c>
      <c r="C75" s="1307" t="s">
        <v>654</v>
      </c>
      <c r="D75" s="476">
        <v>17203163</v>
      </c>
      <c r="E75" s="476"/>
    </row>
    <row r="76" spans="1:6">
      <c r="A76" s="348" t="s">
        <v>64</v>
      </c>
      <c r="B76" s="348" t="s">
        <v>651</v>
      </c>
      <c r="C76" s="1307" t="s">
        <v>655</v>
      </c>
      <c r="D76" s="476">
        <v>11918.6</v>
      </c>
      <c r="E76" s="476"/>
    </row>
    <row r="77" spans="1:6">
      <c r="A77" s="348" t="s">
        <v>65</v>
      </c>
      <c r="B77" s="348" t="s">
        <v>650</v>
      </c>
      <c r="C77" s="1307" t="s">
        <v>656</v>
      </c>
      <c r="D77" s="476">
        <v>1790321</v>
      </c>
      <c r="E77" s="476"/>
    </row>
    <row r="78" spans="1:6">
      <c r="A78" s="341" t="s">
        <v>65</v>
      </c>
      <c r="B78" s="341" t="s">
        <v>651</v>
      </c>
      <c r="C78" s="341" t="s">
        <v>657</v>
      </c>
      <c r="D78" s="1308">
        <v>650704</v>
      </c>
      <c r="E78" s="1308"/>
      <c r="F78" s="342"/>
    </row>
    <row r="79" spans="1:6">
      <c r="A79" s="362"/>
      <c r="B79" s="362"/>
    </row>
    <row r="80" spans="1:6" ht="15.75" thickBot="1">
      <c r="A80" s="362"/>
      <c r="B80" s="362"/>
    </row>
    <row r="81" spans="1:6" ht="20.25" thickBot="1">
      <c r="A81" s="336" t="s">
        <v>333</v>
      </c>
      <c r="B81" s="363" t="s">
        <v>393</v>
      </c>
      <c r="C81" s="337" t="s">
        <v>878</v>
      </c>
      <c r="D81" s="337"/>
      <c r="E81" s="337"/>
      <c r="F81" s="344"/>
    </row>
    <row r="82" spans="1:6" ht="16.5" thickTop="1" thickBot="1">
      <c r="A82" s="345" t="s">
        <v>334</v>
      </c>
      <c r="B82" s="361">
        <v>2017</v>
      </c>
      <c r="C82" s="361"/>
      <c r="D82" s="346"/>
      <c r="E82" s="346"/>
      <c r="F82" s="347"/>
    </row>
    <row r="83" spans="1:6">
      <c r="A83" s="348" t="s">
        <v>335</v>
      </c>
      <c r="B83" s="476">
        <v>285633</v>
      </c>
      <c r="C83" s="476"/>
    </row>
    <row r="84" spans="1:6">
      <c r="A84" s="341" t="s">
        <v>336</v>
      </c>
      <c r="B84" s="1308">
        <v>0</v>
      </c>
      <c r="C84" s="1308"/>
      <c r="D84" s="342"/>
      <c r="E84" s="342"/>
      <c r="F84" s="342"/>
    </row>
    <row r="85" spans="1:6">
      <c r="A85" s="362"/>
      <c r="B85" s="364"/>
    </row>
    <row r="86" spans="1:6" ht="15.75" thickBot="1">
      <c r="A86" s="343"/>
    </row>
    <row r="87" spans="1:6" ht="20.25" thickBot="1">
      <c r="A87" s="336" t="s">
        <v>66</v>
      </c>
      <c r="B87" s="337" t="s">
        <v>393</v>
      </c>
      <c r="C87" s="337" t="s">
        <v>879</v>
      </c>
      <c r="D87" s="337"/>
      <c r="E87" s="337"/>
      <c r="F87" s="344"/>
    </row>
    <row r="88" spans="1:6" ht="16.5" thickTop="1" thickBot="1">
      <c r="A88" s="345" t="s">
        <v>4</v>
      </c>
      <c r="B88" s="346" t="s">
        <v>169</v>
      </c>
      <c r="C88" s="346"/>
      <c r="D88" s="346"/>
      <c r="E88" s="346"/>
      <c r="F88" s="347"/>
    </row>
    <row r="89" spans="1:6">
      <c r="A89" s="348" t="s">
        <v>542</v>
      </c>
      <c r="B89" s="334">
        <v>0</v>
      </c>
    </row>
    <row r="90" spans="1:6">
      <c r="A90" s="348" t="s">
        <v>543</v>
      </c>
      <c r="B90" s="1309">
        <v>0</v>
      </c>
    </row>
    <row r="91" spans="1:6">
      <c r="A91" s="348" t="s">
        <v>67</v>
      </c>
      <c r="B91" s="334">
        <v>1429.0269143119972</v>
      </c>
    </row>
    <row r="92" spans="1:6">
      <c r="A92" s="341" t="s">
        <v>68</v>
      </c>
      <c r="B92" s="342">
        <v>567.58678012041821</v>
      </c>
      <c r="C92" s="342"/>
      <c r="D92" s="342"/>
      <c r="E92" s="342"/>
      <c r="F92" s="342"/>
    </row>
    <row r="93" spans="1:6">
      <c r="A93" s="343"/>
    </row>
    <row r="94" spans="1:6" ht="15.75" thickBot="1">
      <c r="A94" s="343"/>
    </row>
    <row r="95" spans="1:6" ht="20.25" thickBot="1">
      <c r="A95" s="336" t="s">
        <v>69</v>
      </c>
      <c r="B95" s="337" t="s">
        <v>393</v>
      </c>
      <c r="C95" s="337" t="s">
        <v>401</v>
      </c>
      <c r="D95" s="337"/>
      <c r="E95" s="337"/>
      <c r="F95" s="344"/>
    </row>
    <row r="96" spans="1:6" ht="16.5" thickTop="1" thickBot="1">
      <c r="A96" s="345" t="s">
        <v>4</v>
      </c>
      <c r="B96" s="346" t="s">
        <v>5</v>
      </c>
      <c r="C96" s="346"/>
      <c r="D96" s="346"/>
      <c r="E96" s="346"/>
      <c r="F96" s="347"/>
    </row>
    <row r="97" spans="1:6">
      <c r="A97" s="348" t="s">
        <v>70</v>
      </c>
      <c r="B97" s="334">
        <v>9</v>
      </c>
    </row>
    <row r="98" spans="1:6">
      <c r="A98" s="348" t="s">
        <v>71</v>
      </c>
      <c r="B98" s="334">
        <v>0</v>
      </c>
    </row>
    <row r="99" spans="1:6">
      <c r="A99" s="348" t="s">
        <v>72</v>
      </c>
      <c r="B99" s="334">
        <v>104</v>
      </c>
    </row>
    <row r="100" spans="1:6">
      <c r="A100" s="348" t="s">
        <v>73</v>
      </c>
      <c r="B100" s="334">
        <v>136</v>
      </c>
    </row>
    <row r="101" spans="1:6">
      <c r="A101" s="348" t="s">
        <v>74</v>
      </c>
      <c r="B101" s="334">
        <v>63</v>
      </c>
    </row>
    <row r="102" spans="1:6">
      <c r="A102" s="348" t="s">
        <v>75</v>
      </c>
      <c r="B102" s="334">
        <v>18</v>
      </c>
    </row>
    <row r="103" spans="1:6">
      <c r="A103" s="348" t="s">
        <v>76</v>
      </c>
      <c r="B103" s="334">
        <v>50</v>
      </c>
    </row>
    <row r="104" spans="1:6">
      <c r="A104" s="348" t="s">
        <v>77</v>
      </c>
      <c r="B104" s="334">
        <v>1189</v>
      </c>
    </row>
    <row r="105" spans="1:6">
      <c r="A105" s="341" t="s">
        <v>78</v>
      </c>
      <c r="B105" s="341">
        <v>1</v>
      </c>
      <c r="C105" s="342"/>
      <c r="D105" s="342"/>
      <c r="E105" s="342"/>
      <c r="F105" s="342"/>
    </row>
    <row r="106" spans="1:6">
      <c r="A106" s="343"/>
    </row>
    <row r="107" spans="1:6" ht="15.75" thickBot="1">
      <c r="A107" s="343"/>
    </row>
    <row r="108" spans="1:6" ht="20.25" thickBot="1">
      <c r="A108" s="336" t="s">
        <v>639</v>
      </c>
      <c r="B108" s="337" t="s">
        <v>393</v>
      </c>
      <c r="C108" s="337" t="s">
        <v>880</v>
      </c>
      <c r="D108" s="337"/>
      <c r="E108" s="337"/>
      <c r="F108" s="344"/>
    </row>
    <row r="109" spans="1:6" ht="16.5" thickTop="1" thickBot="1">
      <c r="A109" s="345" t="s">
        <v>4</v>
      </c>
      <c r="B109" s="346" t="s">
        <v>5</v>
      </c>
      <c r="C109" s="346"/>
      <c r="D109" s="346"/>
      <c r="E109" s="346"/>
      <c r="F109" s="347"/>
    </row>
    <row r="110" spans="1:6">
      <c r="A110" s="348" t="s">
        <v>640</v>
      </c>
      <c r="B110" s="334">
        <v>0</v>
      </c>
    </row>
    <row r="111" spans="1:6">
      <c r="A111" s="1310" t="s">
        <v>641</v>
      </c>
      <c r="B111" s="1311">
        <v>0</v>
      </c>
      <c r="C111" s="1311"/>
      <c r="D111" s="1311"/>
      <c r="E111" s="1311"/>
      <c r="F111" s="1311"/>
    </row>
    <row r="112" spans="1:6">
      <c r="A112" s="348"/>
    </row>
    <row r="113" spans="1:6" ht="15.75" thickBot="1">
      <c r="A113" s="341"/>
      <c r="B113" s="342"/>
      <c r="C113" s="342"/>
      <c r="D113" s="342"/>
      <c r="E113" s="342"/>
      <c r="F113" s="342"/>
    </row>
    <row r="114" spans="1:6" ht="20.25" thickBot="1">
      <c r="A114" s="336" t="s">
        <v>79</v>
      </c>
      <c r="B114" s="337" t="s">
        <v>393</v>
      </c>
      <c r="C114" s="337" t="s">
        <v>881</v>
      </c>
      <c r="D114" s="337"/>
      <c r="E114" s="337"/>
      <c r="F114" s="344"/>
    </row>
    <row r="115" spans="1:6" ht="16.5" thickTop="1" thickBot="1">
      <c r="A115" s="365"/>
      <c r="B115" s="366" t="s">
        <v>80</v>
      </c>
      <c r="C115" s="366" t="s">
        <v>81</v>
      </c>
      <c r="D115" s="366"/>
      <c r="E115" s="366"/>
      <c r="F115" s="367"/>
    </row>
    <row r="116" spans="1:6" ht="16.5" thickTop="1" thickBot="1">
      <c r="A116" s="345" t="s">
        <v>4</v>
      </c>
      <c r="B116" s="346" t="s">
        <v>5</v>
      </c>
      <c r="C116" s="346" t="s">
        <v>5</v>
      </c>
      <c r="D116" s="346"/>
      <c r="E116" s="346"/>
      <c r="F116" s="347"/>
    </row>
    <row r="117" spans="1:6">
      <c r="A117" s="348" t="s">
        <v>82</v>
      </c>
      <c r="B117" s="334">
        <v>0</v>
      </c>
      <c r="C117" s="334">
        <v>0</v>
      </c>
    </row>
    <row r="118" spans="1:6">
      <c r="A118" s="348" t="s">
        <v>83</v>
      </c>
      <c r="B118" s="334">
        <v>0</v>
      </c>
      <c r="C118" s="334">
        <v>0</v>
      </c>
    </row>
    <row r="119" spans="1:6">
      <c r="A119" s="348" t="s">
        <v>31</v>
      </c>
      <c r="B119" s="334">
        <v>0</v>
      </c>
      <c r="C119" s="334">
        <v>0</v>
      </c>
    </row>
    <row r="120" spans="1:6">
      <c r="A120" s="348" t="s">
        <v>84</v>
      </c>
      <c r="B120" s="334">
        <v>0</v>
      </c>
      <c r="C120" s="334">
        <v>0</v>
      </c>
    </row>
    <row r="121" spans="1:6">
      <c r="A121" s="348" t="s">
        <v>85</v>
      </c>
      <c r="B121" s="334">
        <v>0</v>
      </c>
      <c r="C121" s="334">
        <v>0</v>
      </c>
    </row>
    <row r="122" spans="1:6">
      <c r="A122" s="348" t="s">
        <v>86</v>
      </c>
      <c r="B122" s="334">
        <v>0</v>
      </c>
      <c r="C122" s="334">
        <v>0</v>
      </c>
    </row>
    <row r="123" spans="1:6">
      <c r="A123" s="348" t="s">
        <v>87</v>
      </c>
      <c r="B123" s="334">
        <v>11</v>
      </c>
      <c r="C123" s="334">
        <v>6</v>
      </c>
    </row>
    <row r="124" spans="1:6">
      <c r="A124" s="341" t="s">
        <v>88</v>
      </c>
      <c r="B124" s="334">
        <v>0</v>
      </c>
      <c r="C124" s="334">
        <v>0</v>
      </c>
      <c r="D124" s="342"/>
      <c r="E124" s="342"/>
      <c r="F124" s="342"/>
    </row>
    <row r="125" spans="1:6">
      <c r="A125" s="362"/>
    </row>
    <row r="126" spans="1:6" ht="15.75" thickBot="1">
      <c r="A126" s="362"/>
    </row>
    <row r="127" spans="1:6" ht="20.25" thickBot="1">
      <c r="A127" s="336" t="s">
        <v>292</v>
      </c>
      <c r="B127" s="337" t="s">
        <v>393</v>
      </c>
      <c r="C127" s="337" t="s">
        <v>880</v>
      </c>
      <c r="D127" s="337"/>
      <c r="E127" s="337"/>
      <c r="F127" s="344"/>
    </row>
    <row r="128" spans="1:6" ht="16.5" thickTop="1" thickBot="1">
      <c r="A128" s="345" t="s">
        <v>4</v>
      </c>
      <c r="B128" s="346" t="s">
        <v>5</v>
      </c>
      <c r="C128" s="346"/>
      <c r="D128" s="346"/>
      <c r="E128" s="346"/>
      <c r="F128" s="347"/>
    </row>
    <row r="129" spans="1:6">
      <c r="A129" s="348" t="s">
        <v>293</v>
      </c>
      <c r="B129" s="334">
        <v>57</v>
      </c>
    </row>
    <row r="130" spans="1:6">
      <c r="A130" s="348" t="s">
        <v>294</v>
      </c>
      <c r="B130" s="334">
        <v>0</v>
      </c>
    </row>
    <row r="131" spans="1:6">
      <c r="A131" s="348" t="s">
        <v>295</v>
      </c>
      <c r="B131" s="334">
        <v>1</v>
      </c>
    </row>
    <row r="132" spans="1:6">
      <c r="A132" s="341" t="s">
        <v>296</v>
      </c>
      <c r="B132" s="342">
        <v>21</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heetViews>
  <sheetFormatPr defaultRowHeight="15"/>
  <cols>
    <col min="1" max="1" width="46.7109375" bestFit="1" customWidth="1"/>
    <col min="2" max="2" width="38.5703125" style="546" customWidth="1"/>
    <col min="7" max="7" width="26.5703125" bestFit="1" customWidth="1"/>
  </cols>
  <sheetData>
    <row r="1" spans="1:12" ht="18.75" thickBot="1">
      <c r="A1" s="121" t="s">
        <v>179</v>
      </c>
      <c r="B1" s="534"/>
      <c r="E1" s="674"/>
      <c r="F1" s="674"/>
    </row>
    <row r="2" spans="1:12">
      <c r="A2" s="44" t="s">
        <v>821</v>
      </c>
      <c r="B2" s="535"/>
      <c r="E2" s="674"/>
      <c r="F2" s="674"/>
    </row>
    <row r="3" spans="1:12">
      <c r="A3" s="44"/>
      <c r="B3" s="535"/>
      <c r="E3" s="674"/>
      <c r="F3" s="674"/>
    </row>
    <row r="4" spans="1:12" ht="18">
      <c r="A4" s="137" t="s">
        <v>180</v>
      </c>
      <c r="B4" s="536" t="s">
        <v>387</v>
      </c>
      <c r="E4" s="674"/>
      <c r="F4" s="674"/>
    </row>
    <row r="5" spans="1:12" ht="21">
      <c r="A5" s="116" t="s">
        <v>182</v>
      </c>
      <c r="B5" s="537"/>
      <c r="E5" s="932"/>
      <c r="F5" s="933"/>
      <c r="G5" s="944"/>
      <c r="H5" s="944"/>
      <c r="I5" s="9"/>
      <c r="J5" s="9"/>
    </row>
    <row r="6" spans="1:12">
      <c r="A6" s="117" t="s">
        <v>183</v>
      </c>
      <c r="B6" s="538">
        <v>4.0513950503279288</v>
      </c>
      <c r="E6" s="934"/>
      <c r="F6" s="934"/>
      <c r="G6" s="945"/>
      <c r="H6" s="945"/>
      <c r="I6" s="10"/>
      <c r="J6" s="10"/>
      <c r="K6" s="10"/>
      <c r="L6" s="10"/>
    </row>
    <row r="7" spans="1:12">
      <c r="A7" s="117" t="s">
        <v>6</v>
      </c>
      <c r="B7" s="538">
        <v>154.82889028421619</v>
      </c>
      <c r="E7" s="674"/>
      <c r="F7" s="674"/>
      <c r="G7" s="946"/>
      <c r="H7" s="946"/>
      <c r="K7" s="10"/>
      <c r="L7" s="10"/>
    </row>
    <row r="8" spans="1:12">
      <c r="A8" s="117" t="s">
        <v>7</v>
      </c>
      <c r="B8" s="538">
        <v>93.70280955270276</v>
      </c>
      <c r="E8" s="674"/>
      <c r="F8" s="674"/>
      <c r="G8" s="946"/>
      <c r="H8" s="946"/>
      <c r="K8" s="10"/>
      <c r="L8" s="10"/>
    </row>
    <row r="9" spans="1:12">
      <c r="A9" s="117" t="s">
        <v>8</v>
      </c>
      <c r="B9" s="538">
        <v>31.909886478760498</v>
      </c>
      <c r="E9" s="934"/>
      <c r="F9" s="934"/>
      <c r="G9" s="945"/>
      <c r="H9" s="945"/>
      <c r="I9" s="10"/>
      <c r="J9" s="10"/>
      <c r="K9" s="10"/>
      <c r="L9" s="10"/>
    </row>
    <row r="10" spans="1:12">
      <c r="A10" s="117" t="s">
        <v>9</v>
      </c>
      <c r="B10" s="538">
        <v>47.900718217356051</v>
      </c>
      <c r="E10" s="935"/>
      <c r="F10" s="935"/>
      <c r="G10" s="947"/>
      <c r="H10" s="947"/>
      <c r="I10" s="11"/>
      <c r="J10" s="11"/>
      <c r="K10" s="10"/>
      <c r="L10" s="10"/>
    </row>
    <row r="11" spans="1:12">
      <c r="A11" s="117" t="s">
        <v>10</v>
      </c>
      <c r="B11" s="538">
        <v>48.479822138264581</v>
      </c>
      <c r="E11" s="674"/>
      <c r="F11" s="935"/>
      <c r="G11" s="947"/>
      <c r="H11" s="947"/>
      <c r="I11" s="11"/>
      <c r="J11" s="11"/>
      <c r="K11" s="10"/>
      <c r="L11" s="10"/>
    </row>
    <row r="12" spans="1:12">
      <c r="A12" s="118" t="s">
        <v>16</v>
      </c>
      <c r="B12" s="538">
        <v>8</v>
      </c>
      <c r="E12" s="935"/>
      <c r="F12" s="934"/>
      <c r="G12" s="945"/>
      <c r="H12" s="945"/>
      <c r="I12" s="10"/>
      <c r="J12" s="10"/>
      <c r="K12" s="10"/>
      <c r="L12" s="10"/>
    </row>
    <row r="13" spans="1:12">
      <c r="A13" s="118" t="s">
        <v>17</v>
      </c>
      <c r="B13" s="538">
        <v>5</v>
      </c>
      <c r="E13" s="934"/>
      <c r="F13" s="934"/>
      <c r="G13" s="945"/>
      <c r="H13" s="945"/>
      <c r="I13" s="10"/>
      <c r="J13" s="10"/>
      <c r="K13" s="10"/>
      <c r="L13" s="10"/>
    </row>
    <row r="14" spans="1:12">
      <c r="A14" s="118" t="s">
        <v>184</v>
      </c>
      <c r="B14" s="538">
        <v>1.5</v>
      </c>
      <c r="E14" s="934"/>
      <c r="F14" s="934"/>
      <c r="G14" s="945"/>
      <c r="H14" s="945"/>
      <c r="I14" s="10"/>
      <c r="J14" s="10"/>
      <c r="K14" s="10"/>
      <c r="L14" s="10"/>
    </row>
    <row r="15" spans="1:12">
      <c r="A15" s="118" t="s">
        <v>185</v>
      </c>
      <c r="B15" s="538">
        <v>18</v>
      </c>
      <c r="E15" s="934"/>
      <c r="F15" s="934"/>
      <c r="G15" s="945"/>
      <c r="H15" s="945"/>
      <c r="I15" s="10"/>
      <c r="J15" s="10"/>
      <c r="K15" s="10"/>
      <c r="L15" s="10"/>
    </row>
    <row r="16" spans="1:12">
      <c r="A16" s="118" t="s">
        <v>823</v>
      </c>
      <c r="B16" s="539">
        <v>10</v>
      </c>
      <c r="E16" s="934"/>
      <c r="F16" s="934"/>
      <c r="G16" s="945"/>
      <c r="H16" s="945"/>
      <c r="I16" s="10"/>
      <c r="J16" s="10"/>
      <c r="K16" s="10"/>
      <c r="L16" s="10"/>
    </row>
    <row r="17" spans="1:12" s="43" customFormat="1" ht="15.75" thickBot="1">
      <c r="A17" s="119"/>
      <c r="B17" s="540"/>
      <c r="E17" s="936"/>
      <c r="F17" s="936"/>
      <c r="G17" s="154"/>
      <c r="H17" s="154"/>
      <c r="I17" s="154"/>
      <c r="J17" s="154"/>
      <c r="K17" s="154"/>
      <c r="L17" s="154"/>
    </row>
    <row r="18" spans="1:12" s="43" customFormat="1" ht="15.75" thickBot="1">
      <c r="A18" s="195"/>
      <c r="B18" s="541"/>
      <c r="E18" s="936"/>
      <c r="F18" s="936"/>
      <c r="G18" s="154"/>
      <c r="H18" s="154"/>
      <c r="I18" s="154"/>
      <c r="J18" s="154"/>
      <c r="K18" s="154"/>
      <c r="L18" s="154"/>
    </row>
    <row r="19" spans="1:12" ht="18.75" thickBot="1">
      <c r="A19" s="121" t="s">
        <v>187</v>
      </c>
      <c r="B19" s="534"/>
      <c r="E19" s="934"/>
      <c r="F19" s="934"/>
      <c r="G19" s="10"/>
      <c r="H19" s="10"/>
      <c r="I19" s="10"/>
      <c r="J19" s="10"/>
      <c r="K19" s="10"/>
      <c r="L19" s="10"/>
    </row>
    <row r="20" spans="1:12">
      <c r="A20" s="44" t="s">
        <v>821</v>
      </c>
      <c r="B20" s="535"/>
      <c r="E20" s="934"/>
      <c r="F20" s="934"/>
      <c r="G20" s="10"/>
      <c r="H20" s="10"/>
      <c r="I20" s="10"/>
      <c r="J20" s="10"/>
      <c r="K20" s="10"/>
      <c r="L20" s="10"/>
    </row>
    <row r="21" spans="1:12">
      <c r="A21" s="44"/>
      <c r="B21" s="535"/>
      <c r="E21" s="934"/>
      <c r="F21" s="934"/>
      <c r="G21" s="10"/>
      <c r="H21" s="10"/>
      <c r="I21" s="10"/>
      <c r="J21" s="10"/>
      <c r="K21" s="10"/>
      <c r="L21" s="10"/>
    </row>
    <row r="22" spans="1:12" ht="18">
      <c r="A22" s="138" t="s">
        <v>180</v>
      </c>
      <c r="B22" s="542" t="s">
        <v>387</v>
      </c>
      <c r="E22" s="934"/>
      <c r="F22" s="934"/>
      <c r="G22" s="10"/>
      <c r="H22" s="10"/>
      <c r="I22" s="10"/>
      <c r="J22" s="10"/>
      <c r="K22" s="10"/>
      <c r="L22" s="10"/>
    </row>
    <row r="23" spans="1:12" s="72" customFormat="1">
      <c r="A23" s="118" t="s">
        <v>182</v>
      </c>
      <c r="B23" s="538">
        <v>11.179298215104232</v>
      </c>
      <c r="E23" s="937"/>
      <c r="F23" s="937"/>
      <c r="G23" s="948"/>
      <c r="H23" s="948"/>
    </row>
    <row r="24" spans="1:12">
      <c r="A24" s="117" t="s">
        <v>183</v>
      </c>
      <c r="B24" s="538">
        <v>4.2231090152811745</v>
      </c>
      <c r="E24" s="934"/>
      <c r="F24" s="934"/>
      <c r="G24" s="945"/>
      <c r="H24" s="945"/>
      <c r="I24" s="10"/>
      <c r="J24" s="10"/>
      <c r="K24" s="10"/>
      <c r="L24" s="10"/>
    </row>
    <row r="25" spans="1:12">
      <c r="A25" s="117" t="s">
        <v>6</v>
      </c>
      <c r="B25" s="538">
        <v>38.500010322620319</v>
      </c>
      <c r="E25" s="934"/>
      <c r="F25" s="934"/>
      <c r="G25" s="945"/>
      <c r="H25" s="945"/>
      <c r="I25" s="10"/>
      <c r="J25" s="10"/>
      <c r="K25" s="10"/>
      <c r="L25" s="10"/>
    </row>
    <row r="26" spans="1:12">
      <c r="A26" s="117" t="s">
        <v>7</v>
      </c>
      <c r="B26" s="538">
        <v>2.6387483538958847</v>
      </c>
      <c r="E26" s="934"/>
      <c r="F26" s="934"/>
      <c r="G26" s="945"/>
      <c r="H26" s="945"/>
      <c r="I26" s="10"/>
      <c r="J26" s="10"/>
      <c r="K26" s="10"/>
      <c r="L26" s="10"/>
    </row>
    <row r="27" spans="1:12">
      <c r="A27" s="117" t="s">
        <v>8</v>
      </c>
      <c r="B27" s="538">
        <v>1.1993683996109175</v>
      </c>
      <c r="E27" s="934"/>
      <c r="F27" s="934"/>
      <c r="G27" s="945"/>
      <c r="H27" s="945"/>
      <c r="I27" s="10"/>
      <c r="J27" s="10"/>
      <c r="K27" s="10"/>
      <c r="L27" s="10"/>
    </row>
    <row r="28" spans="1:12">
      <c r="A28" s="117" t="s">
        <v>9</v>
      </c>
      <c r="B28" s="538">
        <v>5.0655067831320864</v>
      </c>
      <c r="E28" s="934"/>
      <c r="F28" s="934"/>
      <c r="G28" s="945"/>
      <c r="H28" s="945"/>
      <c r="I28" s="10"/>
      <c r="J28" s="10"/>
      <c r="K28" s="10"/>
      <c r="L28" s="10"/>
    </row>
    <row r="29" spans="1:12">
      <c r="A29" s="117" t="s">
        <v>10</v>
      </c>
      <c r="B29" s="538">
        <v>3.8951527391088074</v>
      </c>
      <c r="E29" s="934"/>
      <c r="F29" s="934"/>
      <c r="G29" s="945"/>
      <c r="H29" s="945"/>
      <c r="I29" s="10"/>
      <c r="J29" s="10"/>
      <c r="K29" s="10"/>
      <c r="L29" s="10"/>
    </row>
    <row r="30" spans="1:12">
      <c r="A30" s="118" t="s">
        <v>184</v>
      </c>
      <c r="B30" s="538">
        <v>4.4523135992211316</v>
      </c>
      <c r="E30" s="934"/>
      <c r="F30" s="934"/>
      <c r="G30" s="945"/>
      <c r="H30" s="945"/>
      <c r="I30" s="10"/>
      <c r="J30" s="10"/>
      <c r="K30" s="10"/>
      <c r="L30" s="10"/>
    </row>
    <row r="31" spans="1:12">
      <c r="A31" s="117" t="s">
        <v>11</v>
      </c>
      <c r="B31" s="538">
        <v>1.6075002802320006</v>
      </c>
      <c r="E31" s="934"/>
      <c r="F31" s="934"/>
      <c r="G31" s="945"/>
      <c r="H31" s="945"/>
      <c r="I31" s="10"/>
      <c r="J31" s="10"/>
      <c r="K31" s="10"/>
      <c r="L31" s="10"/>
    </row>
    <row r="32" spans="1:12">
      <c r="A32" s="117" t="s">
        <v>12</v>
      </c>
      <c r="B32" s="538">
        <v>4.8225008406960006</v>
      </c>
      <c r="E32" s="934"/>
      <c r="F32" s="934"/>
      <c r="G32" s="945"/>
      <c r="H32" s="945"/>
      <c r="I32" s="10"/>
      <c r="J32" s="10"/>
      <c r="K32" s="10"/>
      <c r="L32" s="10"/>
    </row>
    <row r="33" spans="1:14">
      <c r="A33" s="117" t="s">
        <v>13</v>
      </c>
      <c r="B33" s="538">
        <v>6.3685027042560023</v>
      </c>
      <c r="E33" s="934"/>
      <c r="F33" s="934"/>
      <c r="G33" s="945"/>
      <c r="H33" s="945"/>
      <c r="I33" s="10"/>
      <c r="J33" s="10"/>
      <c r="K33" s="10"/>
      <c r="L33" s="10"/>
    </row>
    <row r="34" spans="1:14">
      <c r="A34" s="117" t="s">
        <v>14</v>
      </c>
      <c r="B34" s="538">
        <v>4.6362973013280016</v>
      </c>
      <c r="E34" s="934"/>
      <c r="F34" s="934"/>
      <c r="G34" s="945"/>
      <c r="H34" s="945"/>
      <c r="I34" s="10"/>
      <c r="J34" s="10"/>
      <c r="K34" s="10"/>
      <c r="L34" s="10"/>
    </row>
    <row r="35" spans="1:14">
      <c r="A35" s="117" t="s">
        <v>15</v>
      </c>
      <c r="B35" s="538">
        <v>12.338973989496003</v>
      </c>
      <c r="E35" s="934"/>
      <c r="F35" s="934"/>
      <c r="G35" s="945"/>
      <c r="H35" s="945"/>
      <c r="I35" s="10"/>
      <c r="J35" s="10"/>
      <c r="K35" s="10"/>
      <c r="L35" s="10"/>
    </row>
    <row r="36" spans="1:14">
      <c r="A36" s="118" t="s">
        <v>16</v>
      </c>
      <c r="B36" s="538">
        <v>0.19</v>
      </c>
      <c r="E36" s="934"/>
      <c r="F36" s="934"/>
      <c r="G36" s="945"/>
      <c r="H36" s="945"/>
      <c r="I36" s="10"/>
      <c r="J36" s="10"/>
      <c r="K36" s="10"/>
      <c r="L36" s="10"/>
    </row>
    <row r="37" spans="1:14">
      <c r="A37" s="118" t="s">
        <v>17</v>
      </c>
      <c r="B37" s="538">
        <v>0.13</v>
      </c>
      <c r="E37" s="674"/>
      <c r="F37" s="674"/>
      <c r="G37" s="946"/>
      <c r="H37" s="946"/>
    </row>
    <row r="38" spans="1:14">
      <c r="A38" s="118" t="s">
        <v>185</v>
      </c>
      <c r="B38" s="538">
        <v>1.5599999999999998</v>
      </c>
      <c r="E38" s="674"/>
      <c r="F38" s="674"/>
      <c r="G38" s="946"/>
      <c r="H38" s="946"/>
    </row>
    <row r="39" spans="1:14">
      <c r="A39" s="118" t="s">
        <v>186</v>
      </c>
      <c r="B39" s="538">
        <v>0.76</v>
      </c>
      <c r="E39" s="674"/>
      <c r="F39" s="674"/>
      <c r="G39" s="946"/>
      <c r="H39" s="946"/>
    </row>
    <row r="40" spans="1:14">
      <c r="A40" s="118" t="s">
        <v>18</v>
      </c>
      <c r="B40" s="539">
        <v>2.3420549746359747E-2</v>
      </c>
      <c r="E40" s="674"/>
      <c r="F40" s="674"/>
      <c r="G40" s="946"/>
      <c r="H40" s="946"/>
    </row>
    <row r="41" spans="1:14" ht="15.75" thickBot="1">
      <c r="A41" s="119"/>
      <c r="B41" s="543"/>
      <c r="E41" s="674"/>
      <c r="F41" s="674"/>
    </row>
    <row r="42" spans="1:14" s="43" customFormat="1" ht="15.75" thickBot="1">
      <c r="A42" s="196"/>
      <c r="B42" s="541"/>
      <c r="E42" s="938"/>
      <c r="F42" s="938"/>
      <c r="G42" s="197"/>
      <c r="H42" s="197"/>
      <c r="I42" s="197"/>
      <c r="J42" s="197"/>
      <c r="K42" s="197"/>
      <c r="L42" s="197"/>
      <c r="M42" s="197"/>
      <c r="N42" s="197"/>
    </row>
    <row r="43" spans="1:14" ht="15.75" thickBot="1">
      <c r="A43" s="121" t="s">
        <v>188</v>
      </c>
      <c r="B43" s="544"/>
      <c r="E43" s="674"/>
      <c r="F43" s="674"/>
    </row>
    <row r="44" spans="1:14">
      <c r="A44" s="44" t="s">
        <v>822</v>
      </c>
      <c r="B44" s="535"/>
      <c r="E44" s="674"/>
      <c r="F44" s="674"/>
    </row>
    <row r="45" spans="1:14">
      <c r="A45" s="44"/>
      <c r="B45" s="535"/>
      <c r="E45" s="674"/>
      <c r="F45" s="674"/>
    </row>
    <row r="46" spans="1:14" ht="18">
      <c r="A46" s="137" t="s">
        <v>189</v>
      </c>
      <c r="B46" s="536" t="s">
        <v>569</v>
      </c>
      <c r="E46" s="674"/>
      <c r="F46" s="674"/>
    </row>
    <row r="47" spans="1:14">
      <c r="A47" s="116" t="s">
        <v>190</v>
      </c>
      <c r="B47" s="1082">
        <v>0.88861662939023001</v>
      </c>
      <c r="E47" s="674"/>
      <c r="F47" s="674"/>
    </row>
    <row r="48" spans="1:14">
      <c r="A48" s="118" t="s">
        <v>191</v>
      </c>
      <c r="B48" s="1083">
        <v>0.94614482368636998</v>
      </c>
      <c r="E48" s="674"/>
      <c r="F48" s="674"/>
    </row>
    <row r="49" spans="1:12">
      <c r="A49" s="118" t="s">
        <v>184</v>
      </c>
      <c r="B49" s="1083">
        <v>3.107112902577E-2</v>
      </c>
      <c r="E49" s="674"/>
      <c r="F49" s="674"/>
    </row>
    <row r="50" spans="1:12">
      <c r="A50" s="118" t="s">
        <v>18</v>
      </c>
      <c r="B50" s="1084">
        <v>9.5679604357000003E-4</v>
      </c>
      <c r="E50" s="934"/>
      <c r="F50" s="934"/>
      <c r="G50" s="10"/>
      <c r="H50" s="10"/>
      <c r="I50" s="10"/>
      <c r="J50" s="10"/>
      <c r="K50" s="10"/>
      <c r="L50" s="10"/>
    </row>
    <row r="51" spans="1:12">
      <c r="A51" s="118" t="s">
        <v>16</v>
      </c>
      <c r="B51" s="1085">
        <v>6.4874437414799997E-3</v>
      </c>
      <c r="E51" s="934"/>
      <c r="F51" s="934"/>
      <c r="G51" s="10"/>
      <c r="H51" s="10"/>
      <c r="I51" s="10"/>
      <c r="J51" s="10"/>
      <c r="K51" s="10"/>
      <c r="L51" s="10"/>
    </row>
    <row r="52" spans="1:12" ht="15.75" thickBot="1">
      <c r="A52" s="119" t="s">
        <v>126</v>
      </c>
      <c r="B52" s="1086">
        <v>9.7935082605305673E-2</v>
      </c>
      <c r="E52" s="674"/>
      <c r="F52" s="674"/>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heetViews>
  <sheetFormatPr defaultRowHeight="15"/>
  <cols>
    <col min="1" max="1" width="80" customWidth="1"/>
    <col min="2" max="2" width="36" style="476" customWidth="1"/>
    <col min="3" max="3" width="70.28515625" style="549" customWidth="1"/>
  </cols>
  <sheetData>
    <row r="1" spans="1:3" s="334" customFormat="1" ht="15.75" thickBot="1">
      <c r="A1" s="391" t="s">
        <v>620</v>
      </c>
      <c r="B1" s="547"/>
      <c r="C1" s="548"/>
    </row>
    <row r="2" spans="1:3" s="334" customFormat="1">
      <c r="A2" s="395"/>
      <c r="B2" s="515"/>
      <c r="C2" s="550"/>
    </row>
    <row r="3" spans="1:3" s="334" customFormat="1">
      <c r="A3" s="393"/>
      <c r="B3" s="551">
        <v>2017</v>
      </c>
      <c r="C3" s="396" t="s">
        <v>181</v>
      </c>
    </row>
    <row r="4" spans="1:3">
      <c r="A4" s="120" t="s">
        <v>300</v>
      </c>
      <c r="B4" s="552">
        <v>4560.3379253907206</v>
      </c>
      <c r="C4" s="139" t="s">
        <v>824</v>
      </c>
    </row>
    <row r="5" spans="1:3" ht="15.75" thickBot="1">
      <c r="A5" s="958" t="s">
        <v>619</v>
      </c>
      <c r="B5" s="966">
        <v>675419.64000000013</v>
      </c>
      <c r="C5" s="967" t="s">
        <v>825</v>
      </c>
    </row>
    <row r="11" spans="1:3">
      <c r="B11" s="82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437</v>
      </c>
      <c r="B1" s="392"/>
    </row>
    <row r="2" spans="1:2" s="334" customFormat="1">
      <c r="A2" s="383"/>
      <c r="B2" s="390"/>
    </row>
    <row r="3" spans="1:2" s="334" customFormat="1" ht="18">
      <c r="A3" s="393"/>
      <c r="B3" s="394" t="s">
        <v>440</v>
      </c>
    </row>
    <row r="4" spans="1:2" ht="18">
      <c r="A4" s="120" t="s">
        <v>438</v>
      </c>
      <c r="B4" s="553">
        <v>310</v>
      </c>
    </row>
    <row r="5" spans="1:2" ht="18.75" thickBot="1">
      <c r="A5" s="115" t="s">
        <v>439</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198</v>
      </c>
      <c r="C1" s="388" t="s">
        <v>199</v>
      </c>
      <c r="D1" s="388" t="s">
        <v>200</v>
      </c>
      <c r="E1" s="388" t="s">
        <v>201</v>
      </c>
      <c r="F1" s="388" t="s">
        <v>119</v>
      </c>
      <c r="G1" s="388" t="s">
        <v>202</v>
      </c>
      <c r="H1" s="388" t="s">
        <v>203</v>
      </c>
      <c r="I1" s="388" t="s">
        <v>204</v>
      </c>
      <c r="J1" s="388" t="s">
        <v>205</v>
      </c>
      <c r="K1" s="388" t="s">
        <v>206</v>
      </c>
      <c r="L1" s="388" t="s">
        <v>207</v>
      </c>
      <c r="M1" s="389" t="s">
        <v>290</v>
      </c>
    </row>
    <row r="2" spans="1:13" s="334" customFormat="1">
      <c r="A2" s="383" t="s">
        <v>427</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428</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383</v>
      </c>
      <c r="B2" s="819"/>
      <c r="C2" s="434"/>
    </row>
    <row r="3" spans="1:3" s="15" customFormat="1" ht="15.75">
      <c r="A3" s="98"/>
      <c r="B3" s="70"/>
      <c r="C3" s="99"/>
    </row>
    <row r="4" spans="1:3" s="334" customFormat="1">
      <c r="A4" s="414" t="s">
        <v>362</v>
      </c>
      <c r="B4" s="436" t="s">
        <v>374</v>
      </c>
      <c r="C4" s="437" t="s">
        <v>373</v>
      </c>
    </row>
    <row r="5" spans="1:3" s="334" customFormat="1">
      <c r="A5" s="438"/>
      <c r="B5" s="356"/>
      <c r="C5" s="390"/>
    </row>
    <row r="6" spans="1:3" s="334" customFormat="1">
      <c r="A6" s="950" t="s">
        <v>649</v>
      </c>
      <c r="B6" s="439" t="s">
        <v>778</v>
      </c>
      <c r="C6" s="440" t="s">
        <v>357</v>
      </c>
    </row>
    <row r="7" spans="1:3" s="334" customFormat="1">
      <c r="A7" s="950" t="s">
        <v>741</v>
      </c>
      <c r="B7" s="441" t="s">
        <v>596</v>
      </c>
      <c r="C7" s="442" t="s">
        <v>595</v>
      </c>
    </row>
    <row r="8" spans="1:3" s="334" customFormat="1">
      <c r="A8" s="471"/>
      <c r="B8" s="441"/>
      <c r="C8" s="442"/>
    </row>
    <row r="9" spans="1:3" ht="21">
      <c r="A9" s="126" t="s">
        <v>463</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A4" workbookViewId="0">
      <selection activeCell="C31" sqref="C31"/>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479</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497</v>
      </c>
      <c r="B3" s="49">
        <f ca="1">IF(ISERROR('SEAP template'!C27),0,'SEAP template'!C27)</f>
        <v>16220.849664355053</v>
      </c>
      <c r="C3" s="43" t="s">
        <v>169</v>
      </c>
      <c r="D3" s="43"/>
      <c r="E3" s="154"/>
      <c r="F3" s="43"/>
      <c r="G3" s="43"/>
      <c r="H3" s="43"/>
      <c r="I3" s="43"/>
      <c r="J3" s="43"/>
      <c r="K3" s="96"/>
    </row>
    <row r="4" spans="1:11">
      <c r="A4" s="383" t="s">
        <v>170</v>
      </c>
      <c r="B4" s="49">
        <f>IF(ISERROR('SEAP template'!B78),0,'SEAP template'!B78)</f>
        <v>1996.6136944324153</v>
      </c>
      <c r="C4" s="43" t="s">
        <v>169</v>
      </c>
      <c r="D4" s="43"/>
      <c r="E4" s="43"/>
      <c r="F4" s="43"/>
      <c r="G4" s="43"/>
      <c r="H4" s="43"/>
      <c r="I4" s="43"/>
      <c r="J4" s="43"/>
      <c r="K4" s="96"/>
    </row>
    <row r="5" spans="1:11">
      <c r="A5" s="383" t="s">
        <v>530</v>
      </c>
      <c r="B5" s="49">
        <f>IF(ISERROR('Eigen informatie GS &amp; warmtenet'!B4),0,'Eigen informatie GS &amp; warmtenet'!B4)</f>
        <v>0</v>
      </c>
      <c r="C5" s="43" t="s">
        <v>169</v>
      </c>
      <c r="D5" s="43"/>
      <c r="E5" s="43"/>
      <c r="F5" s="43"/>
      <c r="G5" s="43"/>
      <c r="H5" s="43"/>
      <c r="I5" s="43"/>
      <c r="J5" s="43"/>
      <c r="K5" s="96"/>
    </row>
    <row r="6" spans="1:11">
      <c r="A6" s="383" t="s">
        <v>171</v>
      </c>
      <c r="B6" s="556">
        <f>E6</f>
        <v>0.221</v>
      </c>
      <c r="C6" s="43" t="s">
        <v>172</v>
      </c>
      <c r="D6" s="43"/>
      <c r="E6" s="964">
        <v>0.221</v>
      </c>
      <c r="F6" s="43" t="s">
        <v>704</v>
      </c>
      <c r="G6" s="43" t="s">
        <v>709</v>
      </c>
      <c r="H6" s="43"/>
      <c r="I6" s="43"/>
      <c r="J6" s="43"/>
      <c r="K6" s="96"/>
    </row>
    <row r="7" spans="1:11">
      <c r="A7" s="383"/>
      <c r="B7" s="478"/>
      <c r="C7" s="43"/>
      <c r="D7" s="43"/>
      <c r="E7" s="43"/>
      <c r="F7" s="48"/>
      <c r="G7" s="43"/>
      <c r="H7" s="43"/>
      <c r="I7" s="43"/>
      <c r="J7" s="43"/>
      <c r="K7" s="96"/>
    </row>
    <row r="8" spans="1:11">
      <c r="A8" s="383"/>
      <c r="B8" s="478"/>
      <c r="C8" s="43"/>
      <c r="D8" s="43"/>
      <c r="E8" s="43"/>
      <c r="F8" s="48"/>
      <c r="G8" s="43"/>
      <c r="H8" s="963"/>
      <c r="I8" s="155"/>
      <c r="J8" s="43"/>
      <c r="K8" s="96"/>
    </row>
    <row r="9" spans="1:11">
      <c r="A9" s="383" t="s">
        <v>174</v>
      </c>
      <c r="B9" s="49">
        <f>IF(ISERROR('SEAP template'!Q78),0,'SEAP template'!Q78)</f>
        <v>0</v>
      </c>
      <c r="C9" s="43" t="s">
        <v>173</v>
      </c>
      <c r="D9" s="43"/>
      <c r="E9" s="43"/>
      <c r="F9" s="43"/>
      <c r="G9" s="43"/>
      <c r="H9" s="43"/>
      <c r="I9" s="43"/>
      <c r="J9" s="43"/>
      <c r="K9" s="96"/>
    </row>
    <row r="10" spans="1:11">
      <c r="A10" s="383" t="s">
        <v>403</v>
      </c>
      <c r="B10" s="48">
        <v>0</v>
      </c>
      <c r="C10" s="43" t="s">
        <v>173</v>
      </c>
      <c r="D10" s="154"/>
      <c r="E10" s="43"/>
      <c r="F10" s="43"/>
      <c r="G10" s="43"/>
      <c r="H10" s="43"/>
      <c r="I10" s="43"/>
      <c r="J10" s="43"/>
      <c r="K10" s="96"/>
    </row>
    <row r="11" spans="1:11">
      <c r="A11" s="383"/>
      <c r="B11" s="478"/>
      <c r="C11" s="43"/>
      <c r="D11" s="43"/>
      <c r="E11" s="43"/>
      <c r="F11" s="43"/>
      <c r="G11" s="43"/>
      <c r="H11" s="43"/>
      <c r="I11" s="43"/>
      <c r="J11" s="43"/>
      <c r="K11" s="96"/>
    </row>
    <row r="12" spans="1:11">
      <c r="A12" s="384" t="s">
        <v>175</v>
      </c>
      <c r="B12" s="555">
        <f ca="1">IF((B4+B5)&gt;B3,(B9+B10)/(B4+B5),((B3-B4-B5)*B6+B9+B10)/B3)</f>
        <v>0.19379725565552808</v>
      </c>
      <c r="C12" s="43" t="s">
        <v>172</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480</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176</v>
      </c>
      <c r="B17" s="49">
        <f>IF(ISERROR('SEAP template'!Q90),0,'SEAP template'!Q90)</f>
        <v>0</v>
      </c>
      <c r="C17" s="43" t="s">
        <v>173</v>
      </c>
      <c r="D17" s="43"/>
      <c r="E17" s="43"/>
      <c r="F17" s="43"/>
      <c r="G17" s="43"/>
      <c r="H17" s="43"/>
      <c r="I17" s="43"/>
      <c r="J17" s="43"/>
      <c r="K17" s="96"/>
    </row>
    <row r="18" spans="1:11">
      <c r="A18" s="383" t="s">
        <v>177</v>
      </c>
      <c r="B18" s="49">
        <f>IF(ISERROR('Eigen informatie GS &amp; warmtenet'!B52),0,'Eigen informatie GS &amp; warmtenet'!B52)</f>
        <v>0</v>
      </c>
      <c r="C18" s="43" t="s">
        <v>173</v>
      </c>
      <c r="D18" s="43"/>
      <c r="E18" s="43"/>
      <c r="F18" s="43"/>
      <c r="G18" s="43"/>
      <c r="H18" s="43"/>
      <c r="I18" s="43"/>
      <c r="J18" s="43"/>
      <c r="K18" s="96"/>
    </row>
    <row r="19" spans="1:11">
      <c r="A19" s="383" t="s">
        <v>301</v>
      </c>
      <c r="B19" s="49">
        <f>IF(ISERROR('Eigen informatie GS &amp; warmtenet'!B53),0,'Eigen informatie GS &amp; warmtenet'!B53)</f>
        <v>0</v>
      </c>
      <c r="C19" s="43" t="s">
        <v>173</v>
      </c>
      <c r="D19" s="43"/>
      <c r="E19" s="43"/>
      <c r="F19" s="43"/>
      <c r="G19" s="43"/>
      <c r="H19" s="43"/>
      <c r="I19" s="43"/>
      <c r="J19" s="43"/>
      <c r="K19" s="96"/>
    </row>
    <row r="20" spans="1:11">
      <c r="A20" s="383" t="s">
        <v>498</v>
      </c>
      <c r="B20" s="49">
        <f ca="1">IF(ISERROR('SEAP template'!D27),0,('SEAP template'!D27))</f>
        <v>0</v>
      </c>
      <c r="C20" s="43" t="s">
        <v>169</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178</v>
      </c>
      <c r="B22" s="557">
        <f ca="1">IF(B20=0,0,(B17+B18-B19)/B20)</f>
        <v>0</v>
      </c>
      <c r="C22" s="43" t="s">
        <v>172</v>
      </c>
      <c r="K22" s="96"/>
    </row>
    <row r="23" spans="1:11" ht="15.75" thickBot="1">
      <c r="A23" s="385"/>
      <c r="B23" s="108"/>
      <c r="C23" s="108"/>
      <c r="D23" s="108"/>
      <c r="E23" s="108"/>
      <c r="F23" s="108"/>
      <c r="G23" s="108"/>
      <c r="H23" s="108"/>
      <c r="I23" s="108"/>
      <c r="J23" s="108"/>
      <c r="K23" s="109"/>
    </row>
    <row r="34" spans="1:1">
      <c r="A34" s="334"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B1" workbookViewId="0">
      <selection activeCell="B2" sqref="B2:F33"/>
    </sheetView>
  </sheetViews>
  <sheetFormatPr defaultColWidth="9.140625" defaultRowHeight="15"/>
  <cols>
    <col min="1" max="1" width="56.85546875" style="914"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14" t="s">
        <v>668</v>
      </c>
      <c r="B1" s="914" t="s">
        <v>307</v>
      </c>
      <c r="C1" s="914" t="s">
        <v>311</v>
      </c>
      <c r="D1" s="914" t="s">
        <v>312</v>
      </c>
      <c r="E1" s="914" t="s">
        <v>313</v>
      </c>
      <c r="F1" s="914" t="s">
        <v>314</v>
      </c>
      <c r="H1" s="957" t="s">
        <v>795</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59">
        <v>1.269E-8</v>
      </c>
    </row>
    <row r="3" spans="1:8">
      <c r="A3" s="316" t="str">
        <f>CONCATENATE(TableECFTransport[[#This Row],[Voertuigtype]],"_",TableECFTransport[[#This Row],[Wegtype]],"_",TableECFTransport[[#This Row],[Brandstoftechnologie]],"_",TableECFTransport[[#This Row],[Brandstof]])</f>
        <v>BUS_Genummerde wegen_Diesel_Diesel</v>
      </c>
      <c r="B3" s="316" t="s">
        <v>666</v>
      </c>
      <c r="C3" s="316" t="s">
        <v>63</v>
      </c>
      <c r="D3" s="316" t="s">
        <v>201</v>
      </c>
      <c r="E3" s="316" t="s">
        <v>201</v>
      </c>
      <c r="F3" s="1059">
        <v>9.3451699999999999E-9</v>
      </c>
    </row>
    <row r="4" spans="1:8">
      <c r="A4" s="316" t="str">
        <f>CONCATENATE(TableECFTransport[[#This Row],[Voertuigtype]],"_",TableECFTransport[[#This Row],[Wegtype]],"_",TableECFTransport[[#This Row],[Brandstoftechnologie]],"_",TableECFTransport[[#This Row],[Brandstof]])</f>
        <v>BUS_Niet-genummerde wegen_Diesel_Diesel</v>
      </c>
      <c r="B4" s="316" t="s">
        <v>666</v>
      </c>
      <c r="C4" s="316" t="s">
        <v>64</v>
      </c>
      <c r="D4" s="316" t="s">
        <v>201</v>
      </c>
      <c r="E4" s="316" t="s">
        <v>201</v>
      </c>
      <c r="F4" s="1059">
        <v>1.6622300000000001E-8</v>
      </c>
    </row>
    <row r="5" spans="1:8">
      <c r="A5" s="316" t="str">
        <f>CONCATENATE(TableECFTransport[[#This Row],[Voertuigtype]],"_",TableECFTransport[[#This Row],[Wegtype]],"_",TableECFTransport[[#This Row],[Brandstoftechnologie]],"_",TableECFTransport[[#This Row],[Brandstof]])</f>
        <v>BUS_Genummerde wegen_Diesel Hybrid CS_Diesel</v>
      </c>
      <c r="B5" s="316" t="s">
        <v>666</v>
      </c>
      <c r="C5" s="316" t="s">
        <v>63</v>
      </c>
      <c r="D5" s="316" t="s">
        <v>316</v>
      </c>
      <c r="E5" s="316" t="s">
        <v>201</v>
      </c>
      <c r="F5" s="1059">
        <v>9.3451699999999999E-9</v>
      </c>
    </row>
    <row r="6" spans="1:8" s="914" customFormat="1">
      <c r="A6" s="316" t="str">
        <f>CONCATENATE(TableECFTransport[[#This Row],[Voertuigtype]],"_",TableECFTransport[[#This Row],[Wegtype]],"_",TableECFTransport[[#This Row],[Brandstoftechnologie]],"_",TableECFTransport[[#This Row],[Brandstof]])</f>
        <v>BUS_Niet-genummerde wegen_Diesel Hybrid CS_Diesel</v>
      </c>
      <c r="B6" s="316" t="s">
        <v>666</v>
      </c>
      <c r="C6" s="316" t="s">
        <v>64</v>
      </c>
      <c r="D6" s="316" t="s">
        <v>316</v>
      </c>
      <c r="E6" s="316" t="s">
        <v>201</v>
      </c>
      <c r="F6" s="1059">
        <v>1.6622300000000001E-8</v>
      </c>
    </row>
    <row r="7" spans="1:8">
      <c r="A7" s="316" t="str">
        <f>CONCATENATE(TableECFTransport[[#This Row],[Voertuigtype]],"_",TableECFTransport[[#This Row],[Wegtype]],"_",TableECFTransport[[#This Row],[Brandstoftechnologie]],"_",TableECFTransport[[#This Row],[Brandstof]])</f>
        <v>Lichte voertuigen_Genummerde wegen_CNG_CNG</v>
      </c>
      <c r="B7" s="316" t="s">
        <v>650</v>
      </c>
      <c r="C7" s="316" t="s">
        <v>63</v>
      </c>
      <c r="D7" s="316" t="s">
        <v>308</v>
      </c>
      <c r="E7" s="316" t="s">
        <v>308</v>
      </c>
      <c r="F7" s="1059">
        <v>2.4278100000000001E-9</v>
      </c>
    </row>
    <row r="8" spans="1:8">
      <c r="A8" s="316" t="str">
        <f>CONCATENATE(TableECFTransport[[#This Row],[Voertuigtype]],"_",TableECFTransport[[#This Row],[Wegtype]],"_",TableECFTransport[[#This Row],[Brandstoftechnologie]],"_",TableECFTransport[[#This Row],[Brandstof]])</f>
        <v>Lichte voertuigen_Genummerde wegen_Diesel_Diesel</v>
      </c>
      <c r="B8" s="316" t="s">
        <v>650</v>
      </c>
      <c r="C8" s="316" t="s">
        <v>63</v>
      </c>
      <c r="D8" s="316" t="s">
        <v>201</v>
      </c>
      <c r="E8" s="316" t="s">
        <v>201</v>
      </c>
      <c r="F8" s="1059">
        <v>2.1113200000000001E-9</v>
      </c>
    </row>
    <row r="9" spans="1:8">
      <c r="A9" s="316" t="str">
        <f>CONCATENATE(TableECFTransport[[#This Row],[Voertuigtype]],"_",TableECFTransport[[#This Row],[Wegtype]],"_",TableECFTransport[[#This Row],[Brandstoftechnologie]],"_",TableECFTransport[[#This Row],[Brandstof]])</f>
        <v>Lichte voertuigen_Genummerde wegen_E85_E85</v>
      </c>
      <c r="B9" s="316" t="s">
        <v>650</v>
      </c>
      <c r="C9" s="316" t="s">
        <v>63</v>
      </c>
      <c r="D9" s="316" t="s">
        <v>642</v>
      </c>
      <c r="E9" s="316" t="s">
        <v>642</v>
      </c>
      <c r="F9" s="1059">
        <v>2.2290300000000001E-9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650</v>
      </c>
      <c r="C10" s="316" t="s">
        <v>63</v>
      </c>
      <c r="D10" s="316" t="s">
        <v>309</v>
      </c>
      <c r="E10" s="316" t="s">
        <v>309</v>
      </c>
      <c r="F10" s="1059">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650</v>
      </c>
      <c r="C11" s="316" t="s">
        <v>63</v>
      </c>
      <c r="D11" s="316" t="s">
        <v>118</v>
      </c>
      <c r="E11" s="316" t="s">
        <v>118</v>
      </c>
      <c r="F11" s="1059">
        <v>2.1422399999999998E-9</v>
      </c>
    </row>
    <row r="12" spans="1:8">
      <c r="A12" s="316" t="str">
        <f>CONCATENATE(TableECFTransport[[#This Row],[Voertuigtype]],"_",TableECFTransport[[#This Row],[Wegtype]],"_",TableECFTransport[[#This Row],[Brandstoftechnologie]],"_",TableECFTransport[[#This Row],[Brandstof]])</f>
        <v>Lichte voertuigen_Genummerde wegen_Petrol_Petrol</v>
      </c>
      <c r="B12" s="316" t="s">
        <v>650</v>
      </c>
      <c r="C12" s="316" t="s">
        <v>63</v>
      </c>
      <c r="D12" s="316" t="s">
        <v>310</v>
      </c>
      <c r="E12" s="316" t="s">
        <v>310</v>
      </c>
      <c r="F12" s="1059">
        <v>2.1465200000000002E-9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650</v>
      </c>
      <c r="C13" s="316" t="s">
        <v>63</v>
      </c>
      <c r="D13" s="316" t="s">
        <v>670</v>
      </c>
      <c r="E13" s="316" t="s">
        <v>310</v>
      </c>
      <c r="F13" s="1059">
        <v>1.3507200000000001E-9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650</v>
      </c>
      <c r="C14" s="316" t="s">
        <v>64</v>
      </c>
      <c r="D14" s="316" t="s">
        <v>308</v>
      </c>
      <c r="E14" s="316" t="s">
        <v>308</v>
      </c>
      <c r="F14" s="1059">
        <v>4.2966000000000002E-9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650</v>
      </c>
      <c r="C15" s="316" t="s">
        <v>64</v>
      </c>
      <c r="D15" s="316" t="s">
        <v>201</v>
      </c>
      <c r="E15" s="316" t="s">
        <v>201</v>
      </c>
      <c r="F15" s="1059">
        <v>3.2144500000000002E-9</v>
      </c>
    </row>
    <row r="16" spans="1:8">
      <c r="A16" s="316" t="str">
        <f>CONCATENATE(TableECFTransport[[#This Row],[Voertuigtype]],"_",TableECFTransport[[#This Row],[Wegtype]],"_",TableECFTransport[[#This Row],[Brandstoftechnologie]],"_",TableECFTransport[[#This Row],[Brandstof]])</f>
        <v>Lichte voertuigen_Niet-genummerde wegen_E85_E85</v>
      </c>
      <c r="B16" s="316" t="s">
        <v>650</v>
      </c>
      <c r="C16" s="316" t="s">
        <v>64</v>
      </c>
      <c r="D16" s="316" t="s">
        <v>642</v>
      </c>
      <c r="E16" s="316" t="s">
        <v>642</v>
      </c>
      <c r="F16" s="1059">
        <v>3.65342E-9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650</v>
      </c>
      <c r="C17" s="316" t="s">
        <v>64</v>
      </c>
      <c r="D17" s="316" t="s">
        <v>309</v>
      </c>
      <c r="E17" s="316" t="s">
        <v>309</v>
      </c>
      <c r="F17" s="1059">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650</v>
      </c>
      <c r="C18" s="316" t="s">
        <v>64</v>
      </c>
      <c r="D18" s="316" t="s">
        <v>118</v>
      </c>
      <c r="E18" s="316" t="s">
        <v>118</v>
      </c>
      <c r="F18" s="1059">
        <v>3.51469E-9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650</v>
      </c>
      <c r="C19" s="316" t="s">
        <v>64</v>
      </c>
      <c r="D19" s="316" t="s">
        <v>310</v>
      </c>
      <c r="E19" s="316" t="s">
        <v>310</v>
      </c>
      <c r="F19" s="1059">
        <v>3.7015700000000001E-9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650</v>
      </c>
      <c r="C20" s="316" t="s">
        <v>64</v>
      </c>
      <c r="D20" s="316" t="s">
        <v>670</v>
      </c>
      <c r="E20" s="316" t="s">
        <v>310</v>
      </c>
      <c r="F20" s="1059">
        <v>1.399E-9</v>
      </c>
    </row>
    <row r="21" spans="1:7">
      <c r="A21" s="316" t="str">
        <f>CONCATENATE(TableECFTransport[[#This Row],[Voertuigtype]],"_",TableECFTransport[[#This Row],[Wegtype]],"_",TableECFTransport[[#This Row],[Brandstoftechnologie]],"_",TableECFTransport[[#This Row],[Brandstof]])</f>
        <v>Lichte voertuigen_snelwegen_CNG_CNG</v>
      </c>
      <c r="B21" s="316" t="s">
        <v>650</v>
      </c>
      <c r="C21" s="316" t="s">
        <v>667</v>
      </c>
      <c r="D21" s="316" t="s">
        <v>308</v>
      </c>
      <c r="E21" s="316" t="s">
        <v>308</v>
      </c>
      <c r="F21" s="1059">
        <v>2.5364300000000001E-9</v>
      </c>
    </row>
    <row r="22" spans="1:7">
      <c r="A22" s="316" t="str">
        <f>CONCATENATE(TableECFTransport[[#This Row],[Voertuigtype]],"_",TableECFTransport[[#This Row],[Wegtype]],"_",TableECFTransport[[#This Row],[Brandstoftechnologie]],"_",TableECFTransport[[#This Row],[Brandstof]])</f>
        <v>Lichte voertuigen_snelwegen_Diesel_Diesel</v>
      </c>
      <c r="B22" s="316" t="s">
        <v>650</v>
      </c>
      <c r="C22" s="316" t="s">
        <v>667</v>
      </c>
      <c r="D22" s="316" t="s">
        <v>201</v>
      </c>
      <c r="E22" s="316" t="s">
        <v>201</v>
      </c>
      <c r="F22" s="1059">
        <v>2.4391600000000001E-9</v>
      </c>
    </row>
    <row r="23" spans="1:7">
      <c r="A23" s="316" t="str">
        <f>CONCATENATE(TableECFTransport[[#This Row],[Voertuigtype]],"_",TableECFTransport[[#This Row],[Wegtype]],"_",TableECFTransport[[#This Row],[Brandstoftechnologie]],"_",TableECFTransport[[#This Row],[Brandstof]])</f>
        <v>Lichte voertuigen_snelwegen_E85_E85</v>
      </c>
      <c r="B23" s="316" t="s">
        <v>650</v>
      </c>
      <c r="C23" s="316" t="s">
        <v>667</v>
      </c>
      <c r="D23" s="316" t="s">
        <v>642</v>
      </c>
      <c r="E23" s="316" t="s">
        <v>642</v>
      </c>
      <c r="F23" s="1059">
        <v>2.33157E-9</v>
      </c>
    </row>
    <row r="24" spans="1:7">
      <c r="A24" s="316" t="str">
        <f>CONCATENATE(TableECFTransport[[#This Row],[Voertuigtype]],"_",TableECFTransport[[#This Row],[Wegtype]],"_",TableECFTransport[[#This Row],[Brandstoftechnologie]],"_",TableECFTransport[[#This Row],[Brandstof]])</f>
        <v>Lichte voertuigen_snelwegen_Electric_Electric</v>
      </c>
      <c r="B24" s="316" t="s">
        <v>650</v>
      </c>
      <c r="C24" s="316" t="s">
        <v>667</v>
      </c>
      <c r="D24" s="316" t="s">
        <v>309</v>
      </c>
      <c r="E24" s="316" t="s">
        <v>309</v>
      </c>
      <c r="F24" s="1059">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650</v>
      </c>
      <c r="C25" s="316" t="s">
        <v>667</v>
      </c>
      <c r="D25" s="316" t="s">
        <v>118</v>
      </c>
      <c r="E25" s="316" t="s">
        <v>118</v>
      </c>
      <c r="F25" s="1059">
        <v>2.7860899999999998E-9</v>
      </c>
    </row>
    <row r="26" spans="1:7">
      <c r="A26" s="316" t="str">
        <f>CONCATENATE(TableECFTransport[[#This Row],[Voertuigtype]],"_",TableECFTransport[[#This Row],[Wegtype]],"_",TableECFTransport[[#This Row],[Brandstoftechnologie]],"_",TableECFTransport[[#This Row],[Brandstof]])</f>
        <v>Lichte voertuigen_snelwegen_Petrol_Petrol</v>
      </c>
      <c r="B26" s="316" t="s">
        <v>650</v>
      </c>
      <c r="C26" s="316" t="s">
        <v>667</v>
      </c>
      <c r="D26" s="316" t="s">
        <v>310</v>
      </c>
      <c r="E26" s="316" t="s">
        <v>310</v>
      </c>
      <c r="F26" s="1059">
        <v>2.33619E-9</v>
      </c>
    </row>
    <row r="27" spans="1:7">
      <c r="A27" s="316" t="str">
        <f>CONCATENATE(TableECFTransport[[#This Row],[Voertuigtype]],"_",TableECFTransport[[#This Row],[Wegtype]],"_",TableECFTransport[[#This Row],[Brandstoftechnologie]],"_",TableECFTransport[[#This Row],[Brandstof]])</f>
        <v>Lichte voertuigen_snelwegen_Petrol Hybrid_Petrol</v>
      </c>
      <c r="B27" s="316" t="s">
        <v>650</v>
      </c>
      <c r="C27" s="316" t="s">
        <v>667</v>
      </c>
      <c r="D27" s="316" t="s">
        <v>670</v>
      </c>
      <c r="E27" s="316" t="s">
        <v>310</v>
      </c>
      <c r="F27" s="1059">
        <v>1.8266500000000001E-9</v>
      </c>
      <c r="G27" s="940"/>
    </row>
    <row r="28" spans="1:7">
      <c r="A28" s="316" t="str">
        <f>CONCATENATE(TableECFTransport[[#This Row],[Voertuigtype]],"_",TableECFTransport[[#This Row],[Wegtype]],"_",TableECFTransport[[#This Row],[Brandstoftechnologie]],"_",TableECFTransport[[#This Row],[Brandstof]])</f>
        <v>Zware voertuigen_Genummerde wegen_Diesel_Diesel</v>
      </c>
      <c r="B28" s="316" t="s">
        <v>651</v>
      </c>
      <c r="C28" s="316" t="s">
        <v>63</v>
      </c>
      <c r="D28" s="316" t="s">
        <v>201</v>
      </c>
      <c r="E28" s="316" t="s">
        <v>201</v>
      </c>
      <c r="F28" s="1059">
        <v>1.0009499999999999E-8</v>
      </c>
    </row>
    <row r="29" spans="1:7">
      <c r="A29" s="316" t="str">
        <f>CONCATENATE(TableECFTransport[[#This Row],[Voertuigtype]],"_",TableECFTransport[[#This Row],[Wegtype]],"_",TableECFTransport[[#This Row],[Brandstoftechnologie]],"_",TableECFTransport[[#This Row],[Brandstof]])</f>
        <v>Zware voertuigen_Genummerde wegen_Petrol_Petrol</v>
      </c>
      <c r="B29" s="316" t="s">
        <v>651</v>
      </c>
      <c r="C29" s="316" t="s">
        <v>63</v>
      </c>
      <c r="D29" s="316" t="s">
        <v>310</v>
      </c>
      <c r="E29" s="316" t="s">
        <v>310</v>
      </c>
      <c r="F29" s="1059">
        <v>6.3502599999999999E-9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651</v>
      </c>
      <c r="C30" s="316" t="s">
        <v>64</v>
      </c>
      <c r="D30" s="316" t="s">
        <v>201</v>
      </c>
      <c r="E30" s="316" t="s">
        <v>201</v>
      </c>
      <c r="F30" s="1059">
        <v>1.28055E-8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651</v>
      </c>
      <c r="C31" s="316" t="s">
        <v>64</v>
      </c>
      <c r="D31" s="316" t="s">
        <v>310</v>
      </c>
      <c r="E31" s="316" t="s">
        <v>310</v>
      </c>
      <c r="F31" s="1060">
        <v>7.6655399999999996E-9</v>
      </c>
    </row>
    <row r="32" spans="1:7">
      <c r="A32" s="316" t="str">
        <f>CONCATENATE(TableECFTransport[[#This Row],[Voertuigtype]],"_",TableECFTransport[[#This Row],[Wegtype]],"_",TableECFTransport[[#This Row],[Brandstoftechnologie]],"_",TableECFTransport[[#This Row],[Brandstof]])</f>
        <v>Zware voertuigen_snelwegen_Diesel_Diesel</v>
      </c>
      <c r="B32" s="316" t="s">
        <v>651</v>
      </c>
      <c r="C32" s="316" t="s">
        <v>667</v>
      </c>
      <c r="D32" s="316" t="s">
        <v>201</v>
      </c>
      <c r="E32" s="316" t="s">
        <v>201</v>
      </c>
      <c r="F32" s="1060">
        <v>9.5113900000000002E-9</v>
      </c>
    </row>
    <row r="33" spans="1:6">
      <c r="A33" s="316" t="str">
        <f>CONCATENATE(TableECFTransport[[#This Row],[Voertuigtype]],"_",TableECFTransport[[#This Row],[Wegtype]],"_",TableECFTransport[[#This Row],[Brandstoftechnologie]],"_",TableECFTransport[[#This Row],[Brandstof]])</f>
        <v>Zware voertuigen_snelwegen_Petrol_Petrol</v>
      </c>
      <c r="B33" s="316" t="s">
        <v>651</v>
      </c>
      <c r="C33" s="316" t="s">
        <v>667</v>
      </c>
      <c r="D33" s="316" t="s">
        <v>310</v>
      </c>
      <c r="E33" s="316" t="s">
        <v>310</v>
      </c>
      <c r="F33" s="1060">
        <v>6.53557E-9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V10" sqref="V10"/>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2017</v>
      </c>
      <c r="B1" s="121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16"/>
      <c r="B2" s="121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16"/>
      <c r="B3" s="121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949" t="s">
        <v>845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86">
        <v>0</v>
      </c>
      <c r="D7" s="886">
        <v>0.52745073808780263</v>
      </c>
      <c r="E7" s="886">
        <v>0</v>
      </c>
      <c r="F7" s="887">
        <v>0.52745073808780263</v>
      </c>
      <c r="G7" s="886">
        <v>0</v>
      </c>
      <c r="H7" s="886">
        <v>0</v>
      </c>
      <c r="I7" s="886">
        <v>1.5666045695520829</v>
      </c>
      <c r="J7" s="886">
        <v>0.64811057430018204</v>
      </c>
      <c r="K7" s="886">
        <v>0</v>
      </c>
      <c r="L7" s="886">
        <v>49.750788767220307</v>
      </c>
      <c r="M7" s="886">
        <v>0</v>
      </c>
      <c r="N7" s="886">
        <v>0</v>
      </c>
      <c r="O7" s="886">
        <v>0</v>
      </c>
      <c r="P7" s="886">
        <v>0</v>
      </c>
      <c r="Q7" s="886">
        <v>0</v>
      </c>
      <c r="R7" s="887">
        <v>51.965503911072574</v>
      </c>
      <c r="S7" s="886">
        <v>88.90375124169357</v>
      </c>
      <c r="T7" s="886">
        <v>0</v>
      </c>
      <c r="U7" s="886">
        <v>0</v>
      </c>
      <c r="V7" s="887">
        <v>88.90375124169357</v>
      </c>
      <c r="W7" s="887">
        <v>141.39670589085392</v>
      </c>
      <c r="X7" s="886">
        <v>0</v>
      </c>
      <c r="Y7" s="886">
        <v>13.46369264932186</v>
      </c>
      <c r="Z7" s="886">
        <v>36.952193045278833</v>
      </c>
      <c r="AA7" s="888">
        <v>2.089248331381937</v>
      </c>
      <c r="AB7" s="888">
        <v>0</v>
      </c>
      <c r="AC7" s="887">
        <v>193.90183991683656</v>
      </c>
    </row>
    <row r="8" spans="1:29">
      <c r="A8" s="216" t="s">
        <v>155</v>
      </c>
      <c r="B8" s="217"/>
      <c r="C8" s="889">
        <v>0</v>
      </c>
      <c r="D8" s="889">
        <v>8.422096044597235E-5</v>
      </c>
      <c r="E8" s="889">
        <v>0</v>
      </c>
      <c r="F8" s="890">
        <v>8.422096044597235E-5</v>
      </c>
      <c r="G8" s="889">
        <v>0</v>
      </c>
      <c r="H8" s="889">
        <v>0</v>
      </c>
      <c r="I8" s="889">
        <v>0.56727724000051882</v>
      </c>
      <c r="J8" s="889">
        <v>2.4791664180833406E-3</v>
      </c>
      <c r="K8" s="889">
        <v>0</v>
      </c>
      <c r="L8" s="889">
        <v>5.0406699023032298</v>
      </c>
      <c r="M8" s="889">
        <v>0</v>
      </c>
      <c r="N8" s="889">
        <v>8.1699505616511358E-3</v>
      </c>
      <c r="O8" s="889">
        <v>0</v>
      </c>
      <c r="P8" s="889">
        <v>0</v>
      </c>
      <c r="Q8" s="889">
        <v>0</v>
      </c>
      <c r="R8" s="890">
        <v>5.6185962592834828</v>
      </c>
      <c r="S8" s="889">
        <v>49.277148522315571</v>
      </c>
      <c r="T8" s="889">
        <v>0</v>
      </c>
      <c r="U8" s="889">
        <v>0</v>
      </c>
      <c r="V8" s="890">
        <v>49.277148522315571</v>
      </c>
      <c r="W8" s="890">
        <v>54.895829002559502</v>
      </c>
      <c r="X8" s="889">
        <v>2.0446414912000002</v>
      </c>
      <c r="Y8" s="889">
        <v>3.3274826215189397</v>
      </c>
      <c r="Z8" s="889">
        <v>43.946405207965398</v>
      </c>
      <c r="AA8" s="891">
        <v>1.0079017734366742</v>
      </c>
      <c r="AB8" s="891">
        <v>0</v>
      </c>
      <c r="AC8" s="890">
        <v>105.2222600966805</v>
      </c>
    </row>
    <row r="9" spans="1:29">
      <c r="A9" s="3"/>
      <c r="B9" s="6" t="s">
        <v>156</v>
      </c>
      <c r="C9" s="892">
        <v>0</v>
      </c>
      <c r="D9" s="892">
        <v>0</v>
      </c>
      <c r="E9" s="892">
        <v>0</v>
      </c>
      <c r="F9" s="893">
        <v>0</v>
      </c>
      <c r="G9" s="892">
        <v>0</v>
      </c>
      <c r="H9" s="892">
        <v>0</v>
      </c>
      <c r="I9" s="892">
        <v>5.132883529515387E-2</v>
      </c>
      <c r="J9" s="892">
        <v>0</v>
      </c>
      <c r="K9" s="892">
        <v>0</v>
      </c>
      <c r="L9" s="892">
        <v>0.57495587277897353</v>
      </c>
      <c r="M9" s="892">
        <v>0</v>
      </c>
      <c r="N9" s="892">
        <v>0</v>
      </c>
      <c r="O9" s="892">
        <v>0</v>
      </c>
      <c r="P9" s="892">
        <v>0</v>
      </c>
      <c r="Q9" s="892">
        <v>0</v>
      </c>
      <c r="R9" s="893">
        <v>0.62628470807412739</v>
      </c>
      <c r="S9" s="892">
        <v>6.1507041691658371</v>
      </c>
      <c r="T9" s="892">
        <v>0</v>
      </c>
      <c r="U9" s="892">
        <v>0</v>
      </c>
      <c r="V9" s="893">
        <v>6.1507041691658371</v>
      </c>
      <c r="W9" s="893">
        <v>6.7769888772399645</v>
      </c>
      <c r="X9" s="892">
        <v>1.6592400000000002E-4</v>
      </c>
      <c r="Y9" s="892">
        <v>7.1666597294400001E-4</v>
      </c>
      <c r="Z9" s="892">
        <v>4.7803141242494425</v>
      </c>
      <c r="AA9" s="894">
        <v>0</v>
      </c>
      <c r="AB9" s="894">
        <v>0</v>
      </c>
      <c r="AC9" s="893">
        <v>11.558185591462351</v>
      </c>
    </row>
    <row r="10" spans="1:29">
      <c r="A10" s="3"/>
      <c r="B10" s="6" t="s">
        <v>157</v>
      </c>
      <c r="C10" s="892">
        <v>0</v>
      </c>
      <c r="D10" s="892">
        <v>0</v>
      </c>
      <c r="E10" s="892">
        <v>0</v>
      </c>
      <c r="F10" s="893">
        <v>0</v>
      </c>
      <c r="G10" s="892">
        <v>0</v>
      </c>
      <c r="H10" s="892">
        <v>0</v>
      </c>
      <c r="I10" s="892">
        <v>6.6906221338454844E-3</v>
      </c>
      <c r="J10" s="892">
        <v>0</v>
      </c>
      <c r="K10" s="892">
        <v>0</v>
      </c>
      <c r="L10" s="892">
        <v>0.29345498054121505</v>
      </c>
      <c r="M10" s="892">
        <v>0</v>
      </c>
      <c r="N10" s="892">
        <v>0</v>
      </c>
      <c r="O10" s="892">
        <v>0</v>
      </c>
      <c r="P10" s="892">
        <v>0</v>
      </c>
      <c r="Q10" s="892">
        <v>0</v>
      </c>
      <c r="R10" s="893">
        <v>0.30014560267506052</v>
      </c>
      <c r="S10" s="892">
        <v>5.9201684564363823</v>
      </c>
      <c r="T10" s="892">
        <v>0</v>
      </c>
      <c r="U10" s="892">
        <v>0</v>
      </c>
      <c r="V10" s="893">
        <v>5.9201684564363823</v>
      </c>
      <c r="W10" s="893">
        <v>6.220314059111443</v>
      </c>
      <c r="X10" s="892">
        <v>2.176344E-4</v>
      </c>
      <c r="Y10" s="892">
        <v>2.777427344E-2</v>
      </c>
      <c r="Z10" s="892">
        <v>3.5696156971730266</v>
      </c>
      <c r="AA10" s="894">
        <v>0</v>
      </c>
      <c r="AB10" s="894">
        <v>0</v>
      </c>
      <c r="AC10" s="893">
        <v>9.8179216641244693</v>
      </c>
    </row>
    <row r="11" spans="1:29">
      <c r="A11" s="3"/>
      <c r="B11" s="6" t="s">
        <v>158</v>
      </c>
      <c r="C11" s="892">
        <v>0</v>
      </c>
      <c r="D11" s="892">
        <v>0</v>
      </c>
      <c r="E11" s="892">
        <v>0</v>
      </c>
      <c r="F11" s="893">
        <v>0</v>
      </c>
      <c r="G11" s="892">
        <v>0</v>
      </c>
      <c r="H11" s="892">
        <v>0</v>
      </c>
      <c r="I11" s="892">
        <v>3.2214550816571368E-2</v>
      </c>
      <c r="J11" s="892">
        <v>0</v>
      </c>
      <c r="K11" s="892">
        <v>0</v>
      </c>
      <c r="L11" s="892">
        <v>0.15188492423482045</v>
      </c>
      <c r="M11" s="892">
        <v>0</v>
      </c>
      <c r="N11" s="892">
        <v>0</v>
      </c>
      <c r="O11" s="892">
        <v>0</v>
      </c>
      <c r="P11" s="892">
        <v>0</v>
      </c>
      <c r="Q11" s="892">
        <v>0</v>
      </c>
      <c r="R11" s="893">
        <v>0.18409947505139182</v>
      </c>
      <c r="S11" s="892">
        <v>3.5220119095496627</v>
      </c>
      <c r="T11" s="892">
        <v>0</v>
      </c>
      <c r="U11" s="892">
        <v>0</v>
      </c>
      <c r="V11" s="893">
        <v>3.5220119095496627</v>
      </c>
      <c r="W11" s="893">
        <v>3.7061113846010545</v>
      </c>
      <c r="X11" s="892">
        <v>0</v>
      </c>
      <c r="Y11" s="892">
        <v>2.8088309999999995E-3</v>
      </c>
      <c r="Z11" s="892">
        <v>1.2629774356632055</v>
      </c>
      <c r="AA11" s="894">
        <v>0</v>
      </c>
      <c r="AB11" s="894">
        <v>0</v>
      </c>
      <c r="AC11" s="893">
        <v>4.9718976512642596</v>
      </c>
    </row>
    <row r="12" spans="1:29">
      <c r="A12" s="3"/>
      <c r="B12" s="6" t="s">
        <v>159</v>
      </c>
      <c r="C12" s="892">
        <v>0</v>
      </c>
      <c r="D12" s="892">
        <v>0</v>
      </c>
      <c r="E12" s="892">
        <v>0</v>
      </c>
      <c r="F12" s="893">
        <v>0</v>
      </c>
      <c r="G12" s="892">
        <v>0</v>
      </c>
      <c r="H12" s="892">
        <v>0</v>
      </c>
      <c r="I12" s="892">
        <v>0.13655100187259481</v>
      </c>
      <c r="J12" s="892">
        <v>2.4791664180833406E-3</v>
      </c>
      <c r="K12" s="892">
        <v>0</v>
      </c>
      <c r="L12" s="892">
        <v>2.0747435894963222</v>
      </c>
      <c r="M12" s="892">
        <v>0</v>
      </c>
      <c r="N12" s="892">
        <v>0</v>
      </c>
      <c r="O12" s="892">
        <v>0</v>
      </c>
      <c r="P12" s="892">
        <v>0</v>
      </c>
      <c r="Q12" s="892">
        <v>0</v>
      </c>
      <c r="R12" s="893">
        <v>2.2137737577870005</v>
      </c>
      <c r="S12" s="892">
        <v>18.560759711144847</v>
      </c>
      <c r="T12" s="892">
        <v>0</v>
      </c>
      <c r="U12" s="892">
        <v>0</v>
      </c>
      <c r="V12" s="893">
        <v>18.560759711144847</v>
      </c>
      <c r="W12" s="893">
        <v>20.774533468931846</v>
      </c>
      <c r="X12" s="892">
        <v>1.502424E-4</v>
      </c>
      <c r="Y12" s="892">
        <v>9.1204627001629998E-3</v>
      </c>
      <c r="Z12" s="892">
        <v>16.969857442219837</v>
      </c>
      <c r="AA12" s="894">
        <v>0</v>
      </c>
      <c r="AB12" s="894">
        <v>0</v>
      </c>
      <c r="AC12" s="893">
        <v>37.753661616251847</v>
      </c>
    </row>
    <row r="13" spans="1:29">
      <c r="A13" s="3"/>
      <c r="B13" s="6" t="s">
        <v>160</v>
      </c>
      <c r="C13" s="892">
        <v>0</v>
      </c>
      <c r="D13" s="892">
        <v>0</v>
      </c>
      <c r="E13" s="892">
        <v>0</v>
      </c>
      <c r="F13" s="893">
        <v>0</v>
      </c>
      <c r="G13" s="892">
        <v>0</v>
      </c>
      <c r="H13" s="892">
        <v>0</v>
      </c>
      <c r="I13" s="892">
        <v>0.33284454808615954</v>
      </c>
      <c r="J13" s="892">
        <v>0</v>
      </c>
      <c r="K13" s="892">
        <v>0</v>
      </c>
      <c r="L13" s="892">
        <v>1.1833841626097379</v>
      </c>
      <c r="M13" s="892">
        <v>0</v>
      </c>
      <c r="N13" s="892">
        <v>1.9452263242026517E-4</v>
      </c>
      <c r="O13" s="892">
        <v>0</v>
      </c>
      <c r="P13" s="892">
        <v>0</v>
      </c>
      <c r="Q13" s="892">
        <v>0</v>
      </c>
      <c r="R13" s="893">
        <v>1.5164232333283176</v>
      </c>
      <c r="S13" s="892">
        <v>9.3094257820397903</v>
      </c>
      <c r="T13" s="892">
        <v>0</v>
      </c>
      <c r="U13" s="892">
        <v>0</v>
      </c>
      <c r="V13" s="893">
        <v>9.3094257820397903</v>
      </c>
      <c r="W13" s="893">
        <v>10.825849015368108</v>
      </c>
      <c r="X13" s="892">
        <v>1.2228839999999999E-4</v>
      </c>
      <c r="Y13" s="892">
        <v>4.9164834239999993E-3</v>
      </c>
      <c r="Z13" s="892">
        <v>12.402478312413399</v>
      </c>
      <c r="AA13" s="894">
        <v>0</v>
      </c>
      <c r="AB13" s="894">
        <v>0</v>
      </c>
      <c r="AC13" s="893">
        <v>23.233366099605504</v>
      </c>
    </row>
    <row r="14" spans="1:29">
      <c r="A14" s="218"/>
      <c r="B14" s="219" t="s">
        <v>161</v>
      </c>
      <c r="C14" s="895">
        <v>0</v>
      </c>
      <c r="D14" s="895">
        <v>8.422096044597235E-5</v>
      </c>
      <c r="E14" s="895">
        <v>0</v>
      </c>
      <c r="F14" s="896">
        <v>8.422096044597235E-5</v>
      </c>
      <c r="G14" s="892">
        <v>0</v>
      </c>
      <c r="H14" s="892">
        <v>0</v>
      </c>
      <c r="I14" s="892">
        <v>7.6476817961937549E-3</v>
      </c>
      <c r="J14" s="892">
        <v>0</v>
      </c>
      <c r="K14" s="892">
        <v>0</v>
      </c>
      <c r="L14" s="892">
        <v>0.76224637264216044</v>
      </c>
      <c r="M14" s="892">
        <v>0</v>
      </c>
      <c r="N14" s="892">
        <v>7.9754279292308713E-3</v>
      </c>
      <c r="O14" s="892">
        <v>0</v>
      </c>
      <c r="P14" s="892">
        <v>0</v>
      </c>
      <c r="Q14" s="892">
        <v>0</v>
      </c>
      <c r="R14" s="896">
        <v>0.77786948236758513</v>
      </c>
      <c r="S14" s="892">
        <v>5.81407849397905</v>
      </c>
      <c r="T14" s="895">
        <v>0</v>
      </c>
      <c r="U14" s="895">
        <v>0</v>
      </c>
      <c r="V14" s="896">
        <v>5.81407849397905</v>
      </c>
      <c r="W14" s="896">
        <v>6.5920321973070815</v>
      </c>
      <c r="X14" s="892">
        <v>2.0439854020000001</v>
      </c>
      <c r="Y14" s="892">
        <v>3.2821459049818329</v>
      </c>
      <c r="Z14" s="892">
        <v>4.9611621962464918</v>
      </c>
      <c r="AA14" s="897">
        <v>0</v>
      </c>
      <c r="AB14" s="897">
        <v>0</v>
      </c>
      <c r="AC14" s="896">
        <v>16.879325700535407</v>
      </c>
    </row>
    <row r="15" spans="1:29">
      <c r="A15" s="216" t="s">
        <v>162</v>
      </c>
      <c r="B15" s="220"/>
      <c r="C15" s="898">
        <v>0</v>
      </c>
      <c r="D15" s="898">
        <v>0.21173284720000002</v>
      </c>
      <c r="E15" s="898">
        <v>0.16942030000000005</v>
      </c>
      <c r="F15" s="899">
        <v>0.38115314720000004</v>
      </c>
      <c r="G15" s="898">
        <v>0</v>
      </c>
      <c r="H15" s="898">
        <v>0</v>
      </c>
      <c r="I15" s="898">
        <v>2.1804930898997452</v>
      </c>
      <c r="J15" s="898">
        <v>0.19655239249581599</v>
      </c>
      <c r="K15" s="898">
        <v>0</v>
      </c>
      <c r="L15" s="898">
        <v>7.8203242186953368</v>
      </c>
      <c r="M15" s="898">
        <v>0</v>
      </c>
      <c r="N15" s="898">
        <v>0.38246948642598161</v>
      </c>
      <c r="O15" s="898">
        <v>0</v>
      </c>
      <c r="P15" s="898">
        <v>5.1943599999999999E-2</v>
      </c>
      <c r="Q15" s="898">
        <v>0</v>
      </c>
      <c r="R15" s="1087">
        <v>10.631782787516878</v>
      </c>
      <c r="S15" s="898">
        <v>33.235823944046203</v>
      </c>
      <c r="T15" s="898">
        <v>0</v>
      </c>
      <c r="U15" s="898">
        <v>0</v>
      </c>
      <c r="V15" s="1087">
        <v>33.235823944046203</v>
      </c>
      <c r="W15" s="1087">
        <v>44.248759878763074</v>
      </c>
      <c r="X15" s="898">
        <v>0</v>
      </c>
      <c r="Y15" s="898">
        <v>1.7956245817203664</v>
      </c>
      <c r="Z15" s="898">
        <v>46.137670575239426</v>
      </c>
      <c r="AA15" s="900">
        <v>3.6134693391023376E-2</v>
      </c>
      <c r="AB15" s="900">
        <v>0</v>
      </c>
      <c r="AC15" s="899">
        <v>92.218189729113917</v>
      </c>
    </row>
    <row r="16" spans="1:29">
      <c r="A16" s="5"/>
      <c r="B16" s="6" t="s">
        <v>34</v>
      </c>
      <c r="C16" s="901">
        <v>0</v>
      </c>
      <c r="D16" s="901">
        <v>0</v>
      </c>
      <c r="E16" s="901">
        <v>0</v>
      </c>
      <c r="F16" s="893">
        <v>0</v>
      </c>
      <c r="G16" s="901">
        <v>0</v>
      </c>
      <c r="H16" s="901">
        <v>0</v>
      </c>
      <c r="I16" s="901">
        <v>1.377E-3</v>
      </c>
      <c r="J16" s="901">
        <v>0</v>
      </c>
      <c r="K16" s="901">
        <v>0</v>
      </c>
      <c r="L16" s="901">
        <v>1.6707572352129989E-2</v>
      </c>
      <c r="M16" s="901">
        <v>0</v>
      </c>
      <c r="N16" s="901">
        <v>0</v>
      </c>
      <c r="O16" s="901">
        <v>0</v>
      </c>
      <c r="P16" s="901">
        <v>0</v>
      </c>
      <c r="Q16" s="901">
        <v>0</v>
      </c>
      <c r="R16" s="893">
        <v>1.8084572352129989E-2</v>
      </c>
      <c r="S16" s="901">
        <v>0.35929156687840091</v>
      </c>
      <c r="T16" s="901">
        <v>0</v>
      </c>
      <c r="U16" s="901">
        <v>0</v>
      </c>
      <c r="V16" s="902">
        <v>0.35929156687840091</v>
      </c>
      <c r="W16" s="893">
        <v>0.37737613923053093</v>
      </c>
      <c r="X16" s="901">
        <v>0</v>
      </c>
      <c r="Y16" s="901">
        <v>0</v>
      </c>
      <c r="Z16" s="901">
        <v>0.65551757239999908</v>
      </c>
      <c r="AA16" s="894">
        <v>0</v>
      </c>
      <c r="AB16" s="894">
        <v>0</v>
      </c>
      <c r="AC16" s="893">
        <v>1.0328937116305301</v>
      </c>
    </row>
    <row r="17" spans="1:31">
      <c r="A17" s="5"/>
      <c r="B17" s="6" t="s">
        <v>37</v>
      </c>
      <c r="C17" s="901">
        <v>0</v>
      </c>
      <c r="D17" s="901">
        <v>0</v>
      </c>
      <c r="E17" s="901">
        <v>0.16314800000000007</v>
      </c>
      <c r="F17" s="893">
        <v>0.16314800000000007</v>
      </c>
      <c r="G17" s="901">
        <v>0</v>
      </c>
      <c r="H17" s="901">
        <v>0</v>
      </c>
      <c r="I17" s="901">
        <v>4.7100365030000001E-3</v>
      </c>
      <c r="J17" s="901">
        <v>0</v>
      </c>
      <c r="K17" s="901">
        <v>0</v>
      </c>
      <c r="L17" s="901">
        <v>7.6051493139287024E-2</v>
      </c>
      <c r="M17" s="901">
        <v>0</v>
      </c>
      <c r="N17" s="901">
        <v>0</v>
      </c>
      <c r="O17" s="901">
        <v>0</v>
      </c>
      <c r="P17" s="901">
        <v>3.22536E-2</v>
      </c>
      <c r="Q17" s="901">
        <v>0</v>
      </c>
      <c r="R17" s="893">
        <v>0.11301512964228702</v>
      </c>
      <c r="S17" s="901">
        <v>1.3299160862816004</v>
      </c>
      <c r="T17" s="901">
        <v>0</v>
      </c>
      <c r="U17" s="901">
        <v>0</v>
      </c>
      <c r="V17" s="902">
        <v>1.3299160862816004</v>
      </c>
      <c r="W17" s="893">
        <v>1.6060792159238875</v>
      </c>
      <c r="X17" s="901">
        <v>0</v>
      </c>
      <c r="Y17" s="901">
        <v>0</v>
      </c>
      <c r="Z17" s="901">
        <v>1.4703655668000009</v>
      </c>
      <c r="AA17" s="894">
        <v>0</v>
      </c>
      <c r="AB17" s="894">
        <v>0</v>
      </c>
      <c r="AC17" s="893">
        <v>3.0764447827238883</v>
      </c>
    </row>
    <row r="18" spans="1:31">
      <c r="A18" s="5"/>
      <c r="B18" s="6" t="s">
        <v>35</v>
      </c>
      <c r="C18" s="901">
        <v>0</v>
      </c>
      <c r="D18" s="901">
        <v>0</v>
      </c>
      <c r="E18" s="901">
        <v>6.2722999999999807E-3</v>
      </c>
      <c r="F18" s="893">
        <v>6.2722999999999807E-3</v>
      </c>
      <c r="G18" s="901">
        <v>0</v>
      </c>
      <c r="H18" s="901">
        <v>0</v>
      </c>
      <c r="I18" s="901">
        <v>4.498904429128283E-2</v>
      </c>
      <c r="J18" s="901">
        <v>7.2468007500000008E-3</v>
      </c>
      <c r="K18" s="901">
        <v>0</v>
      </c>
      <c r="L18" s="901">
        <v>0.39844235609005241</v>
      </c>
      <c r="M18" s="901">
        <v>0</v>
      </c>
      <c r="N18" s="901">
        <v>0.19137718987464059</v>
      </c>
      <c r="O18" s="901">
        <v>0</v>
      </c>
      <c r="P18" s="901">
        <v>0</v>
      </c>
      <c r="Q18" s="901">
        <v>0</v>
      </c>
      <c r="R18" s="893">
        <v>0.64205539100597586</v>
      </c>
      <c r="S18" s="901">
        <v>4.4417160691517026</v>
      </c>
      <c r="T18" s="901">
        <v>0</v>
      </c>
      <c r="U18" s="901">
        <v>0</v>
      </c>
      <c r="V18" s="902">
        <v>4.4417160691517026</v>
      </c>
      <c r="W18" s="893">
        <v>5.0900437601576787</v>
      </c>
      <c r="X18" s="901">
        <v>0</v>
      </c>
      <c r="Y18" s="901">
        <v>7.8840732460062998E-2</v>
      </c>
      <c r="Z18" s="901">
        <v>6.2360944132231744</v>
      </c>
      <c r="AA18" s="894">
        <v>0</v>
      </c>
      <c r="AB18" s="894">
        <v>0</v>
      </c>
      <c r="AC18" s="893">
        <v>11.404978905840917</v>
      </c>
    </row>
    <row r="19" spans="1:31">
      <c r="A19" s="5"/>
      <c r="B19" s="6" t="s">
        <v>32</v>
      </c>
      <c r="C19" s="901">
        <v>0</v>
      </c>
      <c r="D19" s="901">
        <v>0</v>
      </c>
      <c r="E19" s="901">
        <v>0</v>
      </c>
      <c r="F19" s="893">
        <v>0</v>
      </c>
      <c r="G19" s="901">
        <v>0</v>
      </c>
      <c r="H19" s="901">
        <v>0</v>
      </c>
      <c r="I19" s="901">
        <v>1.9834441926141926</v>
      </c>
      <c r="J19" s="901">
        <v>0.18930559174581599</v>
      </c>
      <c r="K19" s="901">
        <v>0</v>
      </c>
      <c r="L19" s="901">
        <v>5.8070510470299324</v>
      </c>
      <c r="M19" s="901">
        <v>0</v>
      </c>
      <c r="N19" s="901">
        <v>0.12511607704933211</v>
      </c>
      <c r="O19" s="901">
        <v>0</v>
      </c>
      <c r="P19" s="901">
        <v>0</v>
      </c>
      <c r="Q19" s="901">
        <v>0</v>
      </c>
      <c r="R19" s="893">
        <v>8.1049169084392734</v>
      </c>
      <c r="S19" s="901">
        <v>5.0889163436350628</v>
      </c>
      <c r="T19" s="901">
        <v>0</v>
      </c>
      <c r="U19" s="901">
        <v>0</v>
      </c>
      <c r="V19" s="902">
        <v>5.0889163436350628</v>
      </c>
      <c r="W19" s="893">
        <v>13.193833252074336</v>
      </c>
      <c r="X19" s="901">
        <v>0</v>
      </c>
      <c r="Y19" s="901">
        <v>0.51954832552679964</v>
      </c>
      <c r="Z19" s="901">
        <v>7.1575188906391585</v>
      </c>
      <c r="AA19" s="894">
        <v>0</v>
      </c>
      <c r="AB19" s="894">
        <v>0</v>
      </c>
      <c r="AC19" s="893">
        <v>20.870900468240293</v>
      </c>
    </row>
    <row r="20" spans="1:31">
      <c r="A20" s="5"/>
      <c r="B20" s="6" t="s">
        <v>40</v>
      </c>
      <c r="C20" s="901">
        <v>0</v>
      </c>
      <c r="D20" s="901">
        <v>0</v>
      </c>
      <c r="E20" s="901">
        <v>0</v>
      </c>
      <c r="F20" s="893">
        <v>0</v>
      </c>
      <c r="G20" s="901">
        <v>0</v>
      </c>
      <c r="H20" s="901">
        <v>0</v>
      </c>
      <c r="I20" s="901">
        <v>1.9135384659357199E-2</v>
      </c>
      <c r="J20" s="901">
        <v>0</v>
      </c>
      <c r="K20" s="901">
        <v>0</v>
      </c>
      <c r="L20" s="901">
        <v>0.57776042036650088</v>
      </c>
      <c r="M20" s="901">
        <v>0</v>
      </c>
      <c r="N20" s="901">
        <v>6.0150765600000006E-3</v>
      </c>
      <c r="O20" s="901">
        <v>0</v>
      </c>
      <c r="P20" s="901">
        <v>0</v>
      </c>
      <c r="Q20" s="901">
        <v>0</v>
      </c>
      <c r="R20" s="893">
        <v>0.60291088158585804</v>
      </c>
      <c r="S20" s="901">
        <v>11.501889847228311</v>
      </c>
      <c r="T20" s="901">
        <v>0</v>
      </c>
      <c r="U20" s="901">
        <v>0</v>
      </c>
      <c r="V20" s="902">
        <v>11.501889847228311</v>
      </c>
      <c r="W20" s="893">
        <v>12.104800728814169</v>
      </c>
      <c r="X20" s="901">
        <v>0</v>
      </c>
      <c r="Y20" s="901">
        <v>0.62807866868791595</v>
      </c>
      <c r="Z20" s="901">
        <v>10.80888330839006</v>
      </c>
      <c r="AA20" s="894">
        <v>0</v>
      </c>
      <c r="AB20" s="894">
        <v>0</v>
      </c>
      <c r="AC20" s="893">
        <v>23.541762705892147</v>
      </c>
    </row>
    <row r="21" spans="1:31">
      <c r="A21" s="5"/>
      <c r="B21" s="6" t="s">
        <v>39</v>
      </c>
      <c r="C21" s="901">
        <v>0</v>
      </c>
      <c r="D21" s="901">
        <v>0</v>
      </c>
      <c r="E21" s="901">
        <v>0</v>
      </c>
      <c r="F21" s="893">
        <v>0</v>
      </c>
      <c r="G21" s="901">
        <v>0</v>
      </c>
      <c r="H21" s="901">
        <v>0</v>
      </c>
      <c r="I21" s="901">
        <v>8.1394084183831691E-3</v>
      </c>
      <c r="J21" s="901">
        <v>0</v>
      </c>
      <c r="K21" s="901">
        <v>0</v>
      </c>
      <c r="L21" s="901">
        <v>6.7772134476470958E-2</v>
      </c>
      <c r="M21" s="901">
        <v>0</v>
      </c>
      <c r="N21" s="901">
        <v>0</v>
      </c>
      <c r="O21" s="901">
        <v>0</v>
      </c>
      <c r="P21" s="901">
        <v>0</v>
      </c>
      <c r="Q21" s="901">
        <v>0</v>
      </c>
      <c r="R21" s="893">
        <v>7.5911542894854134E-2</v>
      </c>
      <c r="S21" s="901">
        <v>2.1626645725729778</v>
      </c>
      <c r="T21" s="901">
        <v>0</v>
      </c>
      <c r="U21" s="901">
        <v>0</v>
      </c>
      <c r="V21" s="902">
        <v>2.1626645725729778</v>
      </c>
      <c r="W21" s="893">
        <v>2.2385761154678319</v>
      </c>
      <c r="X21" s="901">
        <v>0</v>
      </c>
      <c r="Y21" s="901">
        <v>0.10173350648558602</v>
      </c>
      <c r="Z21" s="901">
        <v>2.3089840446676027</v>
      </c>
      <c r="AA21" s="894">
        <v>0</v>
      </c>
      <c r="AB21" s="894">
        <v>0</v>
      </c>
      <c r="AC21" s="893">
        <v>4.6492936666210207</v>
      </c>
    </row>
    <row r="22" spans="1:31">
      <c r="A22" s="5"/>
      <c r="B22" s="6" t="s">
        <v>36</v>
      </c>
      <c r="C22" s="901">
        <v>0</v>
      </c>
      <c r="D22" s="901">
        <v>5.8600000000003094E-4</v>
      </c>
      <c r="E22" s="901">
        <v>0</v>
      </c>
      <c r="F22" s="893">
        <v>5.8600000000003094E-4</v>
      </c>
      <c r="G22" s="901">
        <v>0</v>
      </c>
      <c r="H22" s="901">
        <v>0</v>
      </c>
      <c r="I22" s="901">
        <v>8.498791037884941E-2</v>
      </c>
      <c r="J22" s="901">
        <v>0</v>
      </c>
      <c r="K22" s="901">
        <v>0</v>
      </c>
      <c r="L22" s="901">
        <v>0.73516951372089112</v>
      </c>
      <c r="M22" s="901">
        <v>0</v>
      </c>
      <c r="N22" s="901">
        <v>1.951707200000008E-2</v>
      </c>
      <c r="O22" s="901">
        <v>0</v>
      </c>
      <c r="P22" s="901">
        <v>1.9689999999999999E-2</v>
      </c>
      <c r="Q22" s="901">
        <v>0</v>
      </c>
      <c r="R22" s="893">
        <v>0.85936449609974064</v>
      </c>
      <c r="S22" s="901">
        <v>1.1257360681475133</v>
      </c>
      <c r="T22" s="901">
        <v>0</v>
      </c>
      <c r="U22" s="901">
        <v>0</v>
      </c>
      <c r="V22" s="902">
        <v>1.1257360681475133</v>
      </c>
      <c r="W22" s="893">
        <v>1.9856865642472539</v>
      </c>
      <c r="X22" s="901">
        <v>0</v>
      </c>
      <c r="Y22" s="901">
        <v>0.47741000000000006</v>
      </c>
      <c r="Z22" s="901">
        <v>1.9299453805543116</v>
      </c>
      <c r="AA22" s="894">
        <v>0</v>
      </c>
      <c r="AB22" s="894">
        <v>0</v>
      </c>
      <c r="AC22" s="893">
        <v>4.3930419448015652</v>
      </c>
    </row>
    <row r="23" spans="1:31">
      <c r="A23" s="5"/>
      <c r="B23" s="6" t="s">
        <v>38</v>
      </c>
      <c r="C23" s="901">
        <v>0</v>
      </c>
      <c r="D23" s="901">
        <v>0.21114684719999999</v>
      </c>
      <c r="E23" s="901">
        <v>0</v>
      </c>
      <c r="F23" s="893">
        <v>0.21114684719999999</v>
      </c>
      <c r="G23" s="901">
        <v>0</v>
      </c>
      <c r="H23" s="901">
        <v>0</v>
      </c>
      <c r="I23" s="901">
        <v>2.8396123597800001E-3</v>
      </c>
      <c r="J23" s="901">
        <v>0</v>
      </c>
      <c r="K23" s="901">
        <v>0</v>
      </c>
      <c r="L23" s="901">
        <v>2.0557973829020734E-2</v>
      </c>
      <c r="M23" s="901">
        <v>0</v>
      </c>
      <c r="N23" s="901">
        <v>1.0654294200878136E-4</v>
      </c>
      <c r="O23" s="901">
        <v>0</v>
      </c>
      <c r="P23" s="901">
        <v>0</v>
      </c>
      <c r="Q23" s="901">
        <v>0</v>
      </c>
      <c r="R23" s="893">
        <v>2.3504129130809515E-2</v>
      </c>
      <c r="S23" s="901">
        <v>0.57410480417718412</v>
      </c>
      <c r="T23" s="901">
        <v>0</v>
      </c>
      <c r="U23" s="901">
        <v>0</v>
      </c>
      <c r="V23" s="902">
        <v>0.57410480417718412</v>
      </c>
      <c r="W23" s="893">
        <v>0.80875578050799368</v>
      </c>
      <c r="X23" s="901">
        <v>0</v>
      </c>
      <c r="Y23" s="901">
        <v>-1.7483651439998305E-2</v>
      </c>
      <c r="Z23" s="901">
        <v>1.9217098630491205</v>
      </c>
      <c r="AA23" s="894">
        <v>0</v>
      </c>
      <c r="AB23" s="894">
        <v>0</v>
      </c>
      <c r="AC23" s="893">
        <v>2.7129819921171157</v>
      </c>
    </row>
    <row r="24" spans="1:31">
      <c r="A24" s="221"/>
      <c r="B24" s="219" t="s">
        <v>33</v>
      </c>
      <c r="C24" s="901">
        <v>0</v>
      </c>
      <c r="D24" s="901">
        <v>0</v>
      </c>
      <c r="E24" s="901">
        <v>0</v>
      </c>
      <c r="F24" s="893">
        <v>0</v>
      </c>
      <c r="G24" s="901">
        <v>0</v>
      </c>
      <c r="H24" s="901">
        <v>0</v>
      </c>
      <c r="I24" s="901">
        <v>3.0870500674900003E-2</v>
      </c>
      <c r="J24" s="901">
        <v>0</v>
      </c>
      <c r="K24" s="901">
        <v>0</v>
      </c>
      <c r="L24" s="901">
        <v>0.12081170769105001</v>
      </c>
      <c r="M24" s="901">
        <v>0</v>
      </c>
      <c r="N24" s="901">
        <v>4.0337528000000011E-2</v>
      </c>
      <c r="O24" s="901">
        <v>0</v>
      </c>
      <c r="P24" s="901">
        <v>0</v>
      </c>
      <c r="Q24" s="901">
        <v>0</v>
      </c>
      <c r="R24" s="893">
        <v>0.19201973636595002</v>
      </c>
      <c r="S24" s="901">
        <v>6.6515885859734496</v>
      </c>
      <c r="T24" s="901">
        <v>0</v>
      </c>
      <c r="U24" s="901">
        <v>0</v>
      </c>
      <c r="V24" s="902">
        <v>6.6515885859734496</v>
      </c>
      <c r="W24" s="893">
        <v>6.8436083223393993</v>
      </c>
      <c r="X24" s="901">
        <v>0</v>
      </c>
      <c r="Y24" s="901">
        <v>7.4970000000000037E-3</v>
      </c>
      <c r="Z24" s="901">
        <v>13.648651535515995</v>
      </c>
      <c r="AA24" s="894">
        <v>0</v>
      </c>
      <c r="AB24" s="894">
        <v>0</v>
      </c>
      <c r="AC24" s="893">
        <v>20.499756857855395</v>
      </c>
    </row>
    <row r="25" spans="1:31">
      <c r="A25" s="5" t="s">
        <v>648</v>
      </c>
      <c r="B25" s="128"/>
      <c r="C25" s="898">
        <f>SUM(C27:C32)</f>
        <v>0</v>
      </c>
      <c r="D25" s="898">
        <f t="shared" ref="D25:E25" si="0">SUM(D27:D32)</f>
        <v>0.66718946324254313</v>
      </c>
      <c r="E25" s="898">
        <f t="shared" si="0"/>
        <v>0</v>
      </c>
      <c r="F25" s="899">
        <f>SUM(F27:F32)</f>
        <v>0.66718946324254313</v>
      </c>
      <c r="G25" s="889">
        <f>SUM(G27:G32)</f>
        <v>0</v>
      </c>
      <c r="H25" s="889">
        <f t="shared" ref="H25:Q25" si="1">SUM(H27:H32)</f>
        <v>0</v>
      </c>
      <c r="I25" s="889">
        <f t="shared" si="1"/>
        <v>7.5579814861831865E-2</v>
      </c>
      <c r="J25" s="889">
        <f t="shared" si="1"/>
        <v>7.2321348906007707E-2</v>
      </c>
      <c r="K25" s="889">
        <f t="shared" si="1"/>
        <v>0</v>
      </c>
      <c r="L25" s="889">
        <f t="shared" si="1"/>
        <v>8.1107369728193195</v>
      </c>
      <c r="M25" s="889">
        <f t="shared" si="1"/>
        <v>0</v>
      </c>
      <c r="N25" s="889">
        <f t="shared" si="1"/>
        <v>0.44774622062287628</v>
      </c>
      <c r="O25" s="889">
        <f t="shared" si="1"/>
        <v>0</v>
      </c>
      <c r="P25" s="889">
        <f t="shared" si="1"/>
        <v>0</v>
      </c>
      <c r="Q25" s="889">
        <f t="shared" si="1"/>
        <v>0</v>
      </c>
      <c r="R25" s="899">
        <f>SUM(R27:R32)</f>
        <v>8.7063843572100375</v>
      </c>
      <c r="S25" s="889">
        <f>SUM(S27:S32)</f>
        <v>18.104005625520834</v>
      </c>
      <c r="T25" s="889">
        <f t="shared" ref="T25:U25" si="2">SUM(T27:T32)</f>
        <v>0</v>
      </c>
      <c r="U25" s="889">
        <f t="shared" si="2"/>
        <v>0</v>
      </c>
      <c r="V25" s="899">
        <f>SUM(V27:V32)</f>
        <v>18.104005625520834</v>
      </c>
      <c r="W25" s="899">
        <f>SUM(W27:W32)</f>
        <v>27.477579445973415</v>
      </c>
      <c r="X25" s="898">
        <f>SUM(X27:X32)</f>
        <v>0</v>
      </c>
      <c r="Y25" s="889">
        <f>SUM(Y27:Y32)</f>
        <v>3.1156925425971846</v>
      </c>
      <c r="Z25" s="891">
        <v>-2.5288002554715834</v>
      </c>
      <c r="AA25" s="900">
        <f>SUM(AA27:AA32)</f>
        <v>0</v>
      </c>
      <c r="AB25" s="900">
        <f>SUM(AB27:AB32)</f>
        <v>0</v>
      </c>
      <c r="AC25" s="890">
        <f>SUM(AC27:AC32)</f>
        <v>28.064471733099015</v>
      </c>
      <c r="AE25" s="38"/>
    </row>
    <row r="26" spans="1:31">
      <c r="A26" s="5"/>
      <c r="B26" s="128"/>
      <c r="C26" s="903"/>
      <c r="D26" s="904"/>
      <c r="E26" s="903"/>
      <c r="F26" s="893"/>
      <c r="G26" s="904"/>
      <c r="H26" s="904"/>
      <c r="I26" s="904"/>
      <c r="J26" s="904"/>
      <c r="K26" s="904"/>
      <c r="L26" s="904"/>
      <c r="M26" s="904"/>
      <c r="N26" s="904"/>
      <c r="O26" s="904"/>
      <c r="P26" s="904"/>
      <c r="Q26" s="904"/>
      <c r="R26" s="893"/>
      <c r="S26" s="904"/>
      <c r="T26" s="903"/>
      <c r="U26" s="903"/>
      <c r="V26" s="893"/>
      <c r="W26" s="893"/>
      <c r="X26" s="903"/>
      <c r="Y26" s="907"/>
      <c r="Z26" s="907">
        <v>2.4216793794672591</v>
      </c>
      <c r="AA26" s="908"/>
      <c r="AB26" s="905"/>
      <c r="AC26" s="906"/>
      <c r="AE26" s="38"/>
    </row>
    <row r="27" spans="1:31">
      <c r="A27" s="3"/>
      <c r="B27" s="6" t="s">
        <v>163</v>
      </c>
      <c r="C27" s="892">
        <v>0</v>
      </c>
      <c r="D27" s="892">
        <v>0</v>
      </c>
      <c r="E27" s="892">
        <v>0</v>
      </c>
      <c r="F27" s="893">
        <v>0</v>
      </c>
      <c r="G27" s="892">
        <v>0</v>
      </c>
      <c r="H27" s="892">
        <v>0</v>
      </c>
      <c r="I27" s="892">
        <v>6.1440589917452569E-2</v>
      </c>
      <c r="J27" s="892">
        <v>8.15436137622137E-4</v>
      </c>
      <c r="K27" s="892">
        <v>0</v>
      </c>
      <c r="L27" s="892">
        <v>4.7980972971145421</v>
      </c>
      <c r="M27" s="892">
        <v>0</v>
      </c>
      <c r="N27" s="892">
        <v>0</v>
      </c>
      <c r="O27" s="892">
        <v>0</v>
      </c>
      <c r="P27" s="892">
        <v>0</v>
      </c>
      <c r="Q27" s="892">
        <v>0</v>
      </c>
      <c r="R27" s="893">
        <v>4.8603533231696172</v>
      </c>
      <c r="S27" s="892">
        <v>0.28797902492777</v>
      </c>
      <c r="T27" s="892">
        <v>0</v>
      </c>
      <c r="U27" s="892">
        <v>0</v>
      </c>
      <c r="V27" s="893">
        <v>0.28797902492777</v>
      </c>
      <c r="W27" s="893">
        <v>5.1483323480973873</v>
      </c>
      <c r="X27" s="892">
        <v>0</v>
      </c>
      <c r="Y27" s="892">
        <v>0.95953362666668507</v>
      </c>
      <c r="Z27" s="892">
        <v>2.355695385761984</v>
      </c>
      <c r="AA27" s="894">
        <v>0</v>
      </c>
      <c r="AB27" s="894">
        <v>0</v>
      </c>
      <c r="AC27" s="893">
        <v>8.4635613605260573</v>
      </c>
    </row>
    <row r="28" spans="1:31">
      <c r="A28" s="3"/>
      <c r="B28" s="6" t="s">
        <v>164</v>
      </c>
      <c r="C28" s="892">
        <v>0</v>
      </c>
      <c r="D28" s="892">
        <v>9.4079151607059572E-4</v>
      </c>
      <c r="E28" s="892">
        <v>0</v>
      </c>
      <c r="F28" s="893">
        <v>9.4079151607059572E-4</v>
      </c>
      <c r="G28" s="892">
        <v>0</v>
      </c>
      <c r="H28" s="892">
        <v>0</v>
      </c>
      <c r="I28" s="892">
        <v>1.8570194947220284E-3</v>
      </c>
      <c r="J28" s="892">
        <v>4.6609263302750382E-4</v>
      </c>
      <c r="K28" s="892">
        <v>0</v>
      </c>
      <c r="L28" s="892">
        <v>1.8467017293573218</v>
      </c>
      <c r="M28" s="892">
        <v>0</v>
      </c>
      <c r="N28" s="892">
        <v>0</v>
      </c>
      <c r="O28" s="892">
        <v>0</v>
      </c>
      <c r="P28" s="892">
        <v>0</v>
      </c>
      <c r="Q28" s="892">
        <v>0</v>
      </c>
      <c r="R28" s="893">
        <v>1.8490248414850714</v>
      </c>
      <c r="S28" s="892">
        <v>0.24446812448880001</v>
      </c>
      <c r="T28" s="892">
        <v>0</v>
      </c>
      <c r="U28" s="892">
        <v>0</v>
      </c>
      <c r="V28" s="893">
        <v>0.24446812448880001</v>
      </c>
      <c r="W28" s="893">
        <v>2.0944337574899419</v>
      </c>
      <c r="X28" s="892">
        <v>0</v>
      </c>
      <c r="Y28" s="892">
        <v>1.8525275730440298</v>
      </c>
      <c r="Z28" s="892">
        <v>-3.949167651329441E-2</v>
      </c>
      <c r="AA28" s="894">
        <v>0</v>
      </c>
      <c r="AB28" s="894">
        <v>0</v>
      </c>
      <c r="AC28" s="893">
        <v>3.9074696540206775</v>
      </c>
    </row>
    <row r="29" spans="1:31">
      <c r="A29" s="3"/>
      <c r="B29" s="6" t="s">
        <v>165</v>
      </c>
      <c r="C29" s="892">
        <v>0</v>
      </c>
      <c r="D29" s="892">
        <v>0.62831966102044223</v>
      </c>
      <c r="E29" s="892">
        <v>0</v>
      </c>
      <c r="F29" s="893">
        <v>0.62831966102044223</v>
      </c>
      <c r="G29" s="892">
        <v>0</v>
      </c>
      <c r="H29" s="892">
        <v>0</v>
      </c>
      <c r="I29" s="892">
        <v>7.6764257591469976E-3</v>
      </c>
      <c r="J29" s="892">
        <v>2.9440414874801727E-3</v>
      </c>
      <c r="K29" s="892">
        <v>0</v>
      </c>
      <c r="L29" s="892">
        <v>0.74505015085106441</v>
      </c>
      <c r="M29" s="892">
        <v>0</v>
      </c>
      <c r="N29" s="892">
        <v>0.41753638823217359</v>
      </c>
      <c r="O29" s="892">
        <v>0</v>
      </c>
      <c r="P29" s="892">
        <v>0</v>
      </c>
      <c r="Q29" s="892">
        <v>0</v>
      </c>
      <c r="R29" s="893">
        <v>1.1732070063298652</v>
      </c>
      <c r="S29" s="892">
        <v>17.571558476104265</v>
      </c>
      <c r="T29" s="892">
        <v>0</v>
      </c>
      <c r="U29" s="892">
        <v>0</v>
      </c>
      <c r="V29" s="893">
        <v>17.571558476104265</v>
      </c>
      <c r="W29" s="893">
        <v>19.373085143454574</v>
      </c>
      <c r="X29" s="892">
        <v>0</v>
      </c>
      <c r="Y29" s="892">
        <v>0.30341000384646999</v>
      </c>
      <c r="Z29" s="892">
        <v>-5.6605289892932964</v>
      </c>
      <c r="AA29" s="894">
        <v>0</v>
      </c>
      <c r="AB29" s="894">
        <v>0</v>
      </c>
      <c r="AC29" s="893">
        <v>14.015966158007746</v>
      </c>
    </row>
    <row r="30" spans="1:31">
      <c r="A30" s="3"/>
      <c r="B30" s="6" t="s">
        <v>166</v>
      </c>
      <c r="C30" s="892">
        <v>0</v>
      </c>
      <c r="D30" s="892">
        <v>3.7929010706030317E-2</v>
      </c>
      <c r="E30" s="892">
        <v>0</v>
      </c>
      <c r="F30" s="893">
        <v>3.7929010706030317E-2</v>
      </c>
      <c r="G30" s="892">
        <v>0</v>
      </c>
      <c r="H30" s="892">
        <v>0</v>
      </c>
      <c r="I30" s="892">
        <v>4.6040220034132863E-3</v>
      </c>
      <c r="J30" s="892">
        <v>3.8388118068254417E-3</v>
      </c>
      <c r="K30" s="892">
        <v>0</v>
      </c>
      <c r="L30" s="892">
        <v>0.71065760576459225</v>
      </c>
      <c r="M30" s="892">
        <v>0</v>
      </c>
      <c r="N30" s="892">
        <v>3.0209832390702671E-2</v>
      </c>
      <c r="O30" s="892">
        <v>0</v>
      </c>
      <c r="P30" s="892">
        <v>0</v>
      </c>
      <c r="Q30" s="892">
        <v>0</v>
      </c>
      <c r="R30" s="893">
        <v>0.74931027196553357</v>
      </c>
      <c r="S30" s="892">
        <v>0</v>
      </c>
      <c r="T30" s="892">
        <v>0</v>
      </c>
      <c r="U30" s="892">
        <v>0</v>
      </c>
      <c r="V30" s="893">
        <v>0</v>
      </c>
      <c r="W30" s="893">
        <v>0.78723928267156384</v>
      </c>
      <c r="X30" s="892">
        <v>0</v>
      </c>
      <c r="Y30" s="892">
        <v>2.2133904000000001E-4</v>
      </c>
      <c r="Z30" s="892">
        <v>0.81547532815702306</v>
      </c>
      <c r="AA30" s="894">
        <v>0</v>
      </c>
      <c r="AB30" s="894">
        <v>0</v>
      </c>
      <c r="AC30" s="893">
        <v>1.6029359498685869</v>
      </c>
    </row>
    <row r="31" spans="1:31">
      <c r="A31" s="3"/>
      <c r="B31" s="6" t="s">
        <v>167</v>
      </c>
      <c r="C31" s="892">
        <v>0</v>
      </c>
      <c r="D31" s="892">
        <v>0</v>
      </c>
      <c r="E31" s="892">
        <v>0</v>
      </c>
      <c r="F31" s="893">
        <v>0</v>
      </c>
      <c r="G31" s="892">
        <v>0</v>
      </c>
      <c r="H31" s="892">
        <v>0</v>
      </c>
      <c r="I31" s="892">
        <v>1.757687097E-6</v>
      </c>
      <c r="J31" s="892">
        <v>6.1302113488488602E-2</v>
      </c>
      <c r="K31" s="892">
        <v>0</v>
      </c>
      <c r="L31" s="892">
        <v>6.8157765275399899E-3</v>
      </c>
      <c r="M31" s="892">
        <v>0</v>
      </c>
      <c r="N31" s="892">
        <v>0</v>
      </c>
      <c r="O31" s="892">
        <v>0</v>
      </c>
      <c r="P31" s="892">
        <v>0</v>
      </c>
      <c r="Q31" s="892">
        <v>0</v>
      </c>
      <c r="R31" s="893">
        <v>6.8119647703125591E-2</v>
      </c>
      <c r="S31" s="892">
        <v>0</v>
      </c>
      <c r="T31" s="892">
        <v>0</v>
      </c>
      <c r="U31" s="892">
        <v>0</v>
      </c>
      <c r="V31" s="893">
        <v>0</v>
      </c>
      <c r="W31" s="893">
        <v>6.8119647703125591E-2</v>
      </c>
      <c r="X31" s="892">
        <v>0</v>
      </c>
      <c r="Y31" s="892">
        <v>0</v>
      </c>
      <c r="Z31" s="892">
        <v>0</v>
      </c>
      <c r="AA31" s="894">
        <v>0</v>
      </c>
      <c r="AB31" s="894">
        <v>0</v>
      </c>
      <c r="AC31" s="893">
        <v>6.8119647703125591E-2</v>
      </c>
    </row>
    <row r="32" spans="1:31">
      <c r="A32" s="4"/>
      <c r="B32" s="127" t="s">
        <v>168</v>
      </c>
      <c r="C32" s="910">
        <v>0</v>
      </c>
      <c r="D32" s="910">
        <v>0</v>
      </c>
      <c r="E32" s="910">
        <v>0</v>
      </c>
      <c r="F32" s="909">
        <v>0</v>
      </c>
      <c r="G32" s="910">
        <v>0</v>
      </c>
      <c r="H32" s="910">
        <v>0</v>
      </c>
      <c r="I32" s="910">
        <v>0</v>
      </c>
      <c r="J32" s="910">
        <v>2.95485335256384E-3</v>
      </c>
      <c r="K32" s="910">
        <v>0</v>
      </c>
      <c r="L32" s="910">
        <v>3.4144132042593003E-3</v>
      </c>
      <c r="M32" s="910">
        <v>0</v>
      </c>
      <c r="N32" s="910">
        <v>0</v>
      </c>
      <c r="O32" s="910">
        <v>0</v>
      </c>
      <c r="P32" s="910">
        <v>0</v>
      </c>
      <c r="Q32" s="910">
        <v>0</v>
      </c>
      <c r="R32" s="909">
        <v>6.3692665568231398E-3</v>
      </c>
      <c r="S32" s="910">
        <v>0</v>
      </c>
      <c r="T32" s="910">
        <v>0</v>
      </c>
      <c r="U32" s="910">
        <v>0</v>
      </c>
      <c r="V32" s="909">
        <v>0</v>
      </c>
      <c r="W32" s="909">
        <v>6.3692665568231398E-3</v>
      </c>
      <c r="X32" s="910">
        <v>0</v>
      </c>
      <c r="Y32" s="910">
        <v>0</v>
      </c>
      <c r="Z32" s="910">
        <v>4.9696415999999998E-5</v>
      </c>
      <c r="AA32" s="911">
        <v>0</v>
      </c>
      <c r="AB32" s="911">
        <v>0</v>
      </c>
      <c r="AC32" s="909">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465</v>
      </c>
      <c r="B2" s="122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467</v>
      </c>
      <c r="C6" s="161" t="s">
        <v>483</v>
      </c>
    </row>
    <row r="7" spans="1:3" s="11" customFormat="1">
      <c r="A7" s="132"/>
      <c r="B7" s="133"/>
      <c r="C7" s="134"/>
    </row>
    <row r="8" spans="1:3" s="11" customFormat="1" ht="60">
      <c r="A8" s="113" t="s">
        <v>154</v>
      </c>
      <c r="B8" s="130" t="s">
        <v>467</v>
      </c>
      <c r="C8" s="313" t="s">
        <v>484</v>
      </c>
    </row>
    <row r="9" spans="1:3" s="11" customFormat="1">
      <c r="A9" s="132"/>
      <c r="B9" s="133"/>
      <c r="C9" s="134"/>
    </row>
    <row r="10" spans="1:3" s="11" customFormat="1" ht="60">
      <c r="A10" s="113" t="s">
        <v>155</v>
      </c>
      <c r="B10" s="130" t="s">
        <v>467</v>
      </c>
      <c r="C10" s="313" t="s">
        <v>484</v>
      </c>
    </row>
    <row r="11" spans="1:3" s="11" customFormat="1">
      <c r="A11" s="132"/>
      <c r="B11" s="133"/>
      <c r="C11" s="134"/>
    </row>
    <row r="12" spans="1:3" s="11" customFormat="1" ht="60">
      <c r="A12" s="113" t="s">
        <v>388</v>
      </c>
      <c r="B12" s="130" t="s">
        <v>467</v>
      </c>
      <c r="C12" s="313" t="s">
        <v>484</v>
      </c>
    </row>
    <row r="13" spans="1:3" s="11" customFormat="1">
      <c r="A13" s="132"/>
      <c r="B13" s="133"/>
      <c r="C13" s="134"/>
    </row>
    <row r="14" spans="1:3" s="11" customFormat="1" ht="60">
      <c r="A14" s="113" t="s">
        <v>111</v>
      </c>
      <c r="B14" s="130" t="s">
        <v>485</v>
      </c>
      <c r="C14" s="313" t="s">
        <v>484</v>
      </c>
    </row>
    <row r="15" spans="1:3" s="11" customFormat="1" ht="63">
      <c r="A15" s="123"/>
      <c r="B15" s="130" t="s">
        <v>486</v>
      </c>
      <c r="C15" s="313" t="s">
        <v>490</v>
      </c>
    </row>
    <row r="16" spans="1:3" s="11" customFormat="1">
      <c r="A16" s="132"/>
      <c r="B16" s="133"/>
      <c r="C16" s="134"/>
    </row>
    <row r="17" spans="1:3" s="11" customFormat="1" ht="45">
      <c r="A17" s="113" t="s">
        <v>466</v>
      </c>
      <c r="B17" s="130" t="s">
        <v>536</v>
      </c>
      <c r="C17" s="161" t="s">
        <v>537</v>
      </c>
    </row>
    <row r="18" spans="1:3" s="11" customFormat="1">
      <c r="A18" s="132"/>
      <c r="B18" s="133"/>
      <c r="C18" s="134"/>
    </row>
    <row r="19" spans="1:3" s="11" customFormat="1" ht="60">
      <c r="A19" s="113" t="s">
        <v>391</v>
      </c>
      <c r="B19" s="312" t="s">
        <v>534</v>
      </c>
      <c r="C19" s="161" t="s">
        <v>535</v>
      </c>
    </row>
    <row r="20" spans="1:3" s="11" customFormat="1">
      <c r="A20" s="113"/>
      <c r="B20" s="130"/>
      <c r="C20" s="131"/>
    </row>
    <row r="21" spans="1:3" ht="21">
      <c r="A21" s="126" t="s">
        <v>469</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193</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531</v>
      </c>
      <c r="B5" s="30">
        <f>SUM(OV_ov_ele_kWh,OV_rest_ele_kWh)/1000</f>
        <v>310.51799999999997</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532</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470</v>
      </c>
      <c r="B8" s="21">
        <f>MAX((B5+B6),0)</f>
        <v>310.51799999999997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0.19379725565552808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60.177536231643259</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2" activePane="bottomRight" state="frozen"/>
      <selection activeCell="B35" sqref="B35"/>
      <selection pane="topRight" activeCell="B35" sqref="B35"/>
      <selection pane="bottomLeft" activeCell="B35" sqref="B35"/>
      <selection pane="bottomRight" activeCell="D78" sqref="D78:D80"/>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154</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533</v>
      </c>
      <c r="B5" s="30">
        <f>IF(ISERROR(SUM(HH_hh_ele_kWh,HH_rest_kWh)/1000),0,SUM(HH_hh_ele_kWh,HH_rest_kWh)/1000)</f>
        <v>7467.7928949999996</v>
      </c>
      <c r="C5" s="17">
        <f>IF(ISERROR('Eigen informatie GS &amp; warmtenet'!B59),0,'Eigen informatie GS &amp; warmtenet'!B59)</f>
        <v>0</v>
      </c>
      <c r="D5" s="30">
        <f>(SUM(HH_hh_gas_kWh,HH_rest_gas_kWh)/1000)*0.902</f>
        <v>0</v>
      </c>
      <c r="E5" s="17">
        <f>B46*B57</f>
        <v>5781.752283484424</v>
      </c>
      <c r="F5" s="17">
        <f>B51*B62</f>
        <v>24890.1238850263</v>
      </c>
      <c r="G5" s="18"/>
      <c r="H5" s="17"/>
      <c r="I5" s="17"/>
      <c r="J5" s="17">
        <f>B50*B61+C50*C61</f>
        <v>1494.0818368742637</v>
      </c>
      <c r="K5" s="17"/>
      <c r="L5" s="17"/>
      <c r="M5" s="17"/>
      <c r="N5" s="17">
        <f>B48*B59+C48*C59</f>
        <v>6061.041567756597</v>
      </c>
      <c r="O5" s="17">
        <f>B69*B70*B71</f>
        <v>124.98936782138301</v>
      </c>
      <c r="P5" s="17">
        <f>B77*B78*B79/1000-B77*B78*B79/1000/B80</f>
        <v>337.08669784592075</v>
      </c>
    </row>
    <row r="6" spans="1:16">
      <c r="A6" s="16" t="s">
        <v>615</v>
      </c>
      <c r="B6" s="809">
        <f>kWh_PV_kleiner_dan_10kW</f>
        <v>1429.0269143119972</v>
      </c>
      <c r="C6" s="810"/>
      <c r="D6" s="810"/>
      <c r="E6" s="811"/>
      <c r="F6" s="811"/>
      <c r="G6" s="811"/>
      <c r="H6" s="811"/>
      <c r="I6" s="811"/>
      <c r="J6" s="811"/>
      <c r="K6" s="811"/>
      <c r="L6" s="811"/>
      <c r="M6" s="811"/>
      <c r="N6" s="811"/>
      <c r="O6" s="811"/>
      <c r="P6" s="811"/>
    </row>
    <row r="7" spans="1:16">
      <c r="B7" s="19"/>
      <c r="C7" s="19"/>
      <c r="D7" s="19"/>
      <c r="E7" s="19"/>
      <c r="F7" s="19"/>
      <c r="G7" s="19"/>
      <c r="H7" s="19"/>
      <c r="I7" s="19"/>
      <c r="J7" s="19"/>
      <c r="K7" s="19"/>
      <c r="L7" s="19"/>
      <c r="M7" s="19"/>
      <c r="N7" s="19"/>
      <c r="O7" s="19"/>
      <c r="P7" s="19"/>
    </row>
    <row r="8" spans="1:16" s="8" customFormat="1">
      <c r="A8" s="20" t="s">
        <v>211</v>
      </c>
      <c r="B8" s="21">
        <f>B5+B6</f>
        <v>8896.8198093119972</v>
      </c>
      <c r="C8" s="21">
        <f>C5</f>
        <v>0</v>
      </c>
      <c r="D8" s="21">
        <f>D5</f>
        <v>0</v>
      </c>
      <c r="E8" s="21">
        <f>E5</f>
        <v>5781.752283484424</v>
      </c>
      <c r="F8" s="21">
        <f>F5</f>
        <v>24890.1238850263</v>
      </c>
      <c r="G8" s="21"/>
      <c r="H8" s="21"/>
      <c r="I8" s="21"/>
      <c r="J8" s="21">
        <f>J5</f>
        <v>1494.0818368742637</v>
      </c>
      <c r="K8" s="21"/>
      <c r="L8" s="21">
        <f>L5</f>
        <v>0</v>
      </c>
      <c r="M8" s="21">
        <f>M5</f>
        <v>0</v>
      </c>
      <c r="N8" s="21">
        <f>N5</f>
        <v>6061.041567756597</v>
      </c>
      <c r="O8" s="21">
        <f>O5</f>
        <v>124.98936782138301</v>
      </c>
      <c r="P8" s="21">
        <f>P5</f>
        <v>337.08669784592075</v>
      </c>
    </row>
    <row r="9" spans="1:16">
      <c r="B9" s="19"/>
      <c r="C9" s="19"/>
      <c r="D9" s="258"/>
      <c r="E9" s="19"/>
      <c r="F9" s="19"/>
      <c r="G9" s="19"/>
      <c r="H9" s="19"/>
      <c r="I9" s="19"/>
      <c r="J9" s="19"/>
      <c r="K9" s="19"/>
      <c r="L9" s="19"/>
      <c r="M9" s="19"/>
      <c r="N9" s="19"/>
      <c r="O9" s="19"/>
      <c r="P9" s="19"/>
    </row>
    <row r="10" spans="1:16">
      <c r="A10" s="24" t="s">
        <v>213</v>
      </c>
      <c r="B10" s="25">
        <f ca="1">'EF ele_warmte'!B12</f>
        <v>0.19379725565552808</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1724.1792631064036</v>
      </c>
      <c r="C12" s="23">
        <f ca="1">C10*C8</f>
        <v>0</v>
      </c>
      <c r="D12" s="23">
        <f>D8*D10</f>
        <v>0</v>
      </c>
      <c r="E12" s="23">
        <f>E10*E8</f>
        <v>1312.4577683509642</v>
      </c>
      <c r="F12" s="23">
        <f>F10*F8</f>
        <v>6645.6630773020224</v>
      </c>
      <c r="G12" s="23"/>
      <c r="H12" s="23"/>
      <c r="I12" s="23"/>
      <c r="J12" s="23">
        <f>J10*J8</f>
        <v>528.9049702534893</v>
      </c>
      <c r="K12" s="23"/>
      <c r="L12" s="23">
        <f>L10*L8</f>
        <v>0</v>
      </c>
      <c r="M12" s="23">
        <f>M10*M8</f>
        <v>0</v>
      </c>
      <c r="N12" s="23">
        <f>N10*N8</f>
        <v>0</v>
      </c>
      <c r="O12" s="23">
        <f>O10*O8</f>
        <v>0</v>
      </c>
      <c r="P12" s="23">
        <f>P10*P8</f>
        <v>0</v>
      </c>
    </row>
    <row r="15" spans="1:16">
      <c r="A15" s="193" t="s">
        <v>481</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9</v>
      </c>
      <c r="C18" s="166" t="s">
        <v>110</v>
      </c>
      <c r="D18" s="228"/>
      <c r="E18" s="15"/>
    </row>
    <row r="19" spans="1:7">
      <c r="A19" s="171" t="s">
        <v>71</v>
      </c>
      <c r="B19" s="37">
        <f>aantalw2001_ander</f>
        <v>0</v>
      </c>
      <c r="C19" s="166" t="s">
        <v>110</v>
      </c>
      <c r="D19" s="229"/>
      <c r="E19" s="15"/>
    </row>
    <row r="20" spans="1:7">
      <c r="A20" s="171" t="s">
        <v>72</v>
      </c>
      <c r="B20" s="37">
        <f>aantalw2001_propaan</f>
        <v>104</v>
      </c>
      <c r="C20" s="167">
        <f>IF(ISERROR(B20/SUM($B$20,$B$21,$B$22)*100),0,B20/SUM($B$20,$B$21,$B$22)*100)</f>
        <v>34.323432343234323</v>
      </c>
      <c r="D20" s="229"/>
      <c r="E20" s="15"/>
    </row>
    <row r="21" spans="1:7">
      <c r="A21" s="171" t="s">
        <v>73</v>
      </c>
      <c r="B21" s="37">
        <f>aantalw2001_elektriciteit</f>
        <v>136</v>
      </c>
      <c r="C21" s="167">
        <f>IF(ISERROR(B21/SUM($B$20,$B$21,$B$22)*100),0,B21/SUM($B$20,$B$21,$B$22)*100)</f>
        <v>44.884488448844884</v>
      </c>
      <c r="D21" s="229"/>
      <c r="E21" s="15"/>
    </row>
    <row r="22" spans="1:7">
      <c r="A22" s="171" t="s">
        <v>74</v>
      </c>
      <c r="B22" s="37">
        <f>aantalw2001_hout</f>
        <v>63</v>
      </c>
      <c r="C22" s="167">
        <f>IF(ISERROR(B22/SUM($B$20,$B$21,$B$22)*100),0,B22/SUM($B$20,$B$21,$B$22)*100)</f>
        <v>20.792079207920793</v>
      </c>
      <c r="D22" s="229"/>
      <c r="E22" s="15"/>
    </row>
    <row r="23" spans="1:7">
      <c r="A23" s="171" t="s">
        <v>75</v>
      </c>
      <c r="B23" s="37">
        <f>aantalw2001_niet_gespec</f>
        <v>18</v>
      </c>
      <c r="C23" s="166" t="s">
        <v>110</v>
      </c>
      <c r="D23" s="228"/>
      <c r="E23" s="15"/>
    </row>
    <row r="24" spans="1:7">
      <c r="A24" s="171" t="s">
        <v>76</v>
      </c>
      <c r="B24" s="37">
        <f>aantalw2001_steenkool</f>
        <v>50</v>
      </c>
      <c r="C24" s="166" t="s">
        <v>110</v>
      </c>
      <c r="D24" s="229"/>
      <c r="E24" s="15"/>
    </row>
    <row r="25" spans="1:7">
      <c r="A25" s="171" t="s">
        <v>77</v>
      </c>
      <c r="B25" s="37">
        <f>aantalw2001_stookolie</f>
        <v>1189</v>
      </c>
      <c r="C25" s="166" t="s">
        <v>110</v>
      </c>
      <c r="D25" s="228"/>
      <c r="E25" s="52"/>
    </row>
    <row r="26" spans="1:7">
      <c r="A26" s="171" t="s">
        <v>78</v>
      </c>
      <c r="B26" s="37">
        <f>aantalw2001_WP</f>
        <v>1</v>
      </c>
      <c r="C26" s="166" t="s">
        <v>110</v>
      </c>
      <c r="D26" s="228"/>
      <c r="E26" s="15"/>
    </row>
    <row r="27" spans="1:7" s="15" customFormat="1">
      <c r="A27" s="171"/>
      <c r="B27" s="29"/>
      <c r="C27" s="36"/>
      <c r="D27" s="228"/>
    </row>
    <row r="28" spans="1:7" s="15" customFormat="1">
      <c r="A28" s="230" t="s">
        <v>837</v>
      </c>
      <c r="B28" s="37">
        <f>aantalHuishoudens2011</f>
        <v>1710</v>
      </c>
      <c r="C28" s="36"/>
      <c r="D28" s="228"/>
    </row>
    <row r="29" spans="1:7" s="15" customFormat="1">
      <c r="A29" s="230" t="s">
        <v>838</v>
      </c>
      <c r="B29" s="37">
        <f>SUM(HH_hh_gas_aantal,HH_rest_gas_aantal)</f>
        <v>0</v>
      </c>
      <c r="C29" s="36"/>
      <c r="D29" s="228"/>
    </row>
    <row r="30" spans="1:7" s="15" customFormat="1">
      <c r="A30" s="231"/>
      <c r="B30" s="29"/>
      <c r="C30" s="36"/>
      <c r="D30" s="232"/>
    </row>
    <row r="31" spans="1:7">
      <c r="A31" s="172" t="s">
        <v>839</v>
      </c>
      <c r="B31" s="168" t="s">
        <v>215</v>
      </c>
      <c r="C31" s="165" t="s">
        <v>216</v>
      </c>
      <c r="D31" s="174"/>
      <c r="G31" s="15"/>
    </row>
    <row r="32" spans="1:7">
      <c r="A32" s="171" t="s">
        <v>70</v>
      </c>
      <c r="B32" s="37">
        <f>B29</f>
        <v>0</v>
      </c>
      <c r="C32" s="167">
        <f>IF(ISERROR(B32/SUM($B$32,$B$34,$B$35,$B$36,$B$38,$B$39)*100),0,B32/SUM($B$32,$B$34,$B$35,$B$36,$B$38,$B$39)*100)</f>
        <v>0</v>
      </c>
      <c r="D32" s="233"/>
      <c r="G32" s="15"/>
    </row>
    <row r="33" spans="1:7">
      <c r="A33" s="171" t="s">
        <v>71</v>
      </c>
      <c r="B33" s="34" t="s">
        <v>110</v>
      </c>
      <c r="C33" s="167"/>
      <c r="D33" s="233"/>
      <c r="G33" s="15"/>
    </row>
    <row r="34" spans="1:7">
      <c r="A34" s="171" t="s">
        <v>72</v>
      </c>
      <c r="B34" s="33">
        <f>IF((($B$28-$B$32-$B$39-$B$77-$B$38)*C20/100)&lt;0,0,($B$28-$B$32-$B$39-$B$77-$B$38)*C20/100)</f>
        <v>147.59075907590761</v>
      </c>
      <c r="C34" s="167">
        <f>IF(ISERROR(B34/SUM($B$32,$B$34,$B$35,$B$36,$B$38,$B$39)*100),0,B34/SUM($B$32,$B$34,$B$35,$B$36,$B$38,$B$39)*100)</f>
        <v>8.7956352250242915</v>
      </c>
      <c r="D34" s="233"/>
      <c r="G34" s="15"/>
    </row>
    <row r="35" spans="1:7">
      <c r="A35" s="171" t="s">
        <v>73</v>
      </c>
      <c r="B35" s="33">
        <f>IF((($B$28-$B$32-$B$39-$B$77-$B$38)*C21/100)&lt;0,0,($B$28-$B$32-$B$39-$B$77-$B$38)*C21/100)</f>
        <v>193.00330033003306</v>
      </c>
      <c r="C35" s="167">
        <f>IF(ISERROR(B35/SUM($B$32,$B$34,$B$35,$B$36,$B$38,$B$39)*100),0,B35/SUM($B$32,$B$34,$B$35,$B$36,$B$38,$B$39)*100)</f>
        <v>11.501984525031768</v>
      </c>
      <c r="D35" s="233"/>
      <c r="G35" s="15"/>
    </row>
    <row r="36" spans="1:7">
      <c r="A36" s="171" t="s">
        <v>74</v>
      </c>
      <c r="B36" s="33">
        <f>IF((($B$28-$B$32-$B$39-$B$77-$B$38)*C22/100)&lt;0,0,($B$28-$B$32-$B$39-$B$77-$B$38)*C22/100)</f>
        <v>89.40594059405943</v>
      </c>
      <c r="C36" s="167">
        <f>IF(ISERROR(B36/SUM($B$32,$B$34,$B$35,$B$36,$B$38,$B$39)*100),0,B36/SUM($B$32,$B$34,$B$35,$B$36,$B$38,$B$39)*100)</f>
        <v>5.3281251843897159</v>
      </c>
      <c r="D36" s="233"/>
      <c r="G36" s="15"/>
    </row>
    <row r="37" spans="1:7">
      <c r="A37" s="171" t="s">
        <v>75</v>
      </c>
      <c r="B37" s="34" t="s">
        <v>110</v>
      </c>
      <c r="C37" s="167"/>
      <c r="D37" s="173"/>
      <c r="G37" s="15"/>
    </row>
    <row r="38" spans="1:7">
      <c r="A38" s="171" t="s">
        <v>76</v>
      </c>
      <c r="B38" s="33">
        <f>IF((B24-(B29-B18)*0.1)&lt;0,0,B24-(B29-B18)*0.1)</f>
        <v>50.9</v>
      </c>
      <c r="C38" s="167">
        <f>IF(ISERROR(B38/SUM($B$32,$B$34,$B$35,$B$36,$B$38,$B$39)*100),0,B38/SUM($B$32,$B$34,$B$35,$B$36,$B$38,$B$39)*100)</f>
        <v>3.033373063170441</v>
      </c>
      <c r="D38" s="234"/>
      <c r="G38" s="15"/>
    </row>
    <row r="39" spans="1:7">
      <c r="A39" s="171" t="s">
        <v>77</v>
      </c>
      <c r="B39" s="33">
        <f>IF((B25-(B29-B18))&lt;0,0,B25-(B29-B18)*0.9)</f>
        <v>1197.0999999999999</v>
      </c>
      <c r="C39" s="167">
        <f>IF(ISERROR(B39/SUM($B$32,$B$34,$B$35,$B$36,$B$38,$B$39)*100),0,B39/SUM($B$32,$B$34,$B$35,$B$36,$B$38,$B$39)*100)</f>
        <v>71.340882002383793</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473</v>
      </c>
      <c r="B43" s="169" t="s">
        <v>835</v>
      </c>
      <c r="C43" s="169" t="s">
        <v>836</v>
      </c>
      <c r="D43" s="174"/>
    </row>
    <row r="44" spans="1:7">
      <c r="A44" s="171" t="s">
        <v>70</v>
      </c>
      <c r="B44" s="33">
        <f t="shared" ref="B44:B52" si="0">B32</f>
        <v>0</v>
      </c>
      <c r="C44" s="34" t="s">
        <v>110</v>
      </c>
      <c r="D44" s="174"/>
    </row>
    <row r="45" spans="1:7">
      <c r="A45" s="171" t="s">
        <v>71</v>
      </c>
      <c r="B45" s="33" t="str">
        <f t="shared" si="0"/>
        <v>-</v>
      </c>
      <c r="C45" s="34" t="s">
        <v>110</v>
      </c>
      <c r="D45" s="174"/>
    </row>
    <row r="46" spans="1:7">
      <c r="A46" s="171" t="s">
        <v>72</v>
      </c>
      <c r="B46" s="33">
        <f t="shared" si="0"/>
        <v>147.59075907590761</v>
      </c>
      <c r="C46" s="34" t="s">
        <v>110</v>
      </c>
      <c r="D46" s="174"/>
    </row>
    <row r="47" spans="1:7">
      <c r="A47" s="171" t="s">
        <v>73</v>
      </c>
      <c r="B47" s="33">
        <f t="shared" si="0"/>
        <v>193.00330033003306</v>
      </c>
      <c r="C47" s="34" t="s">
        <v>110</v>
      </c>
      <c r="D47" s="174"/>
    </row>
    <row r="48" spans="1:7">
      <c r="A48" s="171" t="s">
        <v>74</v>
      </c>
      <c r="B48" s="33">
        <f t="shared" si="0"/>
        <v>89.40594059405943</v>
      </c>
      <c r="C48" s="33">
        <f>B48*10</f>
        <v>894.05940594059427</v>
      </c>
      <c r="D48" s="234"/>
    </row>
    <row r="49" spans="1:6">
      <c r="A49" s="171" t="s">
        <v>75</v>
      </c>
      <c r="B49" s="33" t="str">
        <f t="shared" si="0"/>
        <v>-</v>
      </c>
      <c r="C49" s="34" t="s">
        <v>110</v>
      </c>
      <c r="D49" s="234"/>
    </row>
    <row r="50" spans="1:6">
      <c r="A50" s="171" t="s">
        <v>76</v>
      </c>
      <c r="B50" s="33">
        <f t="shared" si="0"/>
        <v>50.9</v>
      </c>
      <c r="C50" s="33">
        <f>B50*2</f>
        <v>101.8</v>
      </c>
      <c r="D50" s="234"/>
    </row>
    <row r="51" spans="1:6">
      <c r="A51" s="171" t="s">
        <v>77</v>
      </c>
      <c r="B51" s="33">
        <f t="shared" si="0"/>
        <v>1197.0999999999999</v>
      </c>
      <c r="C51" s="34" t="s">
        <v>110</v>
      </c>
      <c r="D51" s="174"/>
    </row>
    <row r="52" spans="1:6">
      <c r="A52" s="171" t="s">
        <v>78</v>
      </c>
      <c r="B52" s="33" t="str">
        <f t="shared" si="0"/>
        <v>zie verder</v>
      </c>
      <c r="C52" s="34" t="s">
        <v>110</v>
      </c>
      <c r="D52" s="174"/>
    </row>
    <row r="53" spans="1:6">
      <c r="A53" s="3"/>
      <c r="B53" s="43"/>
      <c r="C53" s="43"/>
      <c r="D53" s="174"/>
    </row>
    <row r="54" spans="1:6">
      <c r="A54" s="172" t="s">
        <v>476</v>
      </c>
      <c r="B54" s="165" t="s">
        <v>833</v>
      </c>
      <c r="C54" s="165" t="s">
        <v>834</v>
      </c>
      <c r="D54" s="301" t="s">
        <v>832</v>
      </c>
      <c r="E54" s="162"/>
      <c r="F54" s="162"/>
    </row>
    <row r="55" spans="1:6">
      <c r="A55" s="171" t="s">
        <v>70</v>
      </c>
      <c r="B55" s="163">
        <v>13.950881186578297</v>
      </c>
      <c r="C55" s="170" t="s">
        <v>110</v>
      </c>
      <c r="D55" s="173"/>
      <c r="E55" s="163"/>
      <c r="F55" s="163"/>
    </row>
    <row r="56" spans="1:6">
      <c r="A56" s="171" t="s">
        <v>71</v>
      </c>
      <c r="B56" s="170" t="s">
        <v>110</v>
      </c>
      <c r="C56" s="170" t="s">
        <v>110</v>
      </c>
      <c r="D56" s="173"/>
      <c r="E56" s="163"/>
      <c r="F56" s="163"/>
    </row>
    <row r="57" spans="1:6">
      <c r="A57" s="171" t="s">
        <v>72</v>
      </c>
      <c r="B57" s="163">
        <v>39.174216053125676</v>
      </c>
      <c r="C57" s="170" t="s">
        <v>110</v>
      </c>
      <c r="D57" s="173"/>
      <c r="E57" s="163"/>
      <c r="F57" s="163"/>
    </row>
    <row r="58" spans="1:6">
      <c r="A58" s="171" t="s">
        <v>73</v>
      </c>
      <c r="B58" s="163">
        <v>8.4003599459293898</v>
      </c>
      <c r="C58" s="170" t="s">
        <v>110</v>
      </c>
      <c r="D58" s="173"/>
      <c r="E58" s="163"/>
      <c r="F58" s="163"/>
    </row>
    <row r="59" spans="1:6">
      <c r="A59" s="171" t="s">
        <v>74</v>
      </c>
      <c r="B59" s="170">
        <v>9.7672563844123328</v>
      </c>
      <c r="C59" s="170">
        <v>5.8025124384515268</v>
      </c>
      <c r="D59" s="173"/>
      <c r="E59" s="163"/>
      <c r="F59" s="163"/>
    </row>
    <row r="60" spans="1:6">
      <c r="A60" s="171" t="s">
        <v>75</v>
      </c>
      <c r="B60" s="170" t="s">
        <v>110</v>
      </c>
      <c r="C60" s="170" t="s">
        <v>110</v>
      </c>
      <c r="D60" s="173"/>
      <c r="E60" s="163"/>
      <c r="F60" s="163"/>
    </row>
    <row r="61" spans="1:6">
      <c r="A61" s="171" t="s">
        <v>76</v>
      </c>
      <c r="B61" s="163">
        <v>5.4980086729616922</v>
      </c>
      <c r="C61" s="170">
        <v>11.927634532618011</v>
      </c>
      <c r="D61" s="173"/>
      <c r="E61" s="163"/>
      <c r="F61" s="163"/>
    </row>
    <row r="62" spans="1:6">
      <c r="A62" s="171" t="s">
        <v>77</v>
      </c>
      <c r="B62" s="170">
        <v>20.792017279280177</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474</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63</v>
      </c>
      <c r="C69" s="43"/>
      <c r="D69" s="173"/>
    </row>
    <row r="70" spans="1:6">
      <c r="A70" s="171" t="s">
        <v>471</v>
      </c>
      <c r="B70" s="315">
        <v>5.3300370073084435</v>
      </c>
      <c r="C70" s="43"/>
      <c r="D70" s="309" t="s">
        <v>860</v>
      </c>
    </row>
    <row r="71" spans="1:6">
      <c r="A71" s="245" t="s">
        <v>472</v>
      </c>
      <c r="B71" s="320">
        <f>1.34/3.6</f>
        <v>0.37222222222222223</v>
      </c>
      <c r="C71" s="43" t="s">
        <v>217</v>
      </c>
      <c r="D71" s="309" t="s">
        <v>861</v>
      </c>
    </row>
    <row r="72" spans="1:6">
      <c r="A72" s="175"/>
      <c r="B72" s="246"/>
      <c r="C72" s="178"/>
      <c r="D72" s="179"/>
    </row>
    <row r="73" spans="1:6">
      <c r="D73" s="164"/>
    </row>
    <row r="74" spans="1:6">
      <c r="A74" s="194" t="s">
        <v>475</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32</v>
      </c>
      <c r="C77" s="32"/>
      <c r="D77" s="177"/>
    </row>
    <row r="78" spans="1:6">
      <c r="A78" s="171" t="s">
        <v>441</v>
      </c>
      <c r="B78" s="315">
        <v>8.5956185892968069</v>
      </c>
      <c r="C78" s="32" t="s">
        <v>262</v>
      </c>
      <c r="D78" s="309" t="s">
        <v>860</v>
      </c>
    </row>
    <row r="79" spans="1:6">
      <c r="A79" s="171" t="s">
        <v>442</v>
      </c>
      <c r="B79" s="315">
        <v>1671.14092090028</v>
      </c>
      <c r="C79" s="32" t="s">
        <v>264</v>
      </c>
      <c r="D79" s="309" t="s">
        <v>860</v>
      </c>
    </row>
    <row r="80" spans="1:6">
      <c r="A80" s="171" t="s">
        <v>404</v>
      </c>
      <c r="B80" s="315">
        <v>3.75</v>
      </c>
      <c r="C80" s="43"/>
      <c r="D80" s="309" t="s">
        <v>861</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0"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155</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251"/>
      <c r="G4" s="14"/>
      <c r="H4" s="14"/>
      <c r="I4" s="14"/>
      <c r="J4" s="14"/>
      <c r="K4" s="14"/>
      <c r="L4" s="14"/>
      <c r="M4" s="14"/>
      <c r="N4" s="14"/>
      <c r="O4" s="14"/>
      <c r="P4" s="14"/>
      <c r="R4" s="6"/>
    </row>
    <row r="5" spans="1:18">
      <c r="A5" s="16" t="s">
        <v>258</v>
      </c>
      <c r="B5" s="30">
        <f>SUM(B6:B12)</f>
        <v>3275.2426499999997</v>
      </c>
      <c r="C5" s="17">
        <f>IF(ISERROR('Eigen informatie GS &amp; warmtenet'!B60),0,'Eigen informatie GS &amp; warmtenet'!B60)</f>
        <v>0</v>
      </c>
      <c r="D5" s="30">
        <f>SUM(D6:D12)</f>
        <v>0</v>
      </c>
      <c r="E5" s="17">
        <f>SUM(E6:E12)</f>
        <v>39.551790693435962</v>
      </c>
      <c r="F5" s="17">
        <f>SUM(F6:F12)</f>
        <v>384.80673077626267</v>
      </c>
      <c r="G5" s="18"/>
      <c r="H5" s="17"/>
      <c r="I5" s="17"/>
      <c r="J5" s="17">
        <f>SUM(J6:J12)</f>
        <v>4.8470710206913476E-3</v>
      </c>
      <c r="K5" s="17"/>
      <c r="L5" s="17"/>
      <c r="M5" s="17"/>
      <c r="N5" s="17">
        <f>SUM(N6:N12)</f>
        <v>192.53599194955819</v>
      </c>
      <c r="O5" s="17">
        <f>B38*B39*B40</f>
        <v>0</v>
      </c>
      <c r="P5" s="17">
        <f>B46*B47*B48/1000-B46*B47*B48/1000/B49</f>
        <v>52.539138306495019</v>
      </c>
      <c r="R5" s="32"/>
    </row>
    <row r="6" spans="1:18">
      <c r="A6" s="32" t="s">
        <v>53</v>
      </c>
      <c r="B6" s="37">
        <f>B26</f>
        <v>406.71465000000001</v>
      </c>
      <c r="C6" s="33"/>
      <c r="D6" s="37">
        <f>IF(ISERROR(TER_kantoor_gas_kWh/1000),0,TER_kantoor_gas_kWh/1000)*0.902</f>
        <v>0</v>
      </c>
      <c r="E6" s="33">
        <f>$C$26*'E Balans VL '!I12/100/3.6*1000000</f>
        <v>3.2727023855597506</v>
      </c>
      <c r="F6" s="33">
        <f>$C$26*('E Balans VL '!L12+'E Balans VL '!N12)/100/3.6*1000000</f>
        <v>49.725144463638969</v>
      </c>
      <c r="G6" s="34"/>
      <c r="H6" s="33"/>
      <c r="I6" s="33"/>
      <c r="J6" s="33">
        <f>$C$26*('E Balans VL '!D12+'E Balans VL '!E12)/100/3.6*1000000</f>
        <v>0</v>
      </c>
      <c r="K6" s="33"/>
      <c r="L6" s="33"/>
      <c r="M6" s="33"/>
      <c r="N6" s="33">
        <f>$C$26*'E Balans VL '!Y12/100/3.6*1000000</f>
        <v>0.21858909584626521</v>
      </c>
      <c r="O6" s="33"/>
      <c r="P6" s="33"/>
      <c r="R6" s="32"/>
    </row>
    <row r="7" spans="1:18">
      <c r="A7" s="32" t="s">
        <v>52</v>
      </c>
      <c r="B7" s="37">
        <f t="shared" ref="B7:B12" si="0">B27</f>
        <v>1596.0229999999999</v>
      </c>
      <c r="C7" s="33"/>
      <c r="D7" s="37">
        <f>IF(ISERROR(TER_horeca_gas_kWh/1000),0,TER_horeca_gas_kWh/1000)*0.902</f>
        <v>0</v>
      </c>
      <c r="E7" s="33">
        <f>$C$27*'E Balans VL '!I9/100/3.6*1000000</f>
        <v>17.137367872689733</v>
      </c>
      <c r="F7" s="33">
        <f>$C$27*('E Balans VL '!L9+'E Balans VL '!N9)/100/3.6*1000000</f>
        <v>191.96286542872215</v>
      </c>
      <c r="G7" s="34"/>
      <c r="H7" s="33"/>
      <c r="I7" s="33"/>
      <c r="J7" s="33">
        <f>$C$27*('E Balans VL '!D9+'E Balans VL '!E9)/100/3.6*1000000</f>
        <v>0</v>
      </c>
      <c r="K7" s="33"/>
      <c r="L7" s="33"/>
      <c r="M7" s="33"/>
      <c r="N7" s="33">
        <f>$C$27*'E Balans VL '!Y9/100/3.6*1000000</f>
        <v>0.23927619533069747</v>
      </c>
      <c r="O7" s="33"/>
      <c r="P7" s="33"/>
      <c r="R7" s="32"/>
    </row>
    <row r="8" spans="1:18">
      <c r="A8" s="6" t="s">
        <v>51</v>
      </c>
      <c r="B8" s="37">
        <f t="shared" si="0"/>
        <v>351.51299999999998</v>
      </c>
      <c r="C8" s="33"/>
      <c r="D8" s="37">
        <f>IF(ISERROR(TER_handel_gas_kWh/1000),0,TER_handel_gas_kWh/1000)*0.902</f>
        <v>0</v>
      </c>
      <c r="E8" s="33">
        <f>$C$28*'E Balans VL '!I13/100/3.6*1000000</f>
        <v>9.4335327733899756</v>
      </c>
      <c r="F8" s="33">
        <f>$C$28*('E Balans VL '!L13+'E Balans VL '!N13)/100/3.6*1000000</f>
        <v>33.545174110009697</v>
      </c>
      <c r="G8" s="34"/>
      <c r="H8" s="33"/>
      <c r="I8" s="33"/>
      <c r="J8" s="33">
        <f>$C$28*('E Balans VL '!D13+'E Balans VL '!E13)/100/3.6*1000000</f>
        <v>0</v>
      </c>
      <c r="K8" s="33"/>
      <c r="L8" s="33"/>
      <c r="M8" s="33"/>
      <c r="N8" s="33">
        <f>$C$28*'E Balans VL '!Y13/100/3.6*1000000</f>
        <v>0.13934375003831145</v>
      </c>
      <c r="O8" s="33"/>
      <c r="P8" s="33"/>
      <c r="R8" s="32"/>
    </row>
    <row r="9" spans="1:18">
      <c r="A9" s="32" t="s">
        <v>50</v>
      </c>
      <c r="B9" s="37">
        <f t="shared" si="0"/>
        <v>293.69400000000002</v>
      </c>
      <c r="C9" s="33"/>
      <c r="D9" s="37">
        <f>IF(ISERROR(TER_gezond_gas_kWh/1000),0,TER_gezond_gas_kWh/1000)*0.902</f>
        <v>0</v>
      </c>
      <c r="E9" s="33">
        <f>$C$29*'E Balans VL '!I10/100/3.6*1000000</f>
        <v>0.55047818691905781</v>
      </c>
      <c r="F9" s="33">
        <f>$C$29*('E Balans VL '!L10+'E Balans VL '!N10)/100/3.6*1000000</f>
        <v>24.144326551266289</v>
      </c>
      <c r="G9" s="34"/>
      <c r="H9" s="33"/>
      <c r="I9" s="33"/>
      <c r="J9" s="33">
        <f>$C$29*('E Balans VL '!D10+'E Balans VL '!E10)/100/3.6*1000000</f>
        <v>0</v>
      </c>
      <c r="K9" s="33"/>
      <c r="L9" s="33"/>
      <c r="M9" s="33"/>
      <c r="N9" s="33">
        <f>$C$29*'E Balans VL '!Y10/100/3.6*1000000</f>
        <v>2.2851584472097208</v>
      </c>
      <c r="O9" s="33"/>
      <c r="P9" s="33"/>
      <c r="R9" s="32"/>
    </row>
    <row r="10" spans="1:18">
      <c r="A10" s="32" t="s">
        <v>49</v>
      </c>
      <c r="B10" s="37">
        <f t="shared" si="0"/>
        <v>285.524</v>
      </c>
      <c r="C10" s="33"/>
      <c r="D10" s="37">
        <f>IF(ISERROR(TER_ander_gas_kWh/1000),0,TER_ander_gas_kWh/1000)*0.902</f>
        <v>0</v>
      </c>
      <c r="E10" s="33">
        <f>$C$30*'E Balans VL '!I14/100/3.6*1000000</f>
        <v>0.44013813916998884</v>
      </c>
      <c r="F10" s="33">
        <f>$C$30*('E Balans VL '!L14+'E Balans VL '!N14)/100/3.6*1000000</f>
        <v>44.327679823233808</v>
      </c>
      <c r="G10" s="34"/>
      <c r="H10" s="33"/>
      <c r="I10" s="33"/>
      <c r="J10" s="33">
        <f>$C$30*('E Balans VL '!D14+'E Balans VL '!E14)/100/3.6*1000000</f>
        <v>4.8470710206913476E-3</v>
      </c>
      <c r="K10" s="33"/>
      <c r="L10" s="33"/>
      <c r="M10" s="33"/>
      <c r="N10" s="33">
        <f>$C$30*'E Balans VL '!Y14/100/3.6*1000000</f>
        <v>188.89352742449066</v>
      </c>
      <c r="O10" s="33"/>
      <c r="P10" s="33"/>
      <c r="R10" s="32"/>
    </row>
    <row r="11" spans="1:18">
      <c r="A11" s="32" t="s">
        <v>54</v>
      </c>
      <c r="B11" s="37">
        <f t="shared" si="0"/>
        <v>341.774</v>
      </c>
      <c r="C11" s="33"/>
      <c r="D11" s="37">
        <f>IF(ISERROR(TER_onderwijs_gas_kWh/1000),0,TER_onderwijs_gas_kWh/1000)*0.902</f>
        <v>0</v>
      </c>
      <c r="E11" s="33">
        <f>$C$31*'E Balans VL '!I11/100/3.6*1000000</f>
        <v>8.7175713357074507</v>
      </c>
      <c r="F11" s="33">
        <f>$C$31*('E Balans VL '!L11+'E Balans VL '!N11)/100/3.6*1000000</f>
        <v>41.101540399391823</v>
      </c>
      <c r="G11" s="34"/>
      <c r="H11" s="33"/>
      <c r="I11" s="33"/>
      <c r="J11" s="33">
        <f>$C$31*('E Balans VL '!D11+'E Balans VL '!E11)/100/3.6*1000000</f>
        <v>0</v>
      </c>
      <c r="K11" s="33"/>
      <c r="L11" s="33"/>
      <c r="M11" s="33"/>
      <c r="N11" s="33">
        <f>$C$31*'E Balans VL '!Y11/100/3.6*1000000</f>
        <v>0.76009703664254247</v>
      </c>
      <c r="O11" s="33"/>
      <c r="P11" s="33"/>
      <c r="R11" s="32"/>
    </row>
    <row r="12" spans="1:18">
      <c r="A12" s="32" t="s">
        <v>259</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482</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496</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3275.2426499999997</v>
      </c>
      <c r="C16" s="21">
        <f t="shared" ca="1" si="1"/>
        <v>0</v>
      </c>
      <c r="D16" s="21">
        <f t="shared" ca="1" si="1"/>
        <v>0</v>
      </c>
      <c r="E16" s="21">
        <f t="shared" si="1"/>
        <v>39.551790693435962</v>
      </c>
      <c r="F16" s="21">
        <f t="shared" ca="1" si="1"/>
        <v>384.80673077626267</v>
      </c>
      <c r="G16" s="21">
        <f t="shared" si="1"/>
        <v>0</v>
      </c>
      <c r="H16" s="21">
        <f t="shared" si="1"/>
        <v>0</v>
      </c>
      <c r="I16" s="21">
        <f t="shared" si="1"/>
        <v>0</v>
      </c>
      <c r="J16" s="21">
        <f t="shared" si="1"/>
        <v>4.8470710206913476E-3</v>
      </c>
      <c r="K16" s="21">
        <f t="shared" si="1"/>
        <v>0</v>
      </c>
      <c r="L16" s="21">
        <f t="shared" ca="1" si="1"/>
        <v>0</v>
      </c>
      <c r="M16" s="21">
        <f t="shared" si="1"/>
        <v>0</v>
      </c>
      <c r="N16" s="21">
        <f t="shared" ca="1" si="1"/>
        <v>192.53599194955819</v>
      </c>
      <c r="O16" s="21">
        <f>O5</f>
        <v>0</v>
      </c>
      <c r="P16" s="21">
        <f>P5</f>
        <v>52.539138306495019</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0.19379725565552808</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634.73303717593922</v>
      </c>
      <c r="C20" s="23">
        <f t="shared" ref="C20:P20" ca="1" si="2">C16*C18</f>
        <v>0</v>
      </c>
      <c r="D20" s="23">
        <f t="shared" ca="1" si="2"/>
        <v>0</v>
      </c>
      <c r="E20" s="23">
        <f t="shared" si="2"/>
        <v>8.9782564874099631</v>
      </c>
      <c r="F20" s="23">
        <f t="shared" ca="1" si="2"/>
        <v>102.74339711726213</v>
      </c>
      <c r="G20" s="23">
        <f t="shared" si="2"/>
        <v>0</v>
      </c>
      <c r="H20" s="23">
        <f t="shared" si="2"/>
        <v>0</v>
      </c>
      <c r="I20" s="23">
        <f t="shared" si="2"/>
        <v>0</v>
      </c>
      <c r="J20" s="23">
        <f t="shared" si="2"/>
        <v>1.715863141324737E-3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481</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406.71465000000001</v>
      </c>
      <c r="C26" s="39">
        <f>IF(ISERROR(B26*3.6/1000000/'E Balans VL '!Z12*100),0,B26*3.6/1000000/'E Balans VL '!Z12*100)</f>
        <v>8.6280791985749918E-3</v>
      </c>
      <c r="D26" s="237" t="s">
        <v>716</v>
      </c>
      <c r="F26" s="6"/>
    </row>
    <row r="27" spans="1:18">
      <c r="A27" s="231" t="s">
        <v>52</v>
      </c>
      <c r="B27" s="33">
        <f>IF(ISERROR(TER_horeca_ele_kWh/1000),0,TER_horeca_ele_kWh/1000)</f>
        <v>1596.0229999999999</v>
      </c>
      <c r="C27" s="39">
        <f>IF(ISERROR(B27*3.6/1000000/'E Balans VL '!Z9*100),0,B27*3.6/1000000/'E Balans VL '!Z9*100)</f>
        <v>0.12019467028021155</v>
      </c>
      <c r="D27" s="237" t="s">
        <v>716</v>
      </c>
      <c r="F27" s="6"/>
    </row>
    <row r="28" spans="1:18">
      <c r="A28" s="171" t="s">
        <v>51</v>
      </c>
      <c r="B28" s="33">
        <f>IF(ISERROR(TER_handel_ele_kWh/1000),0,TER_handel_ele_kWh/1000)</f>
        <v>351.51299999999998</v>
      </c>
      <c r="C28" s="39">
        <f>IF(ISERROR(B28*3.6/1000000/'E Balans VL '!Z13*100),0,B28*3.6/1000000/'E Balans VL '!Z13*100)</f>
        <v>1.020317688226424E-2</v>
      </c>
      <c r="D28" s="237" t="s">
        <v>716</v>
      </c>
      <c r="F28" s="6"/>
    </row>
    <row r="29" spans="1:18">
      <c r="A29" s="231" t="s">
        <v>50</v>
      </c>
      <c r="B29" s="33">
        <f>IF(ISERROR(TER_gezond_ele_kWh/1000),0,TER_gezond_ele_kWh/1000)</f>
        <v>293.69400000000002</v>
      </c>
      <c r="C29" s="39">
        <f>IF(ISERROR(B29*3.6/1000000/'E Balans VL '!Z10*100),0,B29*3.6/1000000/'E Balans VL '!Z10*100)</f>
        <v>2.9619390144360144E-2</v>
      </c>
      <c r="D29" s="237" t="s">
        <v>716</v>
      </c>
      <c r="F29" s="6"/>
    </row>
    <row r="30" spans="1:18">
      <c r="A30" s="231" t="s">
        <v>49</v>
      </c>
      <c r="B30" s="33">
        <f>IF(ISERROR(TER_ander_ele_kWh/1000),0,TER_ander_ele_kWh/1000)</f>
        <v>285.524</v>
      </c>
      <c r="C30" s="39">
        <f>IF(ISERROR(B30*3.6/1000000/'E Balans VL '!Z14*100),0,B30*3.6/1000000/'E Balans VL '!Z14*100)</f>
        <v>2.0718661461576016E-2</v>
      </c>
      <c r="D30" s="237" t="s">
        <v>716</v>
      </c>
      <c r="F30" s="6"/>
    </row>
    <row r="31" spans="1:18">
      <c r="A31" s="231" t="s">
        <v>54</v>
      </c>
      <c r="B31" s="33">
        <f>IF(ISERROR(TER_onderwijs_ele_kWh/1000),0,TER_onderwijs_ele_kWh/1000)</f>
        <v>341.774</v>
      </c>
      <c r="C31" s="39">
        <f>IF(ISERROR(B31*3.6/1000000/'E Balans VL '!Z11*100),0,B31*3.6/1000000/'E Balans VL '!Z11*100)</f>
        <v>9.7419507685337914E-2</v>
      </c>
      <c r="D31" s="237" t="s">
        <v>716</v>
      </c>
    </row>
    <row r="32" spans="1:18">
      <c r="A32" s="231" t="s">
        <v>259</v>
      </c>
      <c r="B32" s="33">
        <f>IF(ISERROR(TER_rest_ele_kWh/1000),0,TER_rest_ele_kWh/1000)</f>
        <v>0</v>
      </c>
      <c r="C32" s="39">
        <f>IF(ISERROR(B32*3.6/1000000/'E Balans VL '!Z8*100),0,B32*3.6/1000000/'E Balans VL '!Z8*100)</f>
        <v>0</v>
      </c>
      <c r="D32" s="237" t="s">
        <v>716</v>
      </c>
    </row>
    <row r="33" spans="1:4">
      <c r="A33" s="240"/>
      <c r="B33" s="180"/>
      <c r="C33" s="180"/>
      <c r="D33" s="241"/>
    </row>
    <row r="34" spans="1:4">
      <c r="A34" s="32"/>
      <c r="B34" s="32"/>
      <c r="C34" s="32"/>
    </row>
    <row r="35" spans="1:4">
      <c r="A35" s="193" t="s">
        <v>474</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f>
        <v>0</v>
      </c>
      <c r="C38" s="43"/>
      <c r="D38" s="232"/>
    </row>
    <row r="39" spans="1:4">
      <c r="A39" s="171" t="s">
        <v>471</v>
      </c>
      <c r="B39" s="315">
        <v>13.15681996793146</v>
      </c>
      <c r="C39" s="43"/>
      <c r="D39" s="309" t="s">
        <v>860</v>
      </c>
    </row>
    <row r="40" spans="1:4">
      <c r="A40" s="6" t="s">
        <v>472</v>
      </c>
      <c r="B40" s="320">
        <f>1.34/3.6</f>
        <v>0.37222222222222223</v>
      </c>
      <c r="C40" s="43" t="s">
        <v>217</v>
      </c>
      <c r="D40" s="309" t="s">
        <v>861</v>
      </c>
    </row>
    <row r="41" spans="1:4">
      <c r="A41" s="240"/>
      <c r="B41" s="180"/>
      <c r="C41" s="180"/>
      <c r="D41" s="241"/>
    </row>
    <row r="43" spans="1:4">
      <c r="A43" s="194" t="s">
        <v>475</v>
      </c>
      <c r="B43" s="203"/>
      <c r="C43" s="203"/>
      <c r="D43" s="225"/>
    </row>
    <row r="44" spans="1:4">
      <c r="A44" s="230"/>
      <c r="B44" s="32"/>
      <c r="C44" s="32"/>
      <c r="D44" s="232"/>
    </row>
    <row r="45" spans="1:4">
      <c r="A45" s="242"/>
      <c r="B45" s="243"/>
      <c r="C45" s="224" t="s">
        <v>376</v>
      </c>
      <c r="D45" s="244" t="s">
        <v>181</v>
      </c>
    </row>
    <row r="46" spans="1:4">
      <c r="A46" s="171" t="s">
        <v>265</v>
      </c>
      <c r="B46" s="558">
        <f>aantalWP_NB_ander+antalWP_NB_ander_met_kantoor+aantalWP_NB_kantoor+aantalWP_NB_school+WP_NHH_bestaande_bouw</f>
        <v>1</v>
      </c>
      <c r="C46" s="32"/>
      <c r="D46" s="232"/>
    </row>
    <row r="47" spans="1:4">
      <c r="A47" s="171" t="s">
        <v>441</v>
      </c>
      <c r="B47" s="559">
        <v>37.963784638354454</v>
      </c>
      <c r="C47" s="32" t="s">
        <v>262</v>
      </c>
      <c r="D47" s="309" t="s">
        <v>860</v>
      </c>
    </row>
    <row r="48" spans="1:4">
      <c r="A48" s="171" t="s">
        <v>442</v>
      </c>
      <c r="B48" s="559">
        <v>1887.1743212997605</v>
      </c>
      <c r="C48" s="32" t="s">
        <v>264</v>
      </c>
      <c r="D48" s="309" t="s">
        <v>860</v>
      </c>
    </row>
    <row r="49" spans="1:4">
      <c r="A49" s="171" t="s">
        <v>404</v>
      </c>
      <c r="B49" s="559">
        <v>3.75</v>
      </c>
      <c r="C49" s="32"/>
      <c r="D49" s="309" t="s">
        <v>861</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162</v>
      </c>
      <c r="B1" s="1223" t="s">
        <v>194</v>
      </c>
      <c r="C1" s="1224"/>
      <c r="D1" s="1224"/>
      <c r="E1" s="1224"/>
      <c r="F1" s="1224"/>
      <c r="G1" s="1224"/>
      <c r="H1" s="1224"/>
      <c r="I1" s="1224"/>
      <c r="J1" s="1224"/>
      <c r="K1" s="1224"/>
      <c r="L1" s="1224"/>
      <c r="M1" s="1224"/>
      <c r="N1" s="1224"/>
      <c r="O1" s="1224"/>
      <c r="P1" s="1224"/>
      <c r="R1" s="79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c r="R2" s="794"/>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c r="R3" s="794"/>
    </row>
    <row r="4" spans="1:18" ht="15.75">
      <c r="A4" s="13"/>
      <c r="B4" s="14"/>
      <c r="C4" s="14"/>
      <c r="D4" s="14"/>
      <c r="E4" s="14"/>
      <c r="F4" s="14"/>
      <c r="G4" s="14"/>
      <c r="H4" s="14"/>
      <c r="I4" s="14"/>
      <c r="J4" s="14"/>
      <c r="K4" s="14"/>
      <c r="L4" s="14"/>
      <c r="M4" s="14"/>
      <c r="N4" s="14"/>
      <c r="O4" s="14"/>
      <c r="P4" s="14"/>
      <c r="R4" s="6"/>
    </row>
    <row r="5" spans="1:18">
      <c r="A5" s="16" t="s">
        <v>268</v>
      </c>
      <c r="B5" s="30">
        <f>SUM(B6:B15)</f>
        <v>641.37765000000013</v>
      </c>
      <c r="C5" s="17">
        <f>IF(ISERROR('Eigen informatie GS &amp; warmtenet'!B61),0,'Eigen informatie GS &amp; warmtenet'!B61)</f>
        <v>0</v>
      </c>
      <c r="D5" s="30">
        <f>SUM(D6:D15)</f>
        <v>0</v>
      </c>
      <c r="E5" s="17">
        <f>SUM(E6:E15)</f>
        <v>150.41651860604722</v>
      </c>
      <c r="F5" s="17">
        <f>SUM(F6:F15)</f>
        <v>455.34761772394592</v>
      </c>
      <c r="G5" s="18"/>
      <c r="H5" s="17"/>
      <c r="I5" s="17"/>
      <c r="J5" s="17">
        <f>SUM(J6:J15)</f>
        <v>4.7061507130423515E-2</v>
      </c>
      <c r="K5" s="17"/>
      <c r="L5" s="17"/>
      <c r="M5" s="17"/>
      <c r="N5" s="17">
        <f>SUM(N6:N15)</f>
        <v>43.880992040131737</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25.87</v>
      </c>
      <c r="C8" s="33"/>
      <c r="D8" s="37">
        <f>IF( ISERROR(IND_metaal_Gas_kWH/1000),0,IND_metaal_Gas_kWH/1000)*0.902</f>
        <v>0</v>
      </c>
      <c r="E8" s="33">
        <f>C30*'E Balans VL '!I18/100/3.6*1000000</f>
        <v>0.1866338927370301</v>
      </c>
      <c r="F8" s="33">
        <f>C30*'E Balans VL '!L18/100/3.6*1000000+C30*'E Balans VL '!N18/100/3.6*1000000</f>
        <v>2.4468249906146089</v>
      </c>
      <c r="G8" s="34"/>
      <c r="H8" s="33"/>
      <c r="I8" s="33"/>
      <c r="J8" s="40">
        <f>C30*'E Balans VL '!D18/100/3.6*1000000+C30*'E Balans VL '!E18/100/3.6*1000000</f>
        <v>2.602019633569529E-2</v>
      </c>
      <c r="K8" s="33"/>
      <c r="L8" s="33"/>
      <c r="M8" s="33"/>
      <c r="N8" s="33">
        <f>C30*'E Balans VL '!Y18/100/3.6*1000000</f>
        <v>0.32706524526264208</v>
      </c>
      <c r="O8" s="33"/>
      <c r="P8" s="33"/>
      <c r="R8" s="32"/>
    </row>
    <row r="9" spans="1:18">
      <c r="A9" s="6" t="s">
        <v>32</v>
      </c>
      <c r="B9" s="37">
        <f t="shared" si="0"/>
        <v>541.23165000000006</v>
      </c>
      <c r="C9" s="33"/>
      <c r="D9" s="37">
        <f>IF( ISERROR(IND_andere_gas_kWh/1000),0,IND_andere_gas_kWh/1000)*0.902</f>
        <v>0</v>
      </c>
      <c r="E9" s="33">
        <f>C31*'E Balans VL '!I19/100/3.6*1000000</f>
        <v>149.9825273888498</v>
      </c>
      <c r="F9" s="33">
        <f>C31*'E Balans VL '!L19/100/3.6*1000000+C31*'E Balans VL '!N19/100/3.6*1000000</f>
        <v>448.5739611306098</v>
      </c>
      <c r="G9" s="34"/>
      <c r="H9" s="33"/>
      <c r="I9" s="33"/>
      <c r="J9" s="40">
        <f>C31*'E Balans VL '!D19/100/3.6*1000000+C31*'E Balans VL '!E19/100/3.6*1000000</f>
        <v>0</v>
      </c>
      <c r="K9" s="33"/>
      <c r="L9" s="33"/>
      <c r="M9" s="33"/>
      <c r="N9" s="33">
        <f>C31*'E Balans VL '!Y19/100/3.6*1000000</f>
        <v>39.286797810252992</v>
      </c>
      <c r="O9" s="33"/>
      <c r="P9" s="33"/>
      <c r="R9" s="32"/>
    </row>
    <row r="10" spans="1:18">
      <c r="A10" s="6" t="s">
        <v>40</v>
      </c>
      <c r="B10" s="37">
        <f t="shared" si="0"/>
        <v>71.728999999999999</v>
      </c>
      <c r="C10" s="33"/>
      <c r="D10" s="37">
        <f>IF( ISERROR(IND_voed_gas_kWh/1000),0,IND_voed_gas_kWh/1000)*0.902</f>
        <v>0</v>
      </c>
      <c r="E10" s="33">
        <f>C32*'E Balans VL '!I20/100/3.6*1000000</f>
        <v>0.12698462616999703</v>
      </c>
      <c r="F10" s="33">
        <f>C32*'E Balans VL '!L20/100/3.6*1000000+C32*'E Balans VL '!N20/100/3.6*1000000</f>
        <v>3.8740017284244228</v>
      </c>
      <c r="G10" s="34"/>
      <c r="H10" s="33"/>
      <c r="I10" s="33"/>
      <c r="J10" s="40">
        <f>C32*'E Balans VL '!D20/100/3.6*1000000+C32*'E Balans VL '!E20/100/3.6*1000000</f>
        <v>0</v>
      </c>
      <c r="K10" s="33"/>
      <c r="L10" s="33"/>
      <c r="M10" s="33"/>
      <c r="N10" s="33">
        <f>C32*'E Balans VL '!Y20/100/3.6*1000000</f>
        <v>4.1680027011990903</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2.5470000000000002</v>
      </c>
      <c r="C15" s="33"/>
      <c r="D15" s="37">
        <f>IF( ISERROR(IND_rest_gas_kWh/1000),0,IND_rest_gas_kWh/1000)*0.902</f>
        <v>0</v>
      </c>
      <c r="E15" s="33">
        <f>C37*'E Balans VL '!I15/100/3.6*1000000</f>
        <v>0.12037269829038895</v>
      </c>
      <c r="F15" s="33">
        <f>C37*'E Balans VL '!L15/100/3.6*1000000+C37*'E Balans VL '!N15/100/3.6*1000000</f>
        <v>0.45282987429704186</v>
      </c>
      <c r="G15" s="34"/>
      <c r="H15" s="33"/>
      <c r="I15" s="33"/>
      <c r="J15" s="40">
        <f>C37*'E Balans VL '!D15/100/3.6*1000000+C37*'E Balans VL '!E15/100/3.6*1000000</f>
        <v>2.1041310794728225E-2</v>
      </c>
      <c r="K15" s="33"/>
      <c r="L15" s="33"/>
      <c r="M15" s="33"/>
      <c r="N15" s="33">
        <f>C37*'E Balans VL '!Y15/100/3.6*1000000</f>
        <v>9.912628341700884E-2</v>
      </c>
      <c r="O15" s="33"/>
      <c r="P15" s="33"/>
      <c r="R15" s="32"/>
    </row>
    <row r="16" spans="1:18">
      <c r="A16" s="16" t="s">
        <v>482</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641.37765000000013</v>
      </c>
      <c r="C18" s="21">
        <f>C5+C16</f>
        <v>0</v>
      </c>
      <c r="D18" s="21">
        <f>MAX((D5+D16),0)</f>
        <v>0</v>
      </c>
      <c r="E18" s="21">
        <f>MAX((E5+E16),0)</f>
        <v>150.41651860604722</v>
      </c>
      <c r="F18" s="21">
        <f>MAX((F5+F16),0)</f>
        <v>455.34761772394592</v>
      </c>
      <c r="G18" s="21"/>
      <c r="H18" s="21"/>
      <c r="I18" s="21"/>
      <c r="J18" s="21">
        <f>MAX((J5+J16),0)</f>
        <v>4.7061507130423515E-2</v>
      </c>
      <c r="K18" s="21"/>
      <c r="L18" s="21">
        <f>MAX((L5+L16),0)</f>
        <v>0</v>
      </c>
      <c r="M18" s="21"/>
      <c r="N18" s="21">
        <f>MAX((N5+N16),0)</f>
        <v>43.880992040131737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0.19379725565552808</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124.29722840879184</v>
      </c>
      <c r="C22" s="23">
        <f ca="1">C18*C20</f>
        <v>0</v>
      </c>
      <c r="D22" s="23">
        <f>D18*D20</f>
        <v>0</v>
      </c>
      <c r="E22" s="23">
        <f>E18*E20</f>
        <v>34.144549723572723</v>
      </c>
      <c r="F22" s="23">
        <f>F18*F20</f>
        <v>121.57781393229357</v>
      </c>
      <c r="G22" s="23"/>
      <c r="H22" s="23"/>
      <c r="I22" s="23"/>
      <c r="J22" s="23">
        <f>J18*J20</f>
        <v>1.6659773524169922E-2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481</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716</v>
      </c>
    </row>
    <row r="29" spans="1:18">
      <c r="A29" s="171" t="s">
        <v>37</v>
      </c>
      <c r="B29" s="37">
        <f>IF( ISERROR(IND_nonf_ele_kWh/1000),0,IND_nonf_ele_kWh/1000)</f>
        <v>0</v>
      </c>
      <c r="C29" s="39">
        <f>IF(ISERROR(B29*3.6/1000000/'E Balans VL '!Z17*100),0,B29*3.6/1000000/'E Balans VL '!Z17*100)</f>
        <v>0</v>
      </c>
      <c r="D29" s="237" t="s">
        <v>716</v>
      </c>
    </row>
    <row r="30" spans="1:18">
      <c r="A30" s="171" t="s">
        <v>35</v>
      </c>
      <c r="B30" s="37">
        <f>IF( ISERROR(IND_metaal_ele_kWh/1000),0,IND_metaal_ele_kWh/1000)</f>
        <v>25.87</v>
      </c>
      <c r="C30" s="39">
        <f>IF(ISERROR(B30*3.6/1000000/'E Balans VL '!Z18*100),0,B30*3.6/1000000/'E Balans VL '!Z18*100)</f>
        <v>1.4934347338058341E-3</v>
      </c>
      <c r="D30" s="237" t="s">
        <v>716</v>
      </c>
    </row>
    <row r="31" spans="1:18">
      <c r="A31" s="6" t="s">
        <v>32</v>
      </c>
      <c r="B31" s="37">
        <f>IF( ISERROR(IND_ander_ele_kWh/1000),0,IND_ander_ele_kWh/1000)</f>
        <v>541.23165000000006</v>
      </c>
      <c r="C31" s="39">
        <f>IF(ISERROR(B31*3.6/1000000/'E Balans VL '!Z19*100),0,B31*3.6/1000000/'E Balans VL '!Z19*100)</f>
        <v>2.722219766053607E-2</v>
      </c>
      <c r="D31" s="237" t="s">
        <v>716</v>
      </c>
    </row>
    <row r="32" spans="1:18">
      <c r="A32" s="171" t="s">
        <v>40</v>
      </c>
      <c r="B32" s="37">
        <f>IF( ISERROR(IND_voed_ele_kWh/1000),0,IND_voed_ele_kWh/1000)</f>
        <v>71.728999999999999</v>
      </c>
      <c r="C32" s="39">
        <f>IF(ISERROR(B32*3.6/1000000/'E Balans VL '!Z20*100),0,B32*3.6/1000000/'E Balans VL '!Z20*100)</f>
        <v>2.3890016445969157E-3</v>
      </c>
      <c r="D32" s="237" t="s">
        <v>716</v>
      </c>
    </row>
    <row r="33" spans="1:5">
      <c r="A33" s="171" t="s">
        <v>39</v>
      </c>
      <c r="B33" s="37">
        <f>IF( ISERROR(IND_textiel_ele_kWh/1000),0,IND_textiel_ele_kWh/1000)</f>
        <v>0</v>
      </c>
      <c r="C33" s="39">
        <f>IF(ISERROR(B33*3.6/1000000/'E Balans VL '!Z21*100),0,B33*3.6/1000000/'E Balans VL '!Z21*100)</f>
        <v>0</v>
      </c>
      <c r="D33" s="237" t="s">
        <v>716</v>
      </c>
    </row>
    <row r="34" spans="1:5">
      <c r="A34" s="171" t="s">
        <v>36</v>
      </c>
      <c r="B34" s="37">
        <f>IF( ISERROR(IND_min_ele_kWh/1000),0,IND_min_ele_kWh/1000)</f>
        <v>0</v>
      </c>
      <c r="C34" s="39">
        <f>IF(ISERROR(B34*3.6/1000000/'E Balans VL '!Z22*100),0,B34*3.6/1000000/'E Balans VL '!Z22*100)</f>
        <v>0</v>
      </c>
      <c r="D34" s="237" t="s">
        <v>716</v>
      </c>
    </row>
    <row r="35" spans="1:5">
      <c r="A35" s="171" t="s">
        <v>38</v>
      </c>
      <c r="B35" s="37">
        <f>IF( ISERROR(IND_papier_ele_kWh/1000),0,IND_papier_ele_kWh/1000)</f>
        <v>0</v>
      </c>
      <c r="C35" s="39">
        <f>IF(ISERROR(B35*3.6/1000000/'E Balans VL '!Z22*100),0,B35*3.6/1000000/'E Balans VL '!Z22*100)</f>
        <v>0</v>
      </c>
      <c r="D35" s="237" t="s">
        <v>716</v>
      </c>
    </row>
    <row r="36" spans="1:5">
      <c r="A36" s="171" t="s">
        <v>33</v>
      </c>
      <c r="B36" s="37">
        <f>IF( ISERROR(IND_chemie_ele_kWh/1000),0,IND_chemie_ele_kWh/1000)</f>
        <v>0</v>
      </c>
      <c r="C36" s="39">
        <f>IF(ISERROR(B36*3.6/1000000/'E Balans VL '!Z24*100),0,B36*3.6/1000000/'E Balans VL '!Z24*100)</f>
        <v>0</v>
      </c>
      <c r="D36" s="237" t="s">
        <v>716</v>
      </c>
    </row>
    <row r="37" spans="1:5">
      <c r="A37" s="171" t="s">
        <v>269</v>
      </c>
      <c r="B37" s="37">
        <f>IF( ISERROR(IND_rest_ele_kWh/1000),0,IND_rest_ele_kWh/1000)</f>
        <v>2.5470000000000002</v>
      </c>
      <c r="C37" s="39">
        <f>IF(ISERROR(B37*3.6/1000000/'E Balans VL '!Z15*100),0,B37*3.6/1000000/'E Balans VL '!Z15*100)</f>
        <v>1.9873565105648851E-5</v>
      </c>
      <c r="D37" s="237" t="s">
        <v>716</v>
      </c>
    </row>
    <row r="38" spans="1:5">
      <c r="A38" s="240"/>
      <c r="B38" s="180"/>
      <c r="C38" s="180"/>
      <c r="D38" s="241"/>
    </row>
    <row r="39" spans="1:5">
      <c r="A39" s="231"/>
      <c r="B39" s="32"/>
      <c r="C39" s="32"/>
      <c r="D39" s="32"/>
      <c r="E39" s="32"/>
    </row>
    <row r="40" spans="1:5">
      <c r="A40" s="193" t="s">
        <v>474</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471</v>
      </c>
      <c r="B44" s="315">
        <v>13.15681996793146</v>
      </c>
      <c r="C44" s="43"/>
      <c r="D44" s="309" t="s">
        <v>860</v>
      </c>
    </row>
    <row r="45" spans="1:5">
      <c r="A45" s="6" t="s">
        <v>472</v>
      </c>
      <c r="B45" s="320">
        <f>1.34/3.6</f>
        <v>0.37222222222222223</v>
      </c>
      <c r="C45" s="43" t="s">
        <v>217</v>
      </c>
      <c r="D45" s="309" t="s">
        <v>861</v>
      </c>
    </row>
    <row r="46" spans="1:5" s="32" customFormat="1">
      <c r="A46" s="175"/>
      <c r="B46" s="246"/>
      <c r="C46" s="180"/>
      <c r="D46" s="241"/>
    </row>
    <row r="48" spans="1:5">
      <c r="A48" s="194" t="s">
        <v>475</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501</v>
      </c>
    </row>
    <row r="53" spans="1:4">
      <c r="A53" s="171" t="s">
        <v>263</v>
      </c>
      <c r="B53" s="315">
        <v>1870.3471198212708</v>
      </c>
      <c r="C53" s="32" t="s">
        <v>264</v>
      </c>
      <c r="D53" s="309" t="s">
        <v>501</v>
      </c>
    </row>
    <row r="54" spans="1:4">
      <c r="A54" s="171" t="s">
        <v>404</v>
      </c>
      <c r="B54" s="315">
        <v>3.75</v>
      </c>
      <c r="C54" s="32"/>
      <c r="D54" s="309" t="s">
        <v>501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270</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2610.8249999999998</v>
      </c>
      <c r="C5" s="17">
        <f>'Eigen informatie GS &amp; warmtenet'!B62</f>
        <v>0</v>
      </c>
      <c r="D5" s="30">
        <f>IF(ISERROR(SUM(LB_lb_gas_kWh,LB_rest_gas_kWh)/1000),0,SUM(LB_lb_gas_kWh,LB_rest_gas_kWh)/1000)*0.902</f>
        <v>0</v>
      </c>
      <c r="E5" s="17">
        <f>B17*'E Balans VL '!I25/3.6*1000000/100</f>
        <v>81.482987306127825</v>
      </c>
      <c r="F5" s="17">
        <f>B17*('E Balans VL '!L25/3.6*1000000+'E Balans VL '!N25/3.6*1000000)/100</f>
        <v>9226.9447693915172</v>
      </c>
      <c r="G5" s="18"/>
      <c r="H5" s="17"/>
      <c r="I5" s="17"/>
      <c r="J5" s="17">
        <f>('E Balans VL '!D25+'E Balans VL '!E25)/3.6*1000000*landbouw!B17/100</f>
        <v>719.30039341269583</v>
      </c>
      <c r="K5" s="17"/>
      <c r="L5" s="17">
        <f>L6*(-1)</f>
        <v>0</v>
      </c>
      <c r="M5" s="17"/>
      <c r="N5" s="17">
        <f>N6*(-1)</f>
        <v>0</v>
      </c>
      <c r="O5" s="17"/>
      <c r="P5" s="17"/>
      <c r="R5" s="32"/>
    </row>
    <row r="6" spans="1:18">
      <c r="A6" s="16" t="s">
        <v>482</v>
      </c>
      <c r="B6" s="17" t="s">
        <v>210</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2610.8249999999998</v>
      </c>
      <c r="C8" s="21">
        <f>C5+C6</f>
        <v>0</v>
      </c>
      <c r="D8" s="21">
        <f>MAX((D5+D6),0)</f>
        <v>0</v>
      </c>
      <c r="E8" s="21">
        <f>MAX((E5+E6),0)</f>
        <v>81.482987306127825</v>
      </c>
      <c r="F8" s="21">
        <f>MAX((F5+F6),0)</f>
        <v>9226.9447693915172</v>
      </c>
      <c r="G8" s="21"/>
      <c r="H8" s="21"/>
      <c r="I8" s="21"/>
      <c r="J8" s="21">
        <f>MAX((J5+J6),0)</f>
        <v>719.30039341269583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0.19379725565552808</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505.97071999684408</v>
      </c>
      <c r="C12" s="23">
        <f ca="1">C8*C10</f>
        <v>0</v>
      </c>
      <c r="D12" s="23">
        <f>D8*D10</f>
        <v>0</v>
      </c>
      <c r="E12" s="23">
        <f>E8*E10</f>
        <v>18.496638118491017</v>
      </c>
      <c r="F12" s="23">
        <f>F8*F10</f>
        <v>2463.594253427535</v>
      </c>
      <c r="G12" s="23"/>
      <c r="H12" s="23"/>
      <c r="I12" s="23"/>
      <c r="J12" s="23">
        <f>J8*J10</f>
        <v>254.63233926809431</v>
      </c>
      <c r="K12" s="23"/>
      <c r="L12" s="23">
        <f>L8*L10</f>
        <v>0</v>
      </c>
      <c r="M12" s="23">
        <f>M8*M10</f>
        <v>0</v>
      </c>
      <c r="N12" s="23">
        <f>N8*N10</f>
        <v>0</v>
      </c>
      <c r="O12" s="23"/>
      <c r="P12" s="23"/>
    </row>
    <row r="14" spans="1:18">
      <c r="A14" s="193" t="s">
        <v>488</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0.38811785241643598</v>
      </c>
      <c r="C17" s="237" t="s">
        <v>715</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302</v>
      </c>
      <c r="B22" s="1233" t="s">
        <v>303</v>
      </c>
      <c r="C22" s="1233" t="s">
        <v>487</v>
      </c>
    </row>
    <row r="23" spans="1:4">
      <c r="A23" s="1231"/>
      <c r="B23" s="1234"/>
      <c r="C23" s="1234"/>
    </row>
    <row r="24" spans="1:4" ht="15.75" thickBot="1">
      <c r="A24" s="1232"/>
      <c r="B24" s="1235"/>
      <c r="C24" s="123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524.28822796900874</v>
      </c>
      <c r="C26" s="247">
        <f>B26*'GWP N2O_CH4'!B5</f>
        <v>11010.052787349183</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125.55195997731319</v>
      </c>
      <c r="C27" s="247">
        <f>B27*'GWP N2O_CH4'!B5</f>
        <v>2636.5911595235771</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5.1804776337455136</v>
      </c>
      <c r="C28" s="247">
        <f>B28*'GWP N2O_CH4'!B4</f>
        <v>1605.9480664611092</v>
      </c>
      <c r="D28" s="50"/>
    </row>
    <row r="29" spans="1:4">
      <c r="A29" s="41" t="s">
        <v>276</v>
      </c>
      <c r="B29" s="247">
        <f>B34*'ha_N2O bodem landbouw'!B4</f>
        <v>22.415968096751566</v>
      </c>
      <c r="C29" s="247">
        <f>B29*'GWP N2O_CH4'!B4</f>
        <v>6948.9501099929857</v>
      </c>
      <c r="D29" s="50"/>
    </row>
    <row r="31" spans="1:4">
      <c r="A31" s="193" t="s">
        <v>489</v>
      </c>
      <c r="B31" s="203"/>
      <c r="C31" s="225"/>
    </row>
    <row r="32" spans="1:4">
      <c r="A32" s="236"/>
      <c r="B32" s="32"/>
      <c r="C32" s="237"/>
    </row>
    <row r="33" spans="1:5">
      <c r="A33" s="238"/>
      <c r="B33" s="224" t="s">
        <v>618</v>
      </c>
      <c r="C33" s="239" t="s">
        <v>181</v>
      </c>
    </row>
    <row r="34" spans="1:5">
      <c r="A34" s="257" t="s">
        <v>111</v>
      </c>
      <c r="B34" s="35">
        <f>IF(ISERROR(aantalCultuurgronden/'ha_N2O bodem landbouw'!B5),0,aantalCultuurgronden/'ha_N2O bodem landbouw'!B5)</f>
        <v>4.9154182131866926E-3</v>
      </c>
      <c r="C34" s="968" t="s">
        <v>732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C24" sqref="C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491</v>
      </c>
      <c r="B1" s="1223" t="s">
        <v>540</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c r="C4" s="15"/>
    </row>
    <row r="5" spans="1:18" s="8" customFormat="1">
      <c r="A5" s="287" t="s">
        <v>328</v>
      </c>
      <c r="B5" s="448">
        <f>SUM(B6:B11)</f>
        <v>7.3335258154999983E-5</v>
      </c>
      <c r="C5" s="463" t="s">
        <v>210</v>
      </c>
      <c r="D5" s="448">
        <f>SUM(D6:D11)</f>
        <v>3.4556116220079997E-4</v>
      </c>
      <c r="E5" s="448">
        <f>SUM(E6:E11)</f>
        <v>2.6280529262759996E-4</v>
      </c>
      <c r="F5" s="461" t="s">
        <v>210</v>
      </c>
      <c r="G5" s="448">
        <f>SUM(G6:G11)</f>
        <v>8.5466720426549445E-2</v>
      </c>
      <c r="H5" s="448">
        <f>SUM(H6:H11)</f>
        <v>2.5579816149818545E-2</v>
      </c>
      <c r="I5" s="463" t="s">
        <v>210</v>
      </c>
      <c r="J5" s="463" t="s">
        <v>210</v>
      </c>
      <c r="K5" s="463" t="s">
        <v>210</v>
      </c>
      <c r="L5" s="463" t="s">
        <v>210</v>
      </c>
      <c r="M5" s="448">
        <f>SUM(M6:M11)</f>
        <v>6.6096360476938154E-3</v>
      </c>
      <c r="N5" s="463" t="s">
        <v>210</v>
      </c>
      <c r="O5" s="463" t="s">
        <v>210</v>
      </c>
      <c r="P5" s="464" t="s">
        <v>210</v>
      </c>
    </row>
    <row r="6" spans="1:18">
      <c r="A6" s="261" t="s">
        <v>652</v>
      </c>
      <c r="B6" s="91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3.6202996934999997E-5</v>
      </c>
      <c r="C6" s="449"/>
      <c r="D6" s="917">
        <f>vkm_2011_GW_PW*SUMIFS(TableVerdeelsleutelVkm[CNG],TableVerdeelsleutelVkm[Voertuigtype],"Lichte voertuigen")*SUMIFS(TableECFTransport[EnergieConsumptieFactor (PJ per km)],TableECFTransport[Index],CONCATENATE($A6,"_CNG_CNG"))</f>
        <v>1.25883986889276E-4</v>
      </c>
      <c r="E6" s="917">
        <f>vkm_2011_GW_PW*SUMIFS(TableVerdeelsleutelVkm[LPG],TableVerdeelsleutelVkm[Voertuigtype],"Lichte voertuigen")*SUMIFS(TableECFTransport[EnergieConsumptieFactor (PJ per km)],TableECFTransport[Index],CONCATENATE($A6,"_LPG_LPG"))</f>
        <v>9.9175841629199992E-5</v>
      </c>
      <c r="F6" s="451"/>
      <c r="G6" s="91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2.6996817252693751E-2</v>
      </c>
      <c r="H6" s="91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9.4470929519813434E-3</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2.1777526973912938E-3</v>
      </c>
      <c r="N6" s="449"/>
      <c r="O6" s="449"/>
      <c r="P6" s="450"/>
    </row>
    <row r="7" spans="1:18">
      <c r="A7" s="261" t="s">
        <v>653</v>
      </c>
      <c r="B7" s="91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17">
        <f>vkm_2011_GW_ZV*SUMIFS(TableVerdeelsleutelVkm[CNG],TableVerdeelsleutelVkm[Voertuigtype],"Zware voertuigen")*SUMIFS(TableECFTransport[EnergieConsumptieFactor (PJ per km)],TableECFTransport[Index],CONCATENATE($A7,"_CNG_CNG"))</f>
        <v>0</v>
      </c>
      <c r="E7" s="917">
        <f>vkm_2011_GW_ZV*SUMIFS(TableVerdeelsleutelVkm[LPG],TableVerdeelsleutelVkm[Voertuigtype],"Zware voertuigen")*SUMIFS(TableECFTransport[EnergieConsumptieFactor (PJ per km)],TableECFTransport[Index],CONCATENATE($A7,"_LPG_LPG"))</f>
        <v>0</v>
      </c>
      <c r="F7" s="451"/>
      <c r="G7" s="91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1.1277422497443181E-2</v>
      </c>
      <c r="H7" s="91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2.8411461404444846E-6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6.5029141432401574E-4</v>
      </c>
      <c r="N7" s="449"/>
      <c r="O7" s="449"/>
      <c r="P7" s="450"/>
      <c r="R7" s="913"/>
    </row>
    <row r="8" spans="1:18">
      <c r="A8" s="261" t="s">
        <v>654</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3.3632183664999997E-5</v>
      </c>
      <c r="C8" s="449"/>
      <c r="D8" s="451">
        <f>vkm_2011_NGW_PW*SUMIFS(TableVerdeelsleutelVkm[CNG],TableVerdeelsleutelVkm[Voertuigtype],"Lichte voertuigen")*SUMIFS(TableECFTransport[EnergieConsumptieFactor (PJ per km)],TableECFTransport[Index],CONCATENATE($A8,"_CNG_CNG"))</f>
        <v>2.0696230840823999E-4</v>
      </c>
      <c r="E8" s="451">
        <f>vkm_2011_NGW_PW*SUMIFS(TableVerdeelsleutelVkm[LPG],TableVerdeelsleutelVkm[Voertuigtype],"Lichte voertuigen")*SUMIFS(TableECFTransport[EnergieConsumptieFactor (PJ per km)],TableECFTransport[Index],CONCATENATE($A8,"_LPG_LPG"))</f>
        <v>1.5115946241117499E-4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3.8183498934250354E-2</v>
      </c>
      <c r="H8" s="91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1.513421008641506E-2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3.1967546907266976E-3</v>
      </c>
      <c r="N8" s="449"/>
      <c r="O8" s="449"/>
      <c r="P8" s="450"/>
      <c r="R8" s="913"/>
    </row>
    <row r="9" spans="1:18">
      <c r="A9" s="261" t="s">
        <v>655</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1.4424722770796483E-4</v>
      </c>
      <c r="H9" s="91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3.4289273825432827E-8</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8.3176108673073488E-6</v>
      </c>
      <c r="N9" s="449"/>
      <c r="O9" s="449"/>
      <c r="P9" s="450"/>
      <c r="R9" s="913"/>
    </row>
    <row r="10" spans="1:18">
      <c r="A10" s="261" t="s">
        <v>656</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3.5000775549999997E-6</v>
      </c>
      <c r="C10" s="449"/>
      <c r="D10" s="451">
        <f>vkm_2011_SW_PW*SUMIFS(TableVerdeelsleutelVkm[CNG],TableVerdeelsleutelVkm[Voertuigtype],"Lichte voertuigen")*SUMIFS(TableECFTransport[EnergieConsumptieFactor (PJ per km)],TableECFTransport[Index],CONCATENATE($A10,"_CNG_CNG"))</f>
        <v>1.2714866903284E-5</v>
      </c>
      <c r="E10" s="451">
        <f>vkm_2011_SW_PW*SUMIFS(TableVerdeelsleutelVkm[LPG],TableVerdeelsleutelVkm[Voertuigtype],"Lichte voertuigen")*SUMIFS(TableECFTransport[EnergieConsumptieFactor (PJ per km)],TableECFTransport[Index],CONCATENATE($A10,"_LPG_LPG"))</f>
        <v>1.2469988587224999E-5</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3.0153097949182804E-3</v>
      </c>
      <c r="H10" s="91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9.9404158652496811E-4</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2.3921547603422683E-4</v>
      </c>
      <c r="N10" s="449"/>
      <c r="O10" s="449"/>
      <c r="P10" s="450"/>
      <c r="R10" s="913"/>
    </row>
    <row r="11" spans="1:18">
      <c r="A11" s="4" t="s">
        <v>657</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5.8494247195359133E-3</v>
      </c>
      <c r="H11" s="91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1.596089482901533E-6</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3.3730415835027394E-4</v>
      </c>
      <c r="N11" s="452"/>
      <c r="O11" s="452"/>
      <c r="P11" s="454"/>
      <c r="R11" s="913"/>
    </row>
    <row r="12" spans="1:18">
      <c r="A12" s="331" t="s">
        <v>538</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337</v>
      </c>
      <c r="B14" s="21">
        <f>((B5)*10^9/3600)+B12</f>
        <v>20.370905043055551</v>
      </c>
      <c r="C14" s="21"/>
      <c r="D14" s="21">
        <f t="shared" ref="D14:M14" si="0">((D5)*10^9/3600)+D12</f>
        <v>95.989211722444438</v>
      </c>
      <c r="E14" s="21">
        <f t="shared" si="0"/>
        <v>73.001470174333321</v>
      </c>
      <c r="F14" s="21"/>
      <c r="G14" s="21">
        <f t="shared" si="0"/>
        <v>23740.755674041513</v>
      </c>
      <c r="H14" s="21">
        <f t="shared" si="0"/>
        <v>7105.5044860607068</v>
      </c>
      <c r="I14" s="21"/>
      <c r="J14" s="21"/>
      <c r="K14" s="21"/>
      <c r="L14" s="21"/>
      <c r="M14" s="21">
        <f t="shared" si="0"/>
        <v>1836.0100132482819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0.19379725565552808</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3.9478254925635228</v>
      </c>
      <c r="C18" s="23"/>
      <c r="D18" s="23">
        <f t="shared" ref="D18:M18" si="1">D14*D16</f>
        <v>19.389820767933777</v>
      </c>
      <c r="E18" s="23">
        <f t="shared" si="1"/>
        <v>16.571333729573663</v>
      </c>
      <c r="F18" s="23"/>
      <c r="G18" s="23">
        <f t="shared" si="1"/>
        <v>6338.7817649690842</v>
      </c>
      <c r="H18" s="23">
        <f t="shared" si="1"/>
        <v>1769.270617029116</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00"/>
    </row>
    <row r="21" spans="1:18">
      <c r="A21" s="262" t="s">
        <v>493</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54" t="s">
        <v>308</v>
      </c>
      <c r="C23" s="954" t="s">
        <v>658</v>
      </c>
      <c r="D23" s="954" t="s">
        <v>659</v>
      </c>
      <c r="E23" s="954" t="s">
        <v>660</v>
      </c>
      <c r="F23" s="954" t="s">
        <v>642</v>
      </c>
      <c r="G23" s="954" t="s">
        <v>661</v>
      </c>
      <c r="H23" s="954" t="s">
        <v>662</v>
      </c>
      <c r="I23" s="954" t="s">
        <v>118</v>
      </c>
      <c r="J23" s="954" t="s">
        <v>663</v>
      </c>
      <c r="K23" s="954" t="s">
        <v>664</v>
      </c>
      <c r="L23" s="955" t="s">
        <v>665</v>
      </c>
      <c r="M23" s="129" t="s">
        <v>181</v>
      </c>
      <c r="N23" s="268" t="s">
        <v>315</v>
      </c>
    </row>
    <row r="24" spans="1:18">
      <c r="A24" s="32" t="s">
        <v>650</v>
      </c>
      <c r="B24" s="941">
        <v>2.8E-3</v>
      </c>
      <c r="C24" s="941">
        <v>0.73029999999999995</v>
      </c>
      <c r="D24" s="915"/>
      <c r="E24" s="941"/>
      <c r="F24" s="941">
        <v>0</v>
      </c>
      <c r="G24" s="941">
        <v>2.3E-3</v>
      </c>
      <c r="H24" s="915"/>
      <c r="I24" s="915">
        <v>2.5000000000000001E-3</v>
      </c>
      <c r="J24" s="915">
        <v>0.25330000000000003</v>
      </c>
      <c r="K24" s="915">
        <v>1.12E-2</v>
      </c>
      <c r="M24" s="269" t="s">
        <v>798</v>
      </c>
      <c r="N24" s="916">
        <f>SUM(B24:K24)</f>
        <v>1.0024</v>
      </c>
      <c r="O24" s="913" t="s">
        <v>643</v>
      </c>
    </row>
    <row r="25" spans="1:18">
      <c r="A25" s="32" t="s">
        <v>651</v>
      </c>
      <c r="B25" s="915"/>
      <c r="C25" s="941">
        <v>0.99960000000000004</v>
      </c>
      <c r="D25" s="915"/>
      <c r="E25" s="915"/>
      <c r="F25" s="941"/>
      <c r="G25" s="915"/>
      <c r="H25" s="915"/>
      <c r="I25" s="915"/>
      <c r="J25" s="915">
        <v>4.0000000000000002E-4</v>
      </c>
      <c r="K25" s="915"/>
      <c r="M25" s="269" t="s">
        <v>798</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494</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201</v>
      </c>
      <c r="B30" s="274" t="s">
        <v>317</v>
      </c>
      <c r="C30" s="912">
        <v>2013</v>
      </c>
      <c r="D30" s="274" t="s">
        <v>318</v>
      </c>
      <c r="E30" s="243" t="s">
        <v>181</v>
      </c>
      <c r="F30" s="271"/>
      <c r="G30" s="243"/>
      <c r="H30" s="243"/>
      <c r="I30" s="243"/>
      <c r="J30" s="243"/>
      <c r="K30" s="243"/>
      <c r="L30" s="272"/>
    </row>
    <row r="31" spans="1:18">
      <c r="A31" s="275" t="s">
        <v>319</v>
      </c>
      <c r="B31" s="276"/>
      <c r="C31" s="277"/>
      <c r="D31" s="276">
        <v>4.2694999999999997E-2</v>
      </c>
      <c r="E31" s="952" t="s">
        <v>691</v>
      </c>
      <c r="F31" s="53"/>
      <c r="G31" s="43"/>
      <c r="H31" s="43"/>
      <c r="I31" s="43"/>
      <c r="J31" s="43"/>
      <c r="K31" s="43"/>
      <c r="L31" s="174"/>
    </row>
    <row r="32" spans="1:18">
      <c r="A32" s="278" t="s">
        <v>320</v>
      </c>
      <c r="B32" s="279"/>
      <c r="C32" s="280"/>
      <c r="D32" s="279">
        <v>3.73E-2</v>
      </c>
      <c r="E32" s="952" t="s">
        <v>691</v>
      </c>
      <c r="F32" s="53"/>
      <c r="G32" s="43"/>
      <c r="H32" s="43"/>
      <c r="I32" s="43"/>
      <c r="J32" s="43"/>
      <c r="K32" s="43"/>
      <c r="L32" s="174"/>
    </row>
    <row r="33" spans="1:16">
      <c r="A33" s="278" t="s">
        <v>321</v>
      </c>
      <c r="B33" s="281"/>
      <c r="C33" s="282"/>
      <c r="D33" s="58"/>
      <c r="E33" s="951"/>
      <c r="F33" s="53"/>
      <c r="G33" s="43"/>
      <c r="H33" s="43"/>
      <c r="I33" s="43"/>
      <c r="J33" s="43"/>
      <c r="K33" s="43"/>
      <c r="L33" s="174"/>
    </row>
    <row r="34" spans="1:16" ht="30">
      <c r="A34" s="278" t="s">
        <v>322</v>
      </c>
      <c r="B34" s="281"/>
      <c r="C34" s="283">
        <v>6.1899999999999997E-2</v>
      </c>
      <c r="D34" s="58"/>
      <c r="E34" s="952" t="s">
        <v>797</v>
      </c>
      <c r="F34" s="53"/>
      <c r="G34" s="43"/>
      <c r="H34" s="43"/>
      <c r="I34" s="43"/>
      <c r="J34" s="43"/>
      <c r="K34" s="43"/>
      <c r="L34" s="174"/>
    </row>
    <row r="35" spans="1:16">
      <c r="A35" s="278" t="s">
        <v>323</v>
      </c>
      <c r="B35" s="281"/>
      <c r="C35" s="283">
        <f>1/(1+((1/C34-1)*($D$31/$D$32)))</f>
        <v>5.450455140399673E-2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119</v>
      </c>
      <c r="B37" s="274" t="s">
        <v>317</v>
      </c>
      <c r="C37" s="912">
        <f>C30</f>
        <v>2013</v>
      </c>
      <c r="D37" s="274" t="s">
        <v>318</v>
      </c>
      <c r="E37" s="953" t="s">
        <v>181</v>
      </c>
      <c r="F37" s="286"/>
      <c r="G37" s="267"/>
      <c r="H37" s="267"/>
      <c r="I37" s="267"/>
      <c r="J37" s="267"/>
      <c r="K37" s="267"/>
      <c r="L37" s="268"/>
    </row>
    <row r="38" spans="1:16">
      <c r="A38" s="278" t="s">
        <v>324</v>
      </c>
      <c r="B38" s="279"/>
      <c r="C38" s="280"/>
      <c r="D38" s="279">
        <v>4.3774E-2</v>
      </c>
      <c r="E38" s="952" t="s">
        <v>691</v>
      </c>
      <c r="F38" s="282"/>
      <c r="G38" s="58"/>
      <c r="H38" s="58"/>
      <c r="I38" s="58"/>
      <c r="J38" s="58"/>
      <c r="K38" s="58"/>
      <c r="L38" s="284"/>
    </row>
    <row r="39" spans="1:16">
      <c r="A39" s="278" t="s">
        <v>325</v>
      </c>
      <c r="B39" s="279"/>
      <c r="C39" s="280"/>
      <c r="D39" s="279">
        <v>2.8799999999999999E-2</v>
      </c>
      <c r="E39" s="952" t="s">
        <v>691</v>
      </c>
      <c r="F39" s="282"/>
      <c r="G39" s="58"/>
      <c r="H39" s="58"/>
      <c r="I39" s="58"/>
      <c r="J39" s="58"/>
      <c r="K39" s="58"/>
      <c r="L39" s="284"/>
    </row>
    <row r="40" spans="1:16">
      <c r="A40" s="278" t="s">
        <v>321</v>
      </c>
      <c r="B40" s="281"/>
      <c r="C40" s="282"/>
      <c r="D40" s="282"/>
      <c r="E40" s="952"/>
      <c r="F40" s="58"/>
      <c r="G40" s="58"/>
      <c r="H40" s="58"/>
      <c r="I40" s="58"/>
      <c r="J40" s="58"/>
      <c r="K40" s="58"/>
      <c r="L40" s="284"/>
    </row>
    <row r="41" spans="1:16" ht="15" customHeight="1">
      <c r="A41" s="278" t="s">
        <v>326</v>
      </c>
      <c r="B41" s="281"/>
      <c r="C41" s="283">
        <v>9.0899999999999995E-2</v>
      </c>
      <c r="D41" s="282"/>
      <c r="E41" s="952" t="str">
        <f>E34</f>
        <v>Data VMM december 2018</v>
      </c>
      <c r="F41" s="58"/>
      <c r="G41" s="58"/>
      <c r="H41" s="58"/>
      <c r="I41" s="58"/>
      <c r="J41" s="58"/>
      <c r="K41" s="58"/>
      <c r="L41" s="284"/>
    </row>
    <row r="42" spans="1:16">
      <c r="A42" s="278" t="s">
        <v>323</v>
      </c>
      <c r="B42" s="281"/>
      <c r="C42" s="283">
        <f>1/(1+((1/C41-1)*($D$38/$D$39)))</f>
        <v>6.1724670067902082E-2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492</v>
      </c>
      <c r="B46" s="1237" t="s">
        <v>539</v>
      </c>
      <c r="C46" s="1238"/>
      <c r="D46" s="1238"/>
      <c r="E46" s="1238"/>
      <c r="F46" s="1238"/>
      <c r="G46" s="1238"/>
      <c r="H46" s="1238"/>
      <c r="I46" s="1238"/>
      <c r="J46" s="1238"/>
      <c r="K46" s="1238"/>
      <c r="L46" s="1238"/>
      <c r="M46" s="1238"/>
      <c r="N46" s="1238"/>
      <c r="O46" s="1238"/>
      <c r="P46" s="1238"/>
    </row>
    <row r="47" spans="1:16" s="15" customFormat="1" ht="15.75" thickTop="1">
      <c r="A47" s="1236"/>
      <c r="B47" s="1239" t="s">
        <v>20</v>
      </c>
      <c r="C47" s="1239" t="s">
        <v>195</v>
      </c>
      <c r="D47" s="1241" t="s">
        <v>196</v>
      </c>
      <c r="E47" s="1242"/>
      <c r="F47" s="1242"/>
      <c r="G47" s="1242"/>
      <c r="H47" s="1242"/>
      <c r="I47" s="1242"/>
      <c r="J47" s="1242"/>
      <c r="K47" s="1243"/>
      <c r="L47" s="1241" t="s">
        <v>197</v>
      </c>
      <c r="M47" s="1242"/>
      <c r="N47" s="1242"/>
      <c r="O47" s="1242"/>
      <c r="P47" s="1243"/>
    </row>
    <row r="48" spans="1:16" s="15" customFormat="1" ht="45">
      <c r="A48" s="1236"/>
      <c r="B48" s="1240"/>
      <c r="C48" s="124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3.5064485167252981E-3</v>
      </c>
      <c r="H50" s="321">
        <f t="shared" si="2"/>
        <v>0</v>
      </c>
      <c r="I50" s="321">
        <f t="shared" si="2"/>
        <v>0</v>
      </c>
      <c r="J50" s="321">
        <f t="shared" si="2"/>
        <v>0</v>
      </c>
      <c r="K50" s="321">
        <f t="shared" si="2"/>
        <v>0</v>
      </c>
      <c r="L50" s="321">
        <f t="shared" si="2"/>
        <v>0</v>
      </c>
      <c r="M50" s="321">
        <f t="shared" si="2"/>
        <v>1.9488879652680748E-4</v>
      </c>
      <c r="N50" s="321">
        <f t="shared" si="2"/>
        <v>0</v>
      </c>
      <c r="O50" s="321">
        <f t="shared" si="2"/>
        <v>0</v>
      </c>
      <c r="P50" s="322">
        <f t="shared" si="2"/>
        <v>0</v>
      </c>
    </row>
    <row r="51" spans="1:18">
      <c r="A51" s="261" t="s">
        <v>330</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3.5064485167252981E-3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1.9488879652680748E-4</v>
      </c>
      <c r="N51" s="323"/>
      <c r="O51" s="323"/>
      <c r="P51" s="326"/>
    </row>
    <row r="52" spans="1:18">
      <c r="A52" s="4" t="s">
        <v>329</v>
      </c>
      <c r="B52" s="918">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974.01347686813835</v>
      </c>
      <c r="H54" s="21">
        <f t="shared" si="3"/>
        <v>0</v>
      </c>
      <c r="I54" s="21">
        <f t="shared" si="3"/>
        <v>0</v>
      </c>
      <c r="J54" s="21">
        <f t="shared" si="3"/>
        <v>0</v>
      </c>
      <c r="K54" s="21">
        <f t="shared" si="3"/>
        <v>0</v>
      </c>
      <c r="L54" s="21">
        <f t="shared" si="3"/>
        <v>0</v>
      </c>
      <c r="M54" s="21">
        <f t="shared" si="3"/>
        <v>54.135776813002074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0.19379725565552808</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260.06159832379296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553</v>
      </c>
      <c r="B61" s="264"/>
      <c r="C61" s="265"/>
    </row>
    <row r="62" spans="1:18" s="15" customFormat="1">
      <c r="A62" s="294"/>
      <c r="B62" s="290"/>
      <c r="C62" s="295"/>
    </row>
    <row r="63" spans="1:18">
      <c r="A63" s="296"/>
      <c r="B63" s="133"/>
      <c r="C63" s="297" t="s">
        <v>181</v>
      </c>
    </row>
    <row r="64" spans="1:18">
      <c r="A64" s="288" t="s">
        <v>201</v>
      </c>
      <c r="B64" s="291">
        <f>100%-B65</f>
        <v>0.94399999999999995</v>
      </c>
      <c r="C64" s="174"/>
    </row>
    <row r="65" spans="1:12">
      <c r="A65" s="288" t="s">
        <v>332</v>
      </c>
      <c r="B65" s="300">
        <v>5.6000000000000001E-2</v>
      </c>
      <c r="C65" s="174" t="s">
        <v>718</v>
      </c>
    </row>
    <row r="66" spans="1:12" s="15" customFormat="1">
      <c r="A66" s="289"/>
      <c r="B66" s="269"/>
      <c r="C66" s="232"/>
    </row>
    <row r="67" spans="1:12">
      <c r="A67" s="292" t="s">
        <v>315</v>
      </c>
      <c r="B67" s="293">
        <f>SUM(B64:B65)</f>
        <v>1</v>
      </c>
      <c r="C67" s="176"/>
    </row>
    <row r="70" spans="1:12">
      <c r="A70" s="262" t="s">
        <v>494</v>
      </c>
      <c r="B70" s="264"/>
      <c r="C70" s="264"/>
      <c r="D70" s="264"/>
      <c r="E70" s="264"/>
      <c r="F70" s="264"/>
      <c r="G70" s="264"/>
      <c r="H70" s="264"/>
      <c r="I70" s="264"/>
      <c r="J70" s="264"/>
      <c r="K70" s="264"/>
      <c r="L70" s="265"/>
    </row>
    <row r="71" spans="1:12">
      <c r="A71" s="445" t="s">
        <v>554</v>
      </c>
    </row>
    <row r="72" spans="1:12">
      <c r="A72" s="261"/>
      <c r="B72" s="266"/>
      <c r="C72" s="266"/>
      <c r="D72" s="266"/>
      <c r="E72" s="266"/>
    </row>
    <row r="73" spans="1:12">
      <c r="A73" s="273"/>
      <c r="B73" s="274" t="s">
        <v>317</v>
      </c>
      <c r="C73" s="912">
        <f>C30</f>
        <v>2013</v>
      </c>
      <c r="D73" s="274" t="s">
        <v>318</v>
      </c>
      <c r="E73" s="243" t="s">
        <v>181</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6.1899999999999997E-2</v>
      </c>
      <c r="D77" s="443"/>
      <c r="E77" s="11" t="str">
        <f t="shared" si="5"/>
        <v>Data VMM december 2018</v>
      </c>
    </row>
    <row r="78" spans="1:12">
      <c r="A78" t="str">
        <f>A35</f>
        <v>J%</v>
      </c>
      <c r="B78" s="443"/>
      <c r="C78" s="446">
        <f>C35</f>
        <v>5.450455140399673E-2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67" zoomScale="69" zoomScaleNormal="69" workbookViewId="0">
      <selection activeCell="B89" sqref="B89"/>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63" t="s">
        <v>220</v>
      </c>
      <c r="B2" s="1163"/>
      <c r="C2" s="1163"/>
      <c r="D2" s="59"/>
      <c r="E2" s="59"/>
      <c r="F2" s="59"/>
      <c r="G2" s="59"/>
      <c r="H2" s="60"/>
      <c r="I2" s="60"/>
      <c r="J2" s="61"/>
      <c r="K2" s="61"/>
      <c r="L2" s="60"/>
      <c r="M2" s="60"/>
      <c r="N2" s="60"/>
      <c r="O2" s="60"/>
      <c r="P2" s="60"/>
      <c r="Q2" s="60"/>
      <c r="R2" s="60"/>
    </row>
    <row r="3" spans="1:19">
      <c r="A3" s="1164"/>
      <c r="B3" s="1164"/>
      <c r="C3" s="1164"/>
      <c r="D3" s="1164"/>
      <c r="E3" s="1164"/>
      <c r="F3" s="1164"/>
      <c r="G3" s="1164"/>
      <c r="H3" s="1164"/>
      <c r="I3" s="1164"/>
      <c r="J3" s="1164"/>
      <c r="K3" s="1164"/>
      <c r="L3" s="1164"/>
      <c r="M3" s="1164"/>
      <c r="N3" s="1164"/>
      <c r="O3" s="1164"/>
      <c r="P3" s="1164"/>
      <c r="Q3" s="1164"/>
      <c r="R3" s="1164"/>
    </row>
    <row r="4" spans="1:19" ht="15.75" thickBot="1">
      <c r="A4" s="473"/>
      <c r="B4" s="473"/>
      <c r="C4" s="63"/>
      <c r="D4" s="63"/>
      <c r="E4" s="63"/>
      <c r="F4" s="63"/>
      <c r="G4" s="63"/>
      <c r="H4" s="63"/>
      <c r="I4" s="63"/>
      <c r="J4" s="63"/>
      <c r="K4" s="63"/>
      <c r="L4" s="63"/>
      <c r="M4" s="63"/>
      <c r="N4" s="63"/>
      <c r="O4" s="63"/>
      <c r="P4" s="63"/>
      <c r="Q4" s="63"/>
      <c r="R4" s="63"/>
    </row>
    <row r="5" spans="1:19" ht="16.5" thickBot="1">
      <c r="A5" s="1165" t="s">
        <v>221</v>
      </c>
      <c r="B5" s="825"/>
      <c r="C5" s="1168" t="s">
        <v>342</v>
      </c>
      <c r="D5" s="1169"/>
      <c r="E5" s="1169"/>
      <c r="F5" s="1169"/>
      <c r="G5" s="1169"/>
      <c r="H5" s="1169"/>
      <c r="I5" s="1169"/>
      <c r="J5" s="1169"/>
      <c r="K5" s="1169"/>
      <c r="L5" s="1169"/>
      <c r="M5" s="1169"/>
      <c r="N5" s="1169"/>
      <c r="O5" s="1169"/>
      <c r="P5" s="1169"/>
      <c r="Q5" s="1169"/>
      <c r="R5" s="1170"/>
    </row>
    <row r="6" spans="1:19" ht="16.5" thickTop="1">
      <c r="A6" s="1166"/>
      <c r="B6" s="826"/>
      <c r="C6" s="1171" t="s">
        <v>20</v>
      </c>
      <c r="D6" s="1173" t="s">
        <v>195</v>
      </c>
      <c r="E6" s="1175" t="s">
        <v>196</v>
      </c>
      <c r="F6" s="1176"/>
      <c r="G6" s="1176"/>
      <c r="H6" s="1176"/>
      <c r="I6" s="1176"/>
      <c r="J6" s="1176"/>
      <c r="K6" s="1176"/>
      <c r="L6" s="1177"/>
      <c r="M6" s="1175" t="s">
        <v>197</v>
      </c>
      <c r="N6" s="1176"/>
      <c r="O6" s="1176"/>
      <c r="P6" s="1176"/>
      <c r="Q6" s="1176"/>
      <c r="R6" s="1178" t="s">
        <v>115</v>
      </c>
    </row>
    <row r="7" spans="1:19" ht="45.75" thickBot="1">
      <c r="A7" s="1167"/>
      <c r="B7" s="827"/>
      <c r="C7" s="1172"/>
      <c r="D7" s="1174"/>
      <c r="E7" s="469" t="s">
        <v>198</v>
      </c>
      <c r="F7" s="469" t="s">
        <v>199</v>
      </c>
      <c r="G7" s="64" t="s">
        <v>200</v>
      </c>
      <c r="H7" s="469" t="s">
        <v>201</v>
      </c>
      <c r="I7" s="469" t="s">
        <v>119</v>
      </c>
      <c r="J7" s="469" t="s">
        <v>202</v>
      </c>
      <c r="K7" s="470" t="s">
        <v>203</v>
      </c>
      <c r="L7" s="470" t="s">
        <v>204</v>
      </c>
      <c r="M7" s="64" t="s">
        <v>205</v>
      </c>
      <c r="N7" s="65" t="s">
        <v>206</v>
      </c>
      <c r="O7" s="65" t="s">
        <v>207</v>
      </c>
      <c r="P7" s="65" t="s">
        <v>208</v>
      </c>
      <c r="Q7" s="66" t="s">
        <v>209</v>
      </c>
      <c r="R7" s="1179"/>
    </row>
    <row r="8" spans="1:19" ht="18.75" customHeight="1" thickTop="1">
      <c r="A8" s="833" t="s">
        <v>343</v>
      </c>
      <c r="B8" s="838"/>
      <c r="C8" s="1180"/>
      <c r="D8" s="1180"/>
      <c r="E8" s="1180"/>
      <c r="F8" s="1180"/>
      <c r="G8" s="1180"/>
      <c r="H8" s="1180"/>
      <c r="I8" s="1180"/>
      <c r="J8" s="1180"/>
      <c r="K8" s="1180"/>
      <c r="L8" s="1180"/>
      <c r="M8" s="1180"/>
      <c r="N8" s="1180"/>
      <c r="O8" s="1180"/>
      <c r="P8" s="1180"/>
      <c r="Q8" s="1180"/>
      <c r="R8" s="308"/>
    </row>
    <row r="9" spans="1:19" s="474" customFormat="1">
      <c r="A9" s="834" t="s">
        <v>222</v>
      </c>
      <c r="B9" s="839"/>
      <c r="C9" s="712">
        <f>'Eigen gebouwen'!B15</f>
        <v>0</v>
      </c>
      <c r="D9" s="712">
        <f>'Eigen gebouwen'!C15</f>
        <v>0</v>
      </c>
      <c r="E9" s="712">
        <f>'Eigen gebouwen'!D15</f>
        <v>0</v>
      </c>
      <c r="F9" s="712">
        <f>'Eigen gebouwen'!E15</f>
        <v>0</v>
      </c>
      <c r="G9" s="712">
        <f>'Eigen gebouwen'!F15</f>
        <v>0</v>
      </c>
      <c r="H9" s="712">
        <f>'Eigen gebouwen'!G15</f>
        <v>0</v>
      </c>
      <c r="I9" s="712">
        <f>'Eigen gebouwen'!H15</f>
        <v>0</v>
      </c>
      <c r="J9" s="712">
        <f>'Eigen gebouwen'!I15</f>
        <v>0</v>
      </c>
      <c r="K9" s="712">
        <f>'Eigen gebouwen'!J15</f>
        <v>0</v>
      </c>
      <c r="L9" s="712">
        <f>'Eigen gebouwen'!K15</f>
        <v>0</v>
      </c>
      <c r="M9" s="712">
        <f>'Eigen gebouwen'!L15</f>
        <v>0</v>
      </c>
      <c r="N9" s="712">
        <f>'Eigen gebouwen'!M15</f>
        <v>0</v>
      </c>
      <c r="O9" s="712">
        <f>'Eigen gebouwen'!N15</f>
        <v>0</v>
      </c>
      <c r="P9" s="712">
        <f>'Eigen gebouwen'!O15</f>
        <v>0</v>
      </c>
      <c r="Q9" s="713">
        <f>'Eigen gebouwen'!P15</f>
        <v>0</v>
      </c>
      <c r="R9" s="714">
        <f>SUM(C9:Q9)</f>
        <v>0</v>
      </c>
      <c r="S9" s="67"/>
    </row>
    <row r="10" spans="1:19" s="474" customFormat="1">
      <c r="A10" s="835" t="s">
        <v>223</v>
      </c>
      <c r="B10" s="840"/>
      <c r="C10" s="712">
        <f ca="1">tertiair!B16+'openbare verlichting'!B8</f>
        <v>3585.7606499999997</v>
      </c>
      <c r="D10" s="712">
        <f ca="1">tertiair!C16</f>
        <v>0</v>
      </c>
      <c r="E10" s="712">
        <f ca="1">tertiair!D16</f>
        <v>0</v>
      </c>
      <c r="F10" s="712">
        <f>tertiair!E16</f>
        <v>39.551790693435962</v>
      </c>
      <c r="G10" s="712">
        <f ca="1">tertiair!F16</f>
        <v>384.80673077626267</v>
      </c>
      <c r="H10" s="712">
        <f>tertiair!G16</f>
        <v>0</v>
      </c>
      <c r="I10" s="712">
        <f>tertiair!H16</f>
        <v>0</v>
      </c>
      <c r="J10" s="712">
        <f>tertiair!I16</f>
        <v>0</v>
      </c>
      <c r="K10" s="712">
        <f>tertiair!J16</f>
        <v>4.8470710206913476E-3</v>
      </c>
      <c r="L10" s="712">
        <f>tertiair!K16</f>
        <v>0</v>
      </c>
      <c r="M10" s="712">
        <f ca="1">tertiair!L16</f>
        <v>0</v>
      </c>
      <c r="N10" s="712">
        <f>tertiair!M16</f>
        <v>0</v>
      </c>
      <c r="O10" s="712">
        <f ca="1">tertiair!N16</f>
        <v>192.53599194955819</v>
      </c>
      <c r="P10" s="712">
        <f>tertiair!O16</f>
        <v>0</v>
      </c>
      <c r="Q10" s="713">
        <f>tertiair!P16</f>
        <v>52.539138306495019</v>
      </c>
      <c r="R10" s="715">
        <f ca="1">SUM(C10:Q10)</f>
        <v>4255.1991487967725</v>
      </c>
      <c r="S10" s="67"/>
    </row>
    <row r="11" spans="1:19" s="474" customFormat="1">
      <c r="A11" s="834" t="s">
        <v>224</v>
      </c>
      <c r="B11" s="839"/>
      <c r="C11" s="712">
        <f>huishoudens!B8</f>
        <v>8896.8198093119972</v>
      </c>
      <c r="D11" s="712">
        <f>huishoudens!C8</f>
        <v>0</v>
      </c>
      <c r="E11" s="712">
        <f>huishoudens!D8</f>
        <v>0</v>
      </c>
      <c r="F11" s="712">
        <f>huishoudens!E8</f>
        <v>5781.752283484424</v>
      </c>
      <c r="G11" s="712">
        <f>huishoudens!F8</f>
        <v>24890.1238850263</v>
      </c>
      <c r="H11" s="712">
        <f>huishoudens!G8</f>
        <v>0</v>
      </c>
      <c r="I11" s="712">
        <f>huishoudens!H8</f>
        <v>0</v>
      </c>
      <c r="J11" s="712">
        <f>huishoudens!I8</f>
        <v>0</v>
      </c>
      <c r="K11" s="712">
        <f>huishoudens!J8</f>
        <v>1494.0818368742637</v>
      </c>
      <c r="L11" s="712">
        <f>huishoudens!K8</f>
        <v>0</v>
      </c>
      <c r="M11" s="712">
        <f>huishoudens!L8</f>
        <v>0</v>
      </c>
      <c r="N11" s="712">
        <f>huishoudens!M8</f>
        <v>0</v>
      </c>
      <c r="O11" s="712">
        <f>huishoudens!N8</f>
        <v>6061.041567756597</v>
      </c>
      <c r="P11" s="712">
        <f>huishoudens!O8</f>
        <v>124.98936782138301</v>
      </c>
      <c r="Q11" s="713">
        <f>huishoudens!P8</f>
        <v>337.08669784592075</v>
      </c>
      <c r="R11" s="715">
        <f>SUM(C11:Q11)</f>
        <v>47585.895448120886</v>
      </c>
      <c r="S11" s="67"/>
    </row>
    <row r="12" spans="1:19" s="474" customFormat="1">
      <c r="A12" s="834" t="s">
        <v>495</v>
      </c>
      <c r="B12" s="839"/>
      <c r="C12" s="712">
        <f>'Eigen openbare verlichting'!B15</f>
        <v>0</v>
      </c>
      <c r="D12" s="712"/>
      <c r="E12" s="712"/>
      <c r="F12" s="712"/>
      <c r="G12" s="712"/>
      <c r="H12" s="712"/>
      <c r="I12" s="712"/>
      <c r="J12" s="712"/>
      <c r="K12" s="712"/>
      <c r="L12" s="712"/>
      <c r="M12" s="712"/>
      <c r="N12" s="712"/>
      <c r="O12" s="712"/>
      <c r="P12" s="712"/>
      <c r="Q12" s="712"/>
      <c r="R12" s="715">
        <f>SUM(C12:Q12)</f>
        <v>0</v>
      </c>
      <c r="S12" s="67"/>
    </row>
    <row r="13" spans="1:19" s="474" customFormat="1">
      <c r="A13" s="834" t="s">
        <v>632</v>
      </c>
      <c r="B13" s="843" t="s">
        <v>630</v>
      </c>
      <c r="C13" s="712">
        <f>industrie!B18</f>
        <v>641.37765000000013</v>
      </c>
      <c r="D13" s="712">
        <f>industrie!C18</f>
        <v>0</v>
      </c>
      <c r="E13" s="712">
        <f>industrie!D18</f>
        <v>0</v>
      </c>
      <c r="F13" s="712">
        <f>industrie!E18</f>
        <v>150.41651860604722</v>
      </c>
      <c r="G13" s="712">
        <f>industrie!F18</f>
        <v>455.34761772394592</v>
      </c>
      <c r="H13" s="712">
        <f>industrie!G18</f>
        <v>0</v>
      </c>
      <c r="I13" s="712">
        <f>industrie!H18</f>
        <v>0</v>
      </c>
      <c r="J13" s="712">
        <f>industrie!I18</f>
        <v>0</v>
      </c>
      <c r="K13" s="712">
        <f>industrie!J18</f>
        <v>4.7061507130423515E-2</v>
      </c>
      <c r="L13" s="712">
        <f>industrie!K18</f>
        <v>0</v>
      </c>
      <c r="M13" s="712">
        <f>industrie!L18</f>
        <v>0</v>
      </c>
      <c r="N13" s="712">
        <f>industrie!M18</f>
        <v>0</v>
      </c>
      <c r="O13" s="712">
        <f>industrie!N18</f>
        <v>43.880992040131737</v>
      </c>
      <c r="P13" s="712">
        <f>industrie!O18</f>
        <v>0</v>
      </c>
      <c r="Q13" s="713">
        <f>industrie!P18</f>
        <v>0</v>
      </c>
      <c r="R13" s="715">
        <f>SUM(C13:Q13)</f>
        <v>1291.0698398772554</v>
      </c>
      <c r="S13" s="67"/>
    </row>
    <row r="14" spans="1:19" s="474" customFormat="1">
      <c r="A14" s="834"/>
      <c r="B14" s="843" t="s">
        <v>631</v>
      </c>
      <c r="C14" s="712"/>
      <c r="D14" s="712"/>
      <c r="E14" s="712"/>
      <c r="F14" s="712"/>
      <c r="G14" s="712"/>
      <c r="H14" s="712"/>
      <c r="I14" s="712"/>
      <c r="J14" s="712"/>
      <c r="K14" s="712"/>
      <c r="L14" s="712"/>
      <c r="M14" s="712"/>
      <c r="N14" s="712"/>
      <c r="O14" s="712"/>
      <c r="P14" s="712"/>
      <c r="Q14" s="712"/>
      <c r="R14" s="715"/>
      <c r="S14" s="67"/>
    </row>
    <row r="15" spans="1:19" s="474" customFormat="1" ht="15" thickBot="1">
      <c r="A15" s="981" t="s">
        <v>733</v>
      </c>
      <c r="B15" s="982"/>
      <c r="C15" s="983"/>
      <c r="D15" s="983"/>
      <c r="E15" s="983"/>
      <c r="F15" s="983"/>
      <c r="G15" s="983"/>
      <c r="H15" s="983"/>
      <c r="I15" s="983"/>
      <c r="J15" s="983"/>
      <c r="K15" s="983"/>
      <c r="L15" s="983"/>
      <c r="M15" s="983"/>
      <c r="N15" s="983"/>
      <c r="O15" s="983"/>
      <c r="P15" s="983"/>
      <c r="Q15" s="984"/>
      <c r="R15" s="714"/>
      <c r="S15" s="67"/>
    </row>
    <row r="16" spans="1:19" s="474" customFormat="1" ht="15.75" thickBot="1">
      <c r="A16" s="716" t="s">
        <v>225</v>
      </c>
      <c r="B16" s="841"/>
      <c r="C16" s="748">
        <f ca="1">SUM(C9:C15)</f>
        <v>13123.958109311998</v>
      </c>
      <c r="D16" s="748">
        <f t="shared" ref="D16:R16" ca="1" si="0">SUM(D9:D15)</f>
        <v>0</v>
      </c>
      <c r="E16" s="748">
        <f t="shared" ca="1" si="0"/>
        <v>0</v>
      </c>
      <c r="F16" s="748">
        <f t="shared" si="0"/>
        <v>5971.7205927839068</v>
      </c>
      <c r="G16" s="748">
        <f t="shared" ca="1" si="0"/>
        <v>25730.278233526507</v>
      </c>
      <c r="H16" s="748">
        <f t="shared" si="0"/>
        <v>0</v>
      </c>
      <c r="I16" s="748">
        <f t="shared" si="0"/>
        <v>0</v>
      </c>
      <c r="J16" s="748">
        <f t="shared" si="0"/>
        <v>0</v>
      </c>
      <c r="K16" s="748">
        <f t="shared" si="0"/>
        <v>1494.1337454524148</v>
      </c>
      <c r="L16" s="748">
        <f t="shared" si="0"/>
        <v>0</v>
      </c>
      <c r="M16" s="748">
        <f t="shared" ca="1" si="0"/>
        <v>0</v>
      </c>
      <c r="N16" s="748">
        <f t="shared" si="0"/>
        <v>0</v>
      </c>
      <c r="O16" s="748">
        <f t="shared" ca="1" si="0"/>
        <v>6297.4585517462874</v>
      </c>
      <c r="P16" s="748">
        <f t="shared" si="0"/>
        <v>124.98936782138301</v>
      </c>
      <c r="Q16" s="748">
        <f t="shared" si="0"/>
        <v>389.62583615241579</v>
      </c>
      <c r="R16" s="748">
        <f t="shared" ca="1" si="0"/>
        <v>53132.164436794919</v>
      </c>
      <c r="S16" s="67"/>
    </row>
    <row r="17" spans="1:19" s="474" customFormat="1" ht="15.75">
      <c r="A17" s="836" t="s">
        <v>226</v>
      </c>
      <c r="B17" s="752"/>
      <c r="C17" s="1120"/>
      <c r="D17" s="1120"/>
      <c r="E17" s="1120"/>
      <c r="F17" s="1120"/>
      <c r="G17" s="1120"/>
      <c r="H17" s="1120"/>
      <c r="I17" s="1120"/>
      <c r="J17" s="1120"/>
      <c r="K17" s="1120"/>
      <c r="L17" s="1120"/>
      <c r="M17" s="1120"/>
      <c r="N17" s="1120"/>
      <c r="O17" s="1120"/>
      <c r="P17" s="1120"/>
      <c r="Q17" s="1120"/>
      <c r="R17" s="717"/>
      <c r="S17" s="67"/>
    </row>
    <row r="18" spans="1:19" s="474" customFormat="1">
      <c r="A18" s="834" t="s">
        <v>227</v>
      </c>
      <c r="B18" s="839"/>
      <c r="C18" s="712">
        <f>'Eigen vloot'!B27</f>
        <v>0</v>
      </c>
      <c r="D18" s="712">
        <f>'Eigen vloot'!C27</f>
        <v>0</v>
      </c>
      <c r="E18" s="712">
        <f>'Eigen vloot'!D27</f>
        <v>0</v>
      </c>
      <c r="F18" s="712">
        <f>'Eigen vloot'!E27</f>
        <v>0</v>
      </c>
      <c r="G18" s="712">
        <f>'Eigen vloot'!F27</f>
        <v>0</v>
      </c>
      <c r="H18" s="712">
        <f>'Eigen vloot'!G27</f>
        <v>0</v>
      </c>
      <c r="I18" s="712">
        <f>'Eigen vloot'!H27</f>
        <v>0</v>
      </c>
      <c r="J18" s="712">
        <f>'Eigen vloot'!I27</f>
        <v>0</v>
      </c>
      <c r="K18" s="712">
        <f>'Eigen vloot'!J27</f>
        <v>0</v>
      </c>
      <c r="L18" s="712">
        <f>'Eigen vloot'!K27</f>
        <v>0</v>
      </c>
      <c r="M18" s="712">
        <f>'Eigen vloot'!L27</f>
        <v>0</v>
      </c>
      <c r="N18" s="712">
        <f>'Eigen vloot'!M27</f>
        <v>0</v>
      </c>
      <c r="O18" s="712">
        <f>'Eigen vloot'!N27</f>
        <v>0</v>
      </c>
      <c r="P18" s="712">
        <f>'Eigen vloot'!O27</f>
        <v>0</v>
      </c>
      <c r="Q18" s="713">
        <f>'Eigen vloot'!P27</f>
        <v>0</v>
      </c>
      <c r="R18" s="715">
        <f>SUM(C18:Q18)</f>
        <v>0</v>
      </c>
      <c r="S18" s="67"/>
    </row>
    <row r="19" spans="1:19" s="474" customFormat="1">
      <c r="A19" s="834" t="s">
        <v>228</v>
      </c>
      <c r="B19" s="839"/>
      <c r="C19" s="712">
        <f>transport!B54</f>
        <v>0</v>
      </c>
      <c r="D19" s="712">
        <f>transport!C54</f>
        <v>0</v>
      </c>
      <c r="E19" s="712">
        <f>transport!D54</f>
        <v>0</v>
      </c>
      <c r="F19" s="712">
        <f>transport!E54</f>
        <v>0</v>
      </c>
      <c r="G19" s="712">
        <f>transport!F54</f>
        <v>0</v>
      </c>
      <c r="H19" s="712">
        <f>transport!G54</f>
        <v>974.01347686813835</v>
      </c>
      <c r="I19" s="712">
        <f>transport!H54</f>
        <v>0</v>
      </c>
      <c r="J19" s="712">
        <f>transport!I54</f>
        <v>0</v>
      </c>
      <c r="K19" s="712">
        <f>transport!J54</f>
        <v>0</v>
      </c>
      <c r="L19" s="712">
        <f>transport!K54</f>
        <v>0</v>
      </c>
      <c r="M19" s="712">
        <f>transport!L54</f>
        <v>0</v>
      </c>
      <c r="N19" s="712">
        <f>transport!M54</f>
        <v>54.135776813002074</v>
      </c>
      <c r="O19" s="712">
        <f>transport!N54</f>
        <v>0</v>
      </c>
      <c r="P19" s="712">
        <f>transport!O54</f>
        <v>0</v>
      </c>
      <c r="Q19" s="713">
        <f>transport!P54</f>
        <v>0</v>
      </c>
      <c r="R19" s="715">
        <f>SUM(C19:Q19)</f>
        <v>1028.1492536811404</v>
      </c>
      <c r="S19" s="67"/>
    </row>
    <row r="20" spans="1:19" s="474" customFormat="1">
      <c r="A20" s="834" t="s">
        <v>306</v>
      </c>
      <c r="B20" s="839"/>
      <c r="C20" s="712">
        <f>transport!B14</f>
        <v>20.370905043055551</v>
      </c>
      <c r="D20" s="712">
        <f>transport!C14</f>
        <v>0</v>
      </c>
      <c r="E20" s="712">
        <f>transport!D14</f>
        <v>95.989211722444438</v>
      </c>
      <c r="F20" s="712">
        <f>transport!E14</f>
        <v>73.001470174333321</v>
      </c>
      <c r="G20" s="712">
        <f>transport!F14</f>
        <v>0</v>
      </c>
      <c r="H20" s="712">
        <f>transport!G14</f>
        <v>23740.755674041513</v>
      </c>
      <c r="I20" s="712">
        <f>transport!H14</f>
        <v>7105.5044860607068</v>
      </c>
      <c r="J20" s="712">
        <f>transport!I14</f>
        <v>0</v>
      </c>
      <c r="K20" s="712">
        <f>transport!J14</f>
        <v>0</v>
      </c>
      <c r="L20" s="712">
        <f>transport!K14</f>
        <v>0</v>
      </c>
      <c r="M20" s="712">
        <f>transport!L14</f>
        <v>0</v>
      </c>
      <c r="N20" s="712">
        <f>transport!M14</f>
        <v>1836.0100132482819</v>
      </c>
      <c r="O20" s="712">
        <f>transport!N14</f>
        <v>0</v>
      </c>
      <c r="P20" s="712">
        <f>transport!O14</f>
        <v>0</v>
      </c>
      <c r="Q20" s="713">
        <f>transport!P14</f>
        <v>0</v>
      </c>
      <c r="R20" s="715">
        <f>SUM(C20:Q20)</f>
        <v>32871.631760290336</v>
      </c>
      <c r="S20" s="67"/>
    </row>
    <row r="21" spans="1:19" s="474" customFormat="1" ht="15" thickBot="1">
      <c r="A21" s="856" t="s">
        <v>736</v>
      </c>
      <c r="B21" s="982"/>
      <c r="C21" s="983"/>
      <c r="D21" s="983"/>
      <c r="E21" s="983"/>
      <c r="F21" s="983"/>
      <c r="G21" s="983"/>
      <c r="H21" s="983"/>
      <c r="I21" s="983"/>
      <c r="J21" s="983"/>
      <c r="K21" s="983"/>
      <c r="L21" s="983"/>
      <c r="M21" s="983"/>
      <c r="N21" s="983"/>
      <c r="O21" s="983"/>
      <c r="P21" s="983"/>
      <c r="Q21" s="984"/>
      <c r="R21" s="714"/>
      <c r="S21" s="67"/>
    </row>
    <row r="22" spans="1:19" s="474" customFormat="1" ht="15.75" thickBot="1">
      <c r="A22" s="720" t="s">
        <v>229</v>
      </c>
      <c r="B22" s="842"/>
      <c r="C22" s="837">
        <f>SUM(C18:C21)</f>
        <v>20.370905043055551</v>
      </c>
      <c r="D22" s="837">
        <f t="shared" ref="D22:R22" si="1">SUM(D18:D21)</f>
        <v>0</v>
      </c>
      <c r="E22" s="837">
        <f t="shared" si="1"/>
        <v>95.989211722444438</v>
      </c>
      <c r="F22" s="837">
        <f t="shared" si="1"/>
        <v>73.001470174333321</v>
      </c>
      <c r="G22" s="837">
        <f t="shared" si="1"/>
        <v>0</v>
      </c>
      <c r="H22" s="837">
        <f t="shared" si="1"/>
        <v>24714.769150909651</v>
      </c>
      <c r="I22" s="837">
        <f t="shared" si="1"/>
        <v>7105.5044860607068</v>
      </c>
      <c r="J22" s="837">
        <f t="shared" si="1"/>
        <v>0</v>
      </c>
      <c r="K22" s="837">
        <f t="shared" si="1"/>
        <v>0</v>
      </c>
      <c r="L22" s="837">
        <f t="shared" si="1"/>
        <v>0</v>
      </c>
      <c r="M22" s="837">
        <f t="shared" si="1"/>
        <v>0</v>
      </c>
      <c r="N22" s="837">
        <f t="shared" si="1"/>
        <v>1890.1457900612841</v>
      </c>
      <c r="O22" s="837">
        <f t="shared" si="1"/>
        <v>0</v>
      </c>
      <c r="P22" s="837">
        <f t="shared" si="1"/>
        <v>0</v>
      </c>
      <c r="Q22" s="837">
        <f t="shared" si="1"/>
        <v>0</v>
      </c>
      <c r="R22" s="837">
        <f t="shared" si="1"/>
        <v>33899.781013971478</v>
      </c>
      <c r="S22" s="67"/>
    </row>
    <row r="23" spans="1:19" s="474" customFormat="1" ht="15.75">
      <c r="A23" s="836" t="s">
        <v>236</v>
      </c>
      <c r="B23" s="752"/>
      <c r="C23" s="1120"/>
      <c r="D23" s="1120"/>
      <c r="E23" s="1120"/>
      <c r="F23" s="1120"/>
      <c r="G23" s="1120"/>
      <c r="H23" s="1120"/>
      <c r="I23" s="1120"/>
      <c r="J23" s="1120"/>
      <c r="K23" s="1120"/>
      <c r="L23" s="1120"/>
      <c r="M23" s="1120"/>
      <c r="N23" s="1120"/>
      <c r="O23" s="1120"/>
      <c r="P23" s="1120"/>
      <c r="Q23" s="1120"/>
      <c r="R23" s="717"/>
      <c r="S23" s="67"/>
    </row>
    <row r="24" spans="1:19" s="474" customFormat="1">
      <c r="A24" s="834" t="s">
        <v>627</v>
      </c>
      <c r="B24" s="839"/>
      <c r="C24" s="712">
        <f>+landbouw!B8</f>
        <v>2610.8249999999998</v>
      </c>
      <c r="D24" s="712">
        <f>+landbouw!C8</f>
        <v>0</v>
      </c>
      <c r="E24" s="712">
        <f>+landbouw!D8</f>
        <v>0</v>
      </c>
      <c r="F24" s="712">
        <f>+landbouw!E8</f>
        <v>81.482987306127825</v>
      </c>
      <c r="G24" s="712">
        <f>+landbouw!F8</f>
        <v>9226.9447693915172</v>
      </c>
      <c r="H24" s="712">
        <f>+landbouw!G8</f>
        <v>0</v>
      </c>
      <c r="I24" s="712">
        <f>+landbouw!H8</f>
        <v>0</v>
      </c>
      <c r="J24" s="712">
        <f>+landbouw!I8</f>
        <v>0</v>
      </c>
      <c r="K24" s="712">
        <f>+landbouw!J8</f>
        <v>719.30039341269583</v>
      </c>
      <c r="L24" s="712">
        <f>+landbouw!K8</f>
        <v>0</v>
      </c>
      <c r="M24" s="712">
        <f>+landbouw!L8</f>
        <v>0</v>
      </c>
      <c r="N24" s="712">
        <f>+landbouw!M8</f>
        <v>0</v>
      </c>
      <c r="O24" s="712">
        <f>+landbouw!N8</f>
        <v>0</v>
      </c>
      <c r="P24" s="712">
        <f>+landbouw!O8</f>
        <v>0</v>
      </c>
      <c r="Q24" s="713">
        <f>+landbouw!P8</f>
        <v>0</v>
      </c>
      <c r="R24" s="715">
        <f>SUM(C24:Q24)</f>
        <v>12638.553150110341</v>
      </c>
      <c r="S24" s="67"/>
    </row>
    <row r="25" spans="1:19" s="474" customFormat="1" ht="15" thickBot="1">
      <c r="A25" s="856" t="s">
        <v>734</v>
      </c>
      <c r="B25" s="982"/>
      <c r="C25" s="983">
        <f>IF(Onbekend_ele_kWh="---",0,Onbekend_ele_kWh)/1000+IF(REST_rest_ele_kWh="---",0,REST_rest_ele_kWh)/1000</f>
        <v>465.69565</v>
      </c>
      <c r="D25" s="983"/>
      <c r="E25" s="983">
        <f>IF(onbekend_gas_kWh="---",0,onbekend_gas_kWh)/1000+IF(REST_rest_gas_kWh="---",0,REST_rest_gas_kWh)/1000</f>
        <v>0</v>
      </c>
      <c r="F25" s="983"/>
      <c r="G25" s="983"/>
      <c r="H25" s="983"/>
      <c r="I25" s="983"/>
      <c r="J25" s="983"/>
      <c r="K25" s="983"/>
      <c r="L25" s="983"/>
      <c r="M25" s="983"/>
      <c r="N25" s="983"/>
      <c r="O25" s="983"/>
      <c r="P25" s="983"/>
      <c r="Q25" s="984"/>
      <c r="R25" s="715">
        <f>SUM(C25:Q25)</f>
        <v>465.69565</v>
      </c>
      <c r="S25" s="67"/>
    </row>
    <row r="26" spans="1:19" s="474" customFormat="1" ht="15.75" thickBot="1">
      <c r="A26" s="720" t="s">
        <v>735</v>
      </c>
      <c r="B26" s="842"/>
      <c r="C26" s="837">
        <f>SUM(C24:C25)</f>
        <v>3076.5206499999999</v>
      </c>
      <c r="D26" s="837">
        <f t="shared" ref="D26:R26" si="2">SUM(D24:D25)</f>
        <v>0</v>
      </c>
      <c r="E26" s="837">
        <f t="shared" si="2"/>
        <v>0</v>
      </c>
      <c r="F26" s="837">
        <f t="shared" si="2"/>
        <v>81.482987306127825</v>
      </c>
      <c r="G26" s="837">
        <f t="shared" si="2"/>
        <v>9226.9447693915172</v>
      </c>
      <c r="H26" s="837">
        <f t="shared" si="2"/>
        <v>0</v>
      </c>
      <c r="I26" s="837">
        <f t="shared" si="2"/>
        <v>0</v>
      </c>
      <c r="J26" s="837">
        <f t="shared" si="2"/>
        <v>0</v>
      </c>
      <c r="K26" s="837">
        <f t="shared" si="2"/>
        <v>719.30039341269583</v>
      </c>
      <c r="L26" s="837">
        <f t="shared" si="2"/>
        <v>0</v>
      </c>
      <c r="M26" s="837">
        <f t="shared" si="2"/>
        <v>0</v>
      </c>
      <c r="N26" s="837">
        <f t="shared" si="2"/>
        <v>0</v>
      </c>
      <c r="O26" s="837">
        <f t="shared" si="2"/>
        <v>0</v>
      </c>
      <c r="P26" s="837">
        <f t="shared" si="2"/>
        <v>0</v>
      </c>
      <c r="Q26" s="837">
        <f t="shared" si="2"/>
        <v>0</v>
      </c>
      <c r="R26" s="837">
        <f t="shared" si="2"/>
        <v>13104.248800110341</v>
      </c>
      <c r="S26" s="67"/>
    </row>
    <row r="27" spans="1:19" s="474" customFormat="1" ht="17.25" thickTop="1" thickBot="1">
      <c r="A27" s="721" t="s">
        <v>115</v>
      </c>
      <c r="B27" s="829"/>
      <c r="C27" s="722">
        <f ca="1">C22+C16+C26</f>
        <v>16220.849664355053</v>
      </c>
      <c r="D27" s="722">
        <f t="shared" ref="D27:R27" ca="1" si="3">D22+D16+D26</f>
        <v>0</v>
      </c>
      <c r="E27" s="722">
        <f t="shared" ca="1" si="3"/>
        <v>95.989211722444438</v>
      </c>
      <c r="F27" s="722">
        <f t="shared" si="3"/>
        <v>6126.2050502643679</v>
      </c>
      <c r="G27" s="722">
        <f t="shared" ca="1" si="3"/>
        <v>34957.223002918021</v>
      </c>
      <c r="H27" s="722">
        <f t="shared" si="3"/>
        <v>24714.769150909651</v>
      </c>
      <c r="I27" s="722">
        <f t="shared" si="3"/>
        <v>7105.5044860607068</v>
      </c>
      <c r="J27" s="722">
        <f t="shared" si="3"/>
        <v>0</v>
      </c>
      <c r="K27" s="722">
        <f t="shared" si="3"/>
        <v>2213.4341388651105</v>
      </c>
      <c r="L27" s="722">
        <f t="shared" si="3"/>
        <v>0</v>
      </c>
      <c r="M27" s="722">
        <f t="shared" ca="1" si="3"/>
        <v>0</v>
      </c>
      <c r="N27" s="722">
        <f t="shared" si="3"/>
        <v>1890.1457900612841</v>
      </c>
      <c r="O27" s="722">
        <f t="shared" ca="1" si="3"/>
        <v>6297.4585517462874</v>
      </c>
      <c r="P27" s="722">
        <f t="shared" si="3"/>
        <v>124.98936782138301</v>
      </c>
      <c r="Q27" s="722">
        <f t="shared" si="3"/>
        <v>389.62583615241579</v>
      </c>
      <c r="R27" s="722">
        <f t="shared" ca="1" si="3"/>
        <v>100136.19425087672</v>
      </c>
      <c r="S27" s="67"/>
    </row>
    <row r="28" spans="1:19" ht="15.75" customHeight="1" thickBot="1">
      <c r="A28" s="723"/>
      <c r="B28" s="723"/>
      <c r="C28" s="724"/>
      <c r="D28" s="724"/>
      <c r="E28" s="724"/>
      <c r="F28" s="724"/>
      <c r="G28" s="724"/>
      <c r="H28" s="724"/>
      <c r="I28" s="724"/>
      <c r="J28" s="724"/>
      <c r="K28" s="724"/>
      <c r="L28" s="724"/>
      <c r="M28" s="724"/>
      <c r="N28" s="724"/>
      <c r="O28" s="724"/>
      <c r="P28" s="724"/>
      <c r="Q28" s="724"/>
      <c r="R28" s="724"/>
    </row>
    <row r="29" spans="1:19" ht="41.25" customHeight="1" thickTop="1" thickBot="1">
      <c r="A29" s="725" t="s">
        <v>344</v>
      </c>
      <c r="B29" s="725"/>
      <c r="C29" s="726">
        <f>'EF ele_warmte'!B5</f>
        <v>0</v>
      </c>
      <c r="D29" s="727"/>
      <c r="E29" s="728"/>
      <c r="F29" s="727"/>
      <c r="G29" s="727"/>
      <c r="H29" s="727"/>
      <c r="I29" s="727"/>
      <c r="J29" s="727"/>
      <c r="K29" s="727"/>
      <c r="L29" s="727"/>
      <c r="M29" s="727"/>
      <c r="N29" s="727"/>
      <c r="O29" s="727"/>
      <c r="P29" s="727"/>
      <c r="Q29" s="727"/>
      <c r="R29" s="727"/>
    </row>
    <row r="30" spans="1:19" ht="31.5" thickTop="1" thickBot="1">
      <c r="A30" s="729" t="s">
        <v>345</v>
      </c>
      <c r="B30" s="729"/>
      <c r="C30" s="730" t="s">
        <v>210</v>
      </c>
      <c r="D30" s="731"/>
      <c r="E30" s="731"/>
      <c r="F30" s="731"/>
      <c r="G30" s="731"/>
      <c r="H30" s="732"/>
      <c r="I30" s="733"/>
      <c r="J30" s="733"/>
      <c r="K30" s="733"/>
      <c r="L30" s="733"/>
      <c r="M30" s="733"/>
      <c r="N30" s="733"/>
      <c r="O30" s="733"/>
      <c r="P30" s="733"/>
      <c r="Q30" s="733"/>
      <c r="R30" s="733"/>
    </row>
    <row r="31" spans="1:19" ht="15" thickTop="1">
      <c r="A31" s="1181"/>
      <c r="B31" s="1181"/>
      <c r="C31" s="1181"/>
      <c r="D31" s="734"/>
      <c r="E31" s="733"/>
      <c r="F31" s="733"/>
      <c r="G31" s="733"/>
      <c r="H31" s="733"/>
      <c r="I31" s="733"/>
      <c r="J31" s="733"/>
      <c r="K31" s="733"/>
      <c r="L31" s="733"/>
      <c r="M31" s="733"/>
      <c r="N31" s="733"/>
      <c r="O31" s="733"/>
      <c r="P31" s="733"/>
      <c r="Q31" s="733"/>
      <c r="R31" s="733"/>
    </row>
    <row r="32" spans="1:19" ht="15.75">
      <c r="A32" s="735" t="s">
        <v>230</v>
      </c>
      <c r="B32" s="735"/>
      <c r="C32" s="734"/>
      <c r="D32" s="734"/>
      <c r="E32" s="733"/>
      <c r="F32" s="733"/>
      <c r="G32" s="733"/>
      <c r="H32" s="733"/>
      <c r="I32" s="733"/>
      <c r="J32" s="733"/>
      <c r="K32" s="733"/>
      <c r="L32" s="733"/>
      <c r="M32" s="733"/>
      <c r="N32" s="733"/>
      <c r="O32" s="733"/>
      <c r="P32" s="733"/>
      <c r="Q32" s="733"/>
      <c r="R32" s="733"/>
    </row>
    <row r="33" spans="1:18">
      <c r="A33" s="1137"/>
      <c r="B33" s="1137"/>
      <c r="C33" s="1137"/>
      <c r="D33" s="1137"/>
      <c r="E33" s="1137"/>
      <c r="F33" s="1137"/>
      <c r="G33" s="1137"/>
      <c r="H33" s="1137"/>
      <c r="I33" s="1137"/>
      <c r="J33" s="1137"/>
      <c r="K33" s="1137"/>
      <c r="L33" s="1137"/>
      <c r="M33" s="1137"/>
      <c r="N33" s="1137"/>
      <c r="O33" s="1137"/>
      <c r="P33" s="1137"/>
      <c r="Q33" s="1137"/>
      <c r="R33" s="1137"/>
    </row>
    <row r="34" spans="1:18" ht="15.75" thickBot="1">
      <c r="A34" s="736"/>
      <c r="B34" s="736"/>
      <c r="C34" s="737"/>
      <c r="D34" s="737"/>
      <c r="E34" s="737"/>
      <c r="F34" s="737"/>
      <c r="G34" s="737"/>
      <c r="H34" s="737"/>
      <c r="I34" s="737"/>
      <c r="J34" s="737"/>
      <c r="K34" s="737"/>
      <c r="L34" s="737"/>
      <c r="M34" s="737"/>
      <c r="N34" s="737"/>
      <c r="O34" s="737"/>
      <c r="P34" s="737"/>
      <c r="Q34" s="737"/>
      <c r="R34" s="737"/>
    </row>
    <row r="35" spans="1:18" ht="17.25" thickTop="1" thickBot="1">
      <c r="A35" s="1149"/>
      <c r="B35" s="844"/>
      <c r="C35" s="1151" t="s">
        <v>346</v>
      </c>
      <c r="D35" s="1152"/>
      <c r="E35" s="1152"/>
      <c r="F35" s="1152"/>
      <c r="G35" s="1152"/>
      <c r="H35" s="1152"/>
      <c r="I35" s="1152"/>
      <c r="J35" s="1152"/>
      <c r="K35" s="1152"/>
      <c r="L35" s="1152"/>
      <c r="M35" s="1152"/>
      <c r="N35" s="1152"/>
      <c r="O35" s="1152"/>
      <c r="P35" s="1152"/>
      <c r="Q35" s="1152"/>
      <c r="R35" s="1153"/>
    </row>
    <row r="36" spans="1:18" ht="16.5" thickTop="1">
      <c r="A36" s="1150"/>
      <c r="B36" s="845"/>
      <c r="C36" s="1154" t="s">
        <v>20</v>
      </c>
      <c r="D36" s="1128" t="s">
        <v>231</v>
      </c>
      <c r="E36" s="1156" t="s">
        <v>196</v>
      </c>
      <c r="F36" s="1157"/>
      <c r="G36" s="1157"/>
      <c r="H36" s="1157"/>
      <c r="I36" s="1157"/>
      <c r="J36" s="1157"/>
      <c r="K36" s="1157"/>
      <c r="L36" s="1158"/>
      <c r="M36" s="1156" t="s">
        <v>197</v>
      </c>
      <c r="N36" s="1157"/>
      <c r="O36" s="1157"/>
      <c r="P36" s="1157"/>
      <c r="Q36" s="1157"/>
      <c r="R36" s="1138" t="s">
        <v>115</v>
      </c>
    </row>
    <row r="37" spans="1:18" ht="45.75" thickBot="1">
      <c r="A37" s="1150"/>
      <c r="B37" s="845"/>
      <c r="C37" s="1155"/>
      <c r="D37" s="1099"/>
      <c r="E37" s="738" t="s">
        <v>198</v>
      </c>
      <c r="F37" s="738" t="s">
        <v>199</v>
      </c>
      <c r="G37" s="738" t="s">
        <v>200</v>
      </c>
      <c r="H37" s="738" t="s">
        <v>201</v>
      </c>
      <c r="I37" s="738" t="s">
        <v>119</v>
      </c>
      <c r="J37" s="738" t="s">
        <v>202</v>
      </c>
      <c r="K37" s="739" t="s">
        <v>232</v>
      </c>
      <c r="L37" s="739" t="s">
        <v>204</v>
      </c>
      <c r="M37" s="64" t="s">
        <v>205</v>
      </c>
      <c r="N37" s="65" t="s">
        <v>206</v>
      </c>
      <c r="O37" s="738" t="s">
        <v>233</v>
      </c>
      <c r="P37" s="738" t="s">
        <v>234</v>
      </c>
      <c r="Q37" s="739" t="s">
        <v>209</v>
      </c>
      <c r="R37" s="1140"/>
    </row>
    <row r="38" spans="1:18" ht="17.25" thickTop="1" thickBot="1">
      <c r="A38" s="857" t="s">
        <v>343</v>
      </c>
      <c r="B38" s="858"/>
      <c r="C38" s="740" t="s">
        <v>235</v>
      </c>
      <c r="D38" s="741"/>
      <c r="E38" s="742"/>
      <c r="F38" s="742"/>
      <c r="G38" s="742"/>
      <c r="H38" s="742"/>
      <c r="I38" s="742"/>
      <c r="J38" s="742"/>
      <c r="K38" s="742"/>
      <c r="L38" s="742"/>
      <c r="M38" s="743"/>
      <c r="N38" s="743"/>
      <c r="O38" s="742"/>
      <c r="P38" s="743"/>
      <c r="Q38" s="744"/>
      <c r="R38" s="745"/>
    </row>
    <row r="39" spans="1:18" ht="15" thickTop="1">
      <c r="A39" s="830" t="s">
        <v>222</v>
      </c>
      <c r="B39" s="854"/>
      <c r="C39" s="712">
        <f ca="1">'Eigen gebouwen'!B19</f>
        <v>0</v>
      </c>
      <c r="D39" s="712">
        <f ca="1">'Eigen gebouwen'!C19</f>
        <v>0</v>
      </c>
      <c r="E39" s="712">
        <f>'Eigen gebouwen'!D19</f>
        <v>0</v>
      </c>
      <c r="F39" s="712">
        <f>'Eigen gebouwen'!E19</f>
        <v>0</v>
      </c>
      <c r="G39" s="712">
        <f>'Eigen gebouwen'!F19</f>
        <v>0</v>
      </c>
      <c r="H39" s="712">
        <f>'Eigen gebouwen'!G19</f>
        <v>0</v>
      </c>
      <c r="I39" s="712">
        <f>'Eigen gebouwen'!H19</f>
        <v>0</v>
      </c>
      <c r="J39" s="712">
        <f>'Eigen gebouwen'!I19</f>
        <v>0</v>
      </c>
      <c r="K39" s="712">
        <f>'Eigen gebouwen'!J19</f>
        <v>0</v>
      </c>
      <c r="L39" s="712">
        <f>'Eigen gebouwen'!K19</f>
        <v>0</v>
      </c>
      <c r="M39" s="712">
        <f>'Eigen gebouwen'!L19</f>
        <v>0</v>
      </c>
      <c r="N39" s="712">
        <f>'Eigen gebouwen'!M19</f>
        <v>0</v>
      </c>
      <c r="O39" s="712">
        <f>'Eigen gebouwen'!N19</f>
        <v>0</v>
      </c>
      <c r="P39" s="712">
        <f>'Eigen gebouwen'!O19</f>
        <v>0</v>
      </c>
      <c r="Q39" s="795">
        <f>'Eigen gebouwen'!P19</f>
        <v>0</v>
      </c>
      <c r="R39" s="987">
        <f t="shared" ref="R39:R44" ca="1" si="4">SUM(C39:Q39)</f>
        <v>0</v>
      </c>
    </row>
    <row r="40" spans="1:18">
      <c r="A40" s="835" t="s">
        <v>223</v>
      </c>
      <c r="B40" s="855"/>
      <c r="C40" s="712">
        <f ca="1">tertiair!B20+'openbare verlichting'!B12</f>
        <v>694.91057340758243</v>
      </c>
      <c r="D40" s="712">
        <f ca="1">tertiair!C20</f>
        <v>0</v>
      </c>
      <c r="E40" s="712">
        <f ca="1">tertiair!D20</f>
        <v>0</v>
      </c>
      <c r="F40" s="712">
        <f>tertiair!E20</f>
        <v>8.9782564874099631</v>
      </c>
      <c r="G40" s="712">
        <f ca="1">tertiair!F20</f>
        <v>102.74339711726213</v>
      </c>
      <c r="H40" s="712">
        <f>tertiair!G20</f>
        <v>0</v>
      </c>
      <c r="I40" s="712">
        <f>tertiair!H20</f>
        <v>0</v>
      </c>
      <c r="J40" s="712">
        <f>tertiair!I20</f>
        <v>0</v>
      </c>
      <c r="K40" s="712">
        <f>tertiair!J20</f>
        <v>1.715863141324737E-3</v>
      </c>
      <c r="L40" s="712">
        <f>tertiair!K20</f>
        <v>0</v>
      </c>
      <c r="M40" s="712">
        <f ca="1">tertiair!L20</f>
        <v>0</v>
      </c>
      <c r="N40" s="712">
        <f>tertiair!M20</f>
        <v>0</v>
      </c>
      <c r="O40" s="712">
        <f ca="1">tertiair!N20</f>
        <v>0</v>
      </c>
      <c r="P40" s="712">
        <f>tertiair!O20</f>
        <v>0</v>
      </c>
      <c r="Q40" s="795">
        <f>tertiair!P20</f>
        <v>0</v>
      </c>
      <c r="R40" s="875">
        <f t="shared" ca="1" si="4"/>
        <v>806.63394287539575</v>
      </c>
    </row>
    <row r="41" spans="1:18">
      <c r="A41" s="847" t="s">
        <v>224</v>
      </c>
      <c r="B41" s="854"/>
      <c r="C41" s="712">
        <f ca="1">huishoudens!B12</f>
        <v>1724.1792631064036</v>
      </c>
      <c r="D41" s="712">
        <f ca="1">huishoudens!C12</f>
        <v>0</v>
      </c>
      <c r="E41" s="712">
        <f>huishoudens!D12</f>
        <v>0</v>
      </c>
      <c r="F41" s="712">
        <f>huishoudens!E12</f>
        <v>1312.4577683509642</v>
      </c>
      <c r="G41" s="712">
        <f>huishoudens!F12</f>
        <v>6645.6630773020224</v>
      </c>
      <c r="H41" s="712">
        <f>huishoudens!G12</f>
        <v>0</v>
      </c>
      <c r="I41" s="712">
        <f>huishoudens!H12</f>
        <v>0</v>
      </c>
      <c r="J41" s="712">
        <f>huishoudens!I12</f>
        <v>0</v>
      </c>
      <c r="K41" s="712">
        <f>huishoudens!J12</f>
        <v>528.9049702534893</v>
      </c>
      <c r="L41" s="712">
        <f>huishoudens!K12</f>
        <v>0</v>
      </c>
      <c r="M41" s="712">
        <f>huishoudens!L12</f>
        <v>0</v>
      </c>
      <c r="N41" s="712">
        <f>huishoudens!M12</f>
        <v>0</v>
      </c>
      <c r="O41" s="712">
        <f>huishoudens!N12</f>
        <v>0</v>
      </c>
      <c r="P41" s="712">
        <f>huishoudens!O12</f>
        <v>0</v>
      </c>
      <c r="Q41" s="795">
        <f>huishoudens!P12</f>
        <v>0</v>
      </c>
      <c r="R41" s="875">
        <f t="shared" ca="1" si="4"/>
        <v>10211.20507901288</v>
      </c>
    </row>
    <row r="42" spans="1:18">
      <c r="A42" s="847" t="s">
        <v>495</v>
      </c>
      <c r="B42" s="854"/>
      <c r="C42" s="712">
        <f ca="1">'Eigen openbare verlichting'!B19</f>
        <v>0</v>
      </c>
      <c r="D42" s="712"/>
      <c r="E42" s="712"/>
      <c r="F42" s="712"/>
      <c r="G42" s="712"/>
      <c r="H42" s="712"/>
      <c r="I42" s="712"/>
      <c r="J42" s="712"/>
      <c r="K42" s="712"/>
      <c r="L42" s="712"/>
      <c r="M42" s="712"/>
      <c r="N42" s="712"/>
      <c r="O42" s="712"/>
      <c r="P42" s="712"/>
      <c r="Q42" s="795"/>
      <c r="R42" s="875">
        <f t="shared" ca="1" si="4"/>
        <v>0</v>
      </c>
    </row>
    <row r="43" spans="1:18">
      <c r="A43" s="847" t="s">
        <v>633</v>
      </c>
      <c r="B43" s="862" t="s">
        <v>630</v>
      </c>
      <c r="C43" s="712">
        <f ca="1">industrie!B22</f>
        <v>124.29722840879184</v>
      </c>
      <c r="D43" s="712">
        <f ca="1">industrie!C22</f>
        <v>0</v>
      </c>
      <c r="E43" s="712">
        <f>industrie!D22</f>
        <v>0</v>
      </c>
      <c r="F43" s="712">
        <f>industrie!E22</f>
        <v>34.144549723572723</v>
      </c>
      <c r="G43" s="712">
        <f>industrie!F22</f>
        <v>121.57781393229357</v>
      </c>
      <c r="H43" s="712">
        <f>industrie!G22</f>
        <v>0</v>
      </c>
      <c r="I43" s="712">
        <f>industrie!H22</f>
        <v>0</v>
      </c>
      <c r="J43" s="712">
        <f>industrie!I22</f>
        <v>0</v>
      </c>
      <c r="K43" s="712">
        <f>industrie!J22</f>
        <v>1.6659773524169922E-2</v>
      </c>
      <c r="L43" s="712">
        <f>industrie!K22</f>
        <v>0</v>
      </c>
      <c r="M43" s="712">
        <f>industrie!L22</f>
        <v>0</v>
      </c>
      <c r="N43" s="712">
        <f>industrie!M22</f>
        <v>0</v>
      </c>
      <c r="O43" s="712">
        <f>industrie!N22</f>
        <v>0</v>
      </c>
      <c r="P43" s="712">
        <f>industrie!O22</f>
        <v>0</v>
      </c>
      <c r="Q43" s="795">
        <f>industrie!P22</f>
        <v>0</v>
      </c>
      <c r="R43" s="874">
        <f t="shared" ca="1" si="4"/>
        <v>280.0362518381823</v>
      </c>
    </row>
    <row r="44" spans="1:18">
      <c r="A44" s="847"/>
      <c r="B44" s="854" t="s">
        <v>631</v>
      </c>
      <c r="C44" s="712"/>
      <c r="D44" s="712"/>
      <c r="E44" s="712"/>
      <c r="F44" s="712"/>
      <c r="G44" s="712"/>
      <c r="H44" s="712"/>
      <c r="I44" s="712"/>
      <c r="J44" s="712"/>
      <c r="K44" s="712"/>
      <c r="L44" s="712"/>
      <c r="M44" s="712"/>
      <c r="N44" s="712"/>
      <c r="O44" s="712"/>
      <c r="P44" s="712"/>
      <c r="Q44" s="795"/>
      <c r="R44" s="875">
        <f t="shared" si="4"/>
        <v>0</v>
      </c>
    </row>
    <row r="45" spans="1:18" ht="15" thickBot="1">
      <c r="A45" s="981" t="s">
        <v>733</v>
      </c>
      <c r="B45" s="985"/>
      <c r="C45" s="983"/>
      <c r="D45" s="983"/>
      <c r="E45" s="983"/>
      <c r="F45" s="983"/>
      <c r="G45" s="983"/>
      <c r="H45" s="983"/>
      <c r="I45" s="983"/>
      <c r="J45" s="983"/>
      <c r="K45" s="983"/>
      <c r="L45" s="983"/>
      <c r="M45" s="983"/>
      <c r="N45" s="983"/>
      <c r="O45" s="983"/>
      <c r="P45" s="983"/>
      <c r="Q45" s="984"/>
      <c r="R45" s="986"/>
    </row>
    <row r="46" spans="1:18" ht="15.75" thickBot="1">
      <c r="A46" s="848" t="s">
        <v>225</v>
      </c>
      <c r="B46" s="861"/>
      <c r="C46" s="748">
        <f ca="1">SUM(C39:C45)</f>
        <v>2543.3870649227779</v>
      </c>
      <c r="D46" s="748">
        <f t="shared" ref="D46:Q46" ca="1" si="5">SUM(D39:D45)</f>
        <v>0</v>
      </c>
      <c r="E46" s="748">
        <f t="shared" ca="1" si="5"/>
        <v>0</v>
      </c>
      <c r="F46" s="748">
        <f t="shared" si="5"/>
        <v>1355.5805745619468</v>
      </c>
      <c r="G46" s="748">
        <f t="shared" ca="1" si="5"/>
        <v>6869.9842883515785</v>
      </c>
      <c r="H46" s="748">
        <f t="shared" si="5"/>
        <v>0</v>
      </c>
      <c r="I46" s="748">
        <f t="shared" si="5"/>
        <v>0</v>
      </c>
      <c r="J46" s="748">
        <f t="shared" si="5"/>
        <v>0</v>
      </c>
      <c r="K46" s="748">
        <f t="shared" si="5"/>
        <v>528.92334589015479</v>
      </c>
      <c r="L46" s="748">
        <f t="shared" si="5"/>
        <v>0</v>
      </c>
      <c r="M46" s="748">
        <f t="shared" ca="1" si="5"/>
        <v>0</v>
      </c>
      <c r="N46" s="748">
        <f t="shared" si="5"/>
        <v>0</v>
      </c>
      <c r="O46" s="748">
        <f t="shared" ca="1" si="5"/>
        <v>0</v>
      </c>
      <c r="P46" s="748">
        <f t="shared" si="5"/>
        <v>0</v>
      </c>
      <c r="Q46" s="748">
        <f t="shared" si="5"/>
        <v>0</v>
      </c>
      <c r="R46" s="748">
        <f ca="1">SUM(R39:R45)</f>
        <v>11297.875273726459</v>
      </c>
    </row>
    <row r="47" spans="1:18" ht="15.75">
      <c r="A47" s="849" t="s">
        <v>226</v>
      </c>
      <c r="B47" s="859"/>
      <c r="C47" s="740"/>
      <c r="D47" s="741"/>
      <c r="E47" s="741"/>
      <c r="F47" s="741"/>
      <c r="G47" s="741"/>
      <c r="H47" s="741"/>
      <c r="I47" s="741"/>
      <c r="J47" s="741"/>
      <c r="K47" s="741"/>
      <c r="L47" s="741"/>
      <c r="M47" s="751"/>
      <c r="N47" s="751"/>
      <c r="O47" s="741"/>
      <c r="P47" s="751"/>
      <c r="Q47" s="751"/>
      <c r="R47" s="745"/>
    </row>
    <row r="48" spans="1:18">
      <c r="A48" s="847" t="s">
        <v>227</v>
      </c>
      <c r="B48" s="854"/>
      <c r="C48" s="712">
        <f ca="1">'Eigen vloot'!B31</f>
        <v>0</v>
      </c>
      <c r="D48" s="712">
        <f>'Eigen vloot'!C31</f>
        <v>0</v>
      </c>
      <c r="E48" s="712">
        <f>'Eigen vloot'!D31</f>
        <v>0</v>
      </c>
      <c r="F48" s="712">
        <f>'Eigen vloot'!E31</f>
        <v>0</v>
      </c>
      <c r="G48" s="712">
        <f>'Eigen vloot'!F31</f>
        <v>0</v>
      </c>
      <c r="H48" s="712">
        <f>'Eigen vloot'!G31</f>
        <v>0</v>
      </c>
      <c r="I48" s="712">
        <f>'Eigen vloot'!H31</f>
        <v>0</v>
      </c>
      <c r="J48" s="712">
        <f>'Eigen vloot'!I31</f>
        <v>0</v>
      </c>
      <c r="K48" s="712">
        <f>'Eigen vloot'!J31</f>
        <v>0</v>
      </c>
      <c r="L48" s="712">
        <f>'Eigen vloot'!K31</f>
        <v>0</v>
      </c>
      <c r="M48" s="712">
        <f>'Eigen vloot'!L31</f>
        <v>0</v>
      </c>
      <c r="N48" s="712">
        <f>'Eigen vloot'!M31</f>
        <v>0</v>
      </c>
      <c r="O48" s="712">
        <f>'Eigen vloot'!N31</f>
        <v>0</v>
      </c>
      <c r="P48" s="712">
        <f>'Eigen vloot'!O31</f>
        <v>0</v>
      </c>
      <c r="Q48" s="712">
        <f>'Eigen vloot'!P31</f>
        <v>0</v>
      </c>
      <c r="R48" s="746">
        <f ca="1">SUM(C48:Q48)</f>
        <v>0</v>
      </c>
    </row>
    <row r="49" spans="1:18">
      <c r="A49" s="847" t="s">
        <v>228</v>
      </c>
      <c r="B49" s="854"/>
      <c r="C49" s="712">
        <f ca="1">transport!B58</f>
        <v>0</v>
      </c>
      <c r="D49" s="712">
        <f ca="1">transport!C58</f>
        <v>0</v>
      </c>
      <c r="E49" s="712">
        <f>transport!D58</f>
        <v>0</v>
      </c>
      <c r="F49" s="712">
        <f>transport!E58</f>
        <v>0</v>
      </c>
      <c r="G49" s="712">
        <f>transport!F58</f>
        <v>0</v>
      </c>
      <c r="H49" s="712">
        <f>transport!G58</f>
        <v>260.06159832379296</v>
      </c>
      <c r="I49" s="712">
        <f>transport!H58</f>
        <v>0</v>
      </c>
      <c r="J49" s="712">
        <f>transport!I58</f>
        <v>0</v>
      </c>
      <c r="K49" s="712">
        <f>transport!J58</f>
        <v>0</v>
      </c>
      <c r="L49" s="712">
        <f>transport!K58</f>
        <v>0</v>
      </c>
      <c r="M49" s="712">
        <f>transport!L58</f>
        <v>0</v>
      </c>
      <c r="N49" s="712">
        <f>transport!M58</f>
        <v>0</v>
      </c>
      <c r="O49" s="712">
        <f>transport!N58</f>
        <v>0</v>
      </c>
      <c r="P49" s="712">
        <f>transport!O58</f>
        <v>0</v>
      </c>
      <c r="Q49" s="713">
        <f>transport!P58</f>
        <v>0</v>
      </c>
      <c r="R49" s="746">
        <f ca="1">SUM(C49:Q49)</f>
        <v>260.06159832379296</v>
      </c>
    </row>
    <row r="50" spans="1:18">
      <c r="A50" s="850" t="s">
        <v>306</v>
      </c>
      <c r="B50" s="860"/>
      <c r="C50" s="718">
        <f ca="1">transport!B18</f>
        <v>3.9478254925635228</v>
      </c>
      <c r="D50" s="718">
        <f>transport!C18</f>
        <v>0</v>
      </c>
      <c r="E50" s="718">
        <f>transport!D18</f>
        <v>19.389820767933777</v>
      </c>
      <c r="F50" s="718">
        <f>transport!E18</f>
        <v>16.571333729573663</v>
      </c>
      <c r="G50" s="718">
        <f>transport!F18</f>
        <v>0</v>
      </c>
      <c r="H50" s="718">
        <f>transport!G18</f>
        <v>6338.7817649690842</v>
      </c>
      <c r="I50" s="718">
        <f>transport!H18</f>
        <v>1769.270617029116</v>
      </c>
      <c r="J50" s="718">
        <f>transport!I18</f>
        <v>0</v>
      </c>
      <c r="K50" s="718">
        <f>transport!J18</f>
        <v>0</v>
      </c>
      <c r="L50" s="718">
        <f>transport!K18</f>
        <v>0</v>
      </c>
      <c r="M50" s="718">
        <f>transport!L18</f>
        <v>0</v>
      </c>
      <c r="N50" s="718">
        <f>transport!M18</f>
        <v>0</v>
      </c>
      <c r="O50" s="718">
        <f>transport!N18</f>
        <v>0</v>
      </c>
      <c r="P50" s="718">
        <f>transport!O18</f>
        <v>0</v>
      </c>
      <c r="Q50" s="719">
        <f>transport!P18</f>
        <v>0</v>
      </c>
      <c r="R50" s="747">
        <f ca="1">SUM(C50:Q50)</f>
        <v>8147.9613619882712</v>
      </c>
    </row>
    <row r="51" spans="1:18" ht="15" thickBot="1">
      <c r="A51" s="847" t="s">
        <v>736</v>
      </c>
      <c r="B51" s="854"/>
      <c r="C51" s="712"/>
      <c r="D51" s="712"/>
      <c r="E51" s="712"/>
      <c r="F51" s="712"/>
      <c r="G51" s="712"/>
      <c r="H51" s="712"/>
      <c r="I51" s="712"/>
      <c r="J51" s="712"/>
      <c r="K51" s="712"/>
      <c r="L51" s="712"/>
      <c r="M51" s="712"/>
      <c r="N51" s="712"/>
      <c r="O51" s="712"/>
      <c r="P51" s="712"/>
      <c r="Q51" s="713"/>
      <c r="R51" s="746"/>
    </row>
    <row r="52" spans="1:18" ht="15.75" thickBot="1">
      <c r="A52" s="848" t="s">
        <v>229</v>
      </c>
      <c r="B52" s="861"/>
      <c r="C52" s="748">
        <f ca="1">SUM(C48:C51)</f>
        <v>3.9478254925635228</v>
      </c>
      <c r="D52" s="748">
        <f t="shared" ref="D52:Q52" ca="1" si="6">SUM(D48:D51)</f>
        <v>0</v>
      </c>
      <c r="E52" s="748">
        <f t="shared" si="6"/>
        <v>19.389820767933777</v>
      </c>
      <c r="F52" s="748">
        <f t="shared" si="6"/>
        <v>16.571333729573663</v>
      </c>
      <c r="G52" s="748">
        <f t="shared" si="6"/>
        <v>0</v>
      </c>
      <c r="H52" s="748">
        <f t="shared" si="6"/>
        <v>6598.8433632928773</v>
      </c>
      <c r="I52" s="748">
        <f t="shared" si="6"/>
        <v>1769.270617029116</v>
      </c>
      <c r="J52" s="748">
        <f t="shared" si="6"/>
        <v>0</v>
      </c>
      <c r="K52" s="748">
        <f t="shared" si="6"/>
        <v>0</v>
      </c>
      <c r="L52" s="748">
        <f t="shared" si="6"/>
        <v>0</v>
      </c>
      <c r="M52" s="748">
        <f t="shared" si="6"/>
        <v>0</v>
      </c>
      <c r="N52" s="748">
        <f t="shared" si="6"/>
        <v>0</v>
      </c>
      <c r="O52" s="748">
        <f t="shared" si="6"/>
        <v>0</v>
      </c>
      <c r="P52" s="748">
        <f t="shared" si="6"/>
        <v>0</v>
      </c>
      <c r="Q52" s="748">
        <f t="shared" si="6"/>
        <v>0</v>
      </c>
      <c r="R52" s="748">
        <f ca="1">SUM(R48:R51)</f>
        <v>8408.0229603120642</v>
      </c>
    </row>
    <row r="53" spans="1:18" ht="15.75">
      <c r="A53" s="849" t="s">
        <v>236</v>
      </c>
      <c r="B53" s="828"/>
      <c r="C53" s="740"/>
      <c r="D53" s="741"/>
      <c r="E53" s="741"/>
      <c r="F53" s="741"/>
      <c r="G53" s="741"/>
      <c r="H53" s="741"/>
      <c r="I53" s="741"/>
      <c r="J53" s="741"/>
      <c r="K53" s="741"/>
      <c r="L53" s="741"/>
      <c r="M53" s="751"/>
      <c r="N53" s="751"/>
      <c r="O53" s="741"/>
      <c r="P53" s="751"/>
      <c r="Q53" s="751"/>
      <c r="R53" s="745"/>
    </row>
    <row r="54" spans="1:18">
      <c r="A54" s="850" t="s">
        <v>627</v>
      </c>
      <c r="B54" s="860"/>
      <c r="C54" s="718">
        <f ca="1">+landbouw!B12</f>
        <v>505.97071999684408</v>
      </c>
      <c r="D54" s="718">
        <f ca="1">+landbouw!C12</f>
        <v>0</v>
      </c>
      <c r="E54" s="718">
        <f>+landbouw!D12</f>
        <v>0</v>
      </c>
      <c r="F54" s="718">
        <f>+landbouw!E12</f>
        <v>18.496638118491017</v>
      </c>
      <c r="G54" s="718">
        <f>+landbouw!F12</f>
        <v>2463.594253427535</v>
      </c>
      <c r="H54" s="718">
        <f>+landbouw!G12</f>
        <v>0</v>
      </c>
      <c r="I54" s="718">
        <f>+landbouw!H12</f>
        <v>0</v>
      </c>
      <c r="J54" s="718">
        <f>+landbouw!I12</f>
        <v>0</v>
      </c>
      <c r="K54" s="718">
        <f>+landbouw!J12</f>
        <v>254.63233926809431</v>
      </c>
      <c r="L54" s="718">
        <f>+landbouw!K12</f>
        <v>0</v>
      </c>
      <c r="M54" s="718">
        <f>+landbouw!L12</f>
        <v>0</v>
      </c>
      <c r="N54" s="718">
        <f>+landbouw!M12</f>
        <v>0</v>
      </c>
      <c r="O54" s="718">
        <f>+landbouw!N12</f>
        <v>0</v>
      </c>
      <c r="P54" s="718">
        <f>+landbouw!O12</f>
        <v>0</v>
      </c>
      <c r="Q54" s="719">
        <f>+landbouw!P12</f>
        <v>0</v>
      </c>
      <c r="R54" s="747">
        <f ca="1">SUM(C54:Q54)</f>
        <v>3242.6939508109645</v>
      </c>
    </row>
    <row r="55" spans="1:18" ht="15" thickBot="1">
      <c r="A55" s="850" t="s">
        <v>734</v>
      </c>
      <c r="B55" s="860"/>
      <c r="C55" s="718">
        <f ca="1">C25*'EF ele_warmte'!B12</f>
        <v>90.25053894071732</v>
      </c>
      <c r="D55" s="718"/>
      <c r="E55" s="718">
        <f>E25*EF_CO2_aardgas</f>
        <v>0</v>
      </c>
      <c r="F55" s="718"/>
      <c r="G55" s="718"/>
      <c r="H55" s="718"/>
      <c r="I55" s="718"/>
      <c r="J55" s="718"/>
      <c r="K55" s="718"/>
      <c r="L55" s="718"/>
      <c r="M55" s="718"/>
      <c r="N55" s="718"/>
      <c r="O55" s="718"/>
      <c r="P55" s="718"/>
      <c r="Q55" s="719"/>
      <c r="R55" s="747">
        <f ca="1">SUM(C55:Q55)</f>
        <v>90.25053894071732</v>
      </c>
    </row>
    <row r="56" spans="1:18" ht="15.75" thickBot="1">
      <c r="A56" s="848" t="s">
        <v>735</v>
      </c>
      <c r="B56" s="861"/>
      <c r="C56" s="748">
        <f ca="1">SUM(C54:C55)</f>
        <v>596.2212589375614</v>
      </c>
      <c r="D56" s="748">
        <f t="shared" ref="D56:Q56" ca="1" si="7">SUM(D54:D55)</f>
        <v>0</v>
      </c>
      <c r="E56" s="748">
        <f t="shared" si="7"/>
        <v>0</v>
      </c>
      <c r="F56" s="748">
        <f t="shared" si="7"/>
        <v>18.496638118491017</v>
      </c>
      <c r="G56" s="748">
        <f t="shared" si="7"/>
        <v>2463.594253427535</v>
      </c>
      <c r="H56" s="748">
        <f t="shared" si="7"/>
        <v>0</v>
      </c>
      <c r="I56" s="748">
        <f t="shared" si="7"/>
        <v>0</v>
      </c>
      <c r="J56" s="748">
        <f t="shared" si="7"/>
        <v>0</v>
      </c>
      <c r="K56" s="748">
        <f t="shared" si="7"/>
        <v>254.63233926809431</v>
      </c>
      <c r="L56" s="748">
        <f t="shared" si="7"/>
        <v>0</v>
      </c>
      <c r="M56" s="748">
        <f t="shared" si="7"/>
        <v>0</v>
      </c>
      <c r="N56" s="748">
        <f t="shared" si="7"/>
        <v>0</v>
      </c>
      <c r="O56" s="748">
        <f t="shared" si="7"/>
        <v>0</v>
      </c>
      <c r="P56" s="748">
        <f t="shared" si="7"/>
        <v>0</v>
      </c>
      <c r="Q56" s="749">
        <f t="shared" si="7"/>
        <v>0</v>
      </c>
      <c r="R56" s="750">
        <f ca="1">SUM(R54:R55)</f>
        <v>3332.9444897516819</v>
      </c>
    </row>
    <row r="57" spans="1:18" ht="15.75">
      <c r="A57" s="828" t="s">
        <v>628</v>
      </c>
      <c r="B57" s="828"/>
      <c r="C57" s="753"/>
      <c r="D57" s="741"/>
      <c r="E57" s="741"/>
      <c r="F57" s="741"/>
      <c r="G57" s="741"/>
      <c r="H57" s="741"/>
      <c r="I57" s="741"/>
      <c r="J57" s="741"/>
      <c r="K57" s="741"/>
      <c r="L57" s="741"/>
      <c r="M57" s="751"/>
      <c r="N57" s="751"/>
      <c r="O57" s="741"/>
      <c r="P57" s="751"/>
      <c r="Q57" s="751"/>
      <c r="R57" s="745"/>
    </row>
    <row r="58" spans="1:18" ht="15">
      <c r="A58" s="851" t="s">
        <v>237</v>
      </c>
      <c r="B58" s="865"/>
      <c r="C58" s="1159"/>
      <c r="D58" s="1160"/>
      <c r="E58" s="1160"/>
      <c r="F58" s="1160"/>
      <c r="G58" s="1160"/>
      <c r="H58" s="1160"/>
      <c r="I58" s="1160"/>
      <c r="J58" s="1160"/>
      <c r="K58" s="1160"/>
      <c r="L58" s="1160"/>
      <c r="M58" s="1160"/>
      <c r="N58" s="1160"/>
      <c r="O58" s="1160"/>
      <c r="P58" s="1160"/>
      <c r="Q58" s="1160"/>
      <c r="R58" s="754"/>
    </row>
    <row r="59" spans="1:18" ht="15">
      <c r="A59" s="852" t="s">
        <v>238</v>
      </c>
      <c r="B59" s="839"/>
      <c r="C59" s="1161"/>
      <c r="D59" s="1162"/>
      <c r="E59" s="1162"/>
      <c r="F59" s="1162"/>
      <c r="G59" s="1162"/>
      <c r="H59" s="1162"/>
      <c r="I59" s="1162"/>
      <c r="J59" s="1162"/>
      <c r="K59" s="1162"/>
      <c r="L59" s="1162"/>
      <c r="M59" s="1162"/>
      <c r="N59" s="1162"/>
      <c r="O59" s="1162"/>
      <c r="P59" s="1162"/>
      <c r="Q59" s="1162"/>
      <c r="R59" s="755"/>
    </row>
    <row r="60" spans="1:18" ht="15" thickBot="1">
      <c r="A60" s="863" t="s">
        <v>239</v>
      </c>
      <c r="B60" s="864"/>
      <c r="C60" s="1161"/>
      <c r="D60" s="1162"/>
      <c r="E60" s="1162"/>
      <c r="F60" s="1162"/>
      <c r="G60" s="1162"/>
      <c r="H60" s="1162"/>
      <c r="I60" s="1162"/>
      <c r="J60" s="1162"/>
      <c r="K60" s="1162"/>
      <c r="L60" s="1162"/>
      <c r="M60" s="1162"/>
      <c r="N60" s="1162"/>
      <c r="O60" s="1162"/>
      <c r="P60" s="1162"/>
      <c r="Q60" s="1162"/>
      <c r="R60" s="747"/>
    </row>
    <row r="61" spans="1:18" ht="16.5" thickBot="1">
      <c r="A61" s="866" t="s">
        <v>115</v>
      </c>
      <c r="B61" s="867"/>
      <c r="C61" s="756">
        <f ca="1">C46+C52+C56</f>
        <v>3143.5561493529026</v>
      </c>
      <c r="D61" s="756">
        <f t="shared" ref="D61:Q61" ca="1" si="8">D46+D52+D56</f>
        <v>0</v>
      </c>
      <c r="E61" s="756">
        <f t="shared" ca="1" si="8"/>
        <v>19.389820767933777</v>
      </c>
      <c r="F61" s="756">
        <f t="shared" si="8"/>
        <v>1390.6485464100115</v>
      </c>
      <c r="G61" s="756">
        <f t="shared" ca="1" si="8"/>
        <v>9333.5785417791139</v>
      </c>
      <c r="H61" s="756">
        <f t="shared" si="8"/>
        <v>6598.8433632928773</v>
      </c>
      <c r="I61" s="756">
        <f t="shared" si="8"/>
        <v>1769.270617029116</v>
      </c>
      <c r="J61" s="756">
        <f t="shared" si="8"/>
        <v>0</v>
      </c>
      <c r="K61" s="756">
        <f t="shared" si="8"/>
        <v>783.55568515824916</v>
      </c>
      <c r="L61" s="756">
        <f t="shared" si="8"/>
        <v>0</v>
      </c>
      <c r="M61" s="756">
        <f t="shared" ca="1" si="8"/>
        <v>0</v>
      </c>
      <c r="N61" s="756">
        <f t="shared" si="8"/>
        <v>0</v>
      </c>
      <c r="O61" s="756">
        <f t="shared" ca="1" si="8"/>
        <v>0</v>
      </c>
      <c r="P61" s="756">
        <f t="shared" si="8"/>
        <v>0</v>
      </c>
      <c r="Q61" s="756">
        <f t="shared" si="8"/>
        <v>0</v>
      </c>
      <c r="R61" s="756">
        <f ca="1">R46+R52+R56</f>
        <v>23038.842723790203</v>
      </c>
    </row>
    <row r="62" spans="1:18" ht="15.75" thickTop="1" thickBot="1">
      <c r="A62" s="821"/>
      <c r="B62" s="821"/>
      <c r="C62" s="758"/>
      <c r="D62" s="758"/>
      <c r="E62" s="759"/>
      <c r="F62" s="759"/>
      <c r="G62" s="759"/>
      <c r="H62" s="759"/>
      <c r="I62" s="759"/>
      <c r="J62" s="759"/>
      <c r="K62" s="759"/>
      <c r="L62" s="759"/>
      <c r="M62" s="759"/>
      <c r="N62" s="759"/>
      <c r="O62" s="759"/>
      <c r="P62" s="759"/>
      <c r="Q62" s="759"/>
      <c r="R62" s="759"/>
    </row>
    <row r="63" spans="1:18" ht="20.25" thickTop="1" thickBot="1">
      <c r="A63" s="760" t="s">
        <v>347</v>
      </c>
      <c r="B63" s="846"/>
      <c r="C63" s="802">
        <f t="shared" ref="C63:Q63" ca="1" si="9">IF(ISERROR(C61/C27),0,C61/C27)</f>
        <v>0.19379725565552805</v>
      </c>
      <c r="D63" s="802">
        <f t="shared" ca="1" si="9"/>
        <v>0</v>
      </c>
      <c r="E63" s="1008">
        <f t="shared" ca="1" si="9"/>
        <v>0.20200000000000001</v>
      </c>
      <c r="F63" s="802">
        <f t="shared" si="9"/>
        <v>0.22700000000000001</v>
      </c>
      <c r="G63" s="802">
        <f t="shared" ca="1" si="9"/>
        <v>0.26700000000000007</v>
      </c>
      <c r="H63" s="802">
        <f t="shared" si="9"/>
        <v>0.26700000000000002</v>
      </c>
      <c r="I63" s="802">
        <f t="shared" si="9"/>
        <v>0.249</v>
      </c>
      <c r="J63" s="802">
        <f t="shared" si="9"/>
        <v>0</v>
      </c>
      <c r="K63" s="802">
        <f t="shared" si="9"/>
        <v>0.35400000000000004</v>
      </c>
      <c r="L63" s="802">
        <f t="shared" si="9"/>
        <v>0</v>
      </c>
      <c r="M63" s="802">
        <f t="shared" ca="1" si="9"/>
        <v>0</v>
      </c>
      <c r="N63" s="802">
        <f t="shared" si="9"/>
        <v>0</v>
      </c>
      <c r="O63" s="802">
        <f t="shared" ca="1" si="9"/>
        <v>0</v>
      </c>
      <c r="P63" s="802">
        <f t="shared" si="9"/>
        <v>0</v>
      </c>
      <c r="Q63" s="802">
        <f t="shared" si="9"/>
        <v>0</v>
      </c>
      <c r="R63" s="759"/>
    </row>
    <row r="64" spans="1:18" ht="33" thickTop="1" thickBot="1">
      <c r="A64" s="853" t="s">
        <v>348</v>
      </c>
      <c r="B64" s="831"/>
      <c r="C64" s="803">
        <f>'EF ele_warmte'!B6</f>
        <v>0.221</v>
      </c>
      <c r="D64" s="804"/>
      <c r="E64" s="805"/>
      <c r="F64" s="806"/>
      <c r="G64" s="806"/>
      <c r="H64" s="806"/>
      <c r="I64" s="806"/>
      <c r="J64" s="806"/>
      <c r="K64" s="806"/>
      <c r="L64" s="806"/>
      <c r="M64" s="806"/>
      <c r="N64" s="806"/>
      <c r="O64" s="806"/>
      <c r="P64" s="806"/>
      <c r="Q64" s="806"/>
      <c r="R64" s="759"/>
    </row>
    <row r="65" spans="1:18" ht="15" thickTop="1">
      <c r="A65" s="761"/>
      <c r="B65" s="761"/>
      <c r="C65" s="759"/>
      <c r="D65" s="759"/>
      <c r="E65" s="759"/>
      <c r="F65" s="759"/>
      <c r="G65" s="759"/>
      <c r="H65" s="759"/>
      <c r="I65" s="759"/>
      <c r="J65" s="759"/>
      <c r="K65" s="759"/>
      <c r="L65" s="759"/>
      <c r="M65" s="759"/>
      <c r="N65" s="759"/>
      <c r="O65" s="759"/>
      <c r="P65" s="759"/>
      <c r="Q65" s="759"/>
      <c r="R65" s="759"/>
    </row>
    <row r="66" spans="1:18" ht="18.75">
      <c r="A66" s="762" t="s">
        <v>349</v>
      </c>
      <c r="B66" s="762"/>
      <c r="C66" s="733"/>
      <c r="D66" s="763"/>
      <c r="E66" s="733"/>
      <c r="F66" s="733"/>
      <c r="G66" s="733"/>
      <c r="H66" s="733"/>
      <c r="I66" s="733"/>
      <c r="J66" s="733"/>
      <c r="K66" s="733"/>
      <c r="L66" s="733"/>
      <c r="M66" s="733"/>
      <c r="N66" s="733"/>
      <c r="O66" s="733"/>
      <c r="P66" s="764"/>
      <c r="Q66" s="764"/>
      <c r="R66" s="764"/>
    </row>
    <row r="67" spans="1:18">
      <c r="A67" s="1137"/>
      <c r="B67" s="1137"/>
      <c r="C67" s="1137"/>
      <c r="D67" s="1137"/>
      <c r="E67" s="1137"/>
      <c r="F67" s="1137"/>
      <c r="G67" s="1137"/>
      <c r="H67" s="1137"/>
      <c r="I67" s="1137"/>
      <c r="J67" s="1137"/>
      <c r="K67" s="1137"/>
      <c r="L67" s="1137"/>
      <c r="M67" s="1137"/>
      <c r="N67" s="1137"/>
      <c r="O67" s="1137"/>
      <c r="P67" s="1137"/>
      <c r="Q67" s="1137"/>
      <c r="R67" s="765"/>
    </row>
    <row r="68" spans="1:18" ht="16.5" customHeight="1" thickBot="1">
      <c r="A68" s="736"/>
      <c r="B68" s="736"/>
      <c r="C68" s="737"/>
      <c r="D68" s="737"/>
      <c r="E68" s="737"/>
      <c r="F68" s="737"/>
      <c r="G68" s="737"/>
      <c r="H68" s="737"/>
      <c r="I68" s="737"/>
      <c r="J68" s="737"/>
      <c r="K68" s="737"/>
      <c r="L68" s="737"/>
      <c r="M68" s="737"/>
      <c r="N68" s="737"/>
      <c r="O68" s="737"/>
      <c r="P68" s="737"/>
      <c r="Q68" s="737"/>
      <c r="R68" s="737"/>
    </row>
    <row r="69" spans="1:18" ht="48.75" customHeight="1" thickTop="1" thickBot="1">
      <c r="A69" s="1138" t="s">
        <v>240</v>
      </c>
      <c r="B69" s="1124" t="s">
        <v>350</v>
      </c>
      <c r="C69" s="1125"/>
      <c r="D69" s="1104" t="s">
        <v>351</v>
      </c>
      <c r="E69" s="1105"/>
      <c r="F69" s="1105"/>
      <c r="G69" s="1105"/>
      <c r="H69" s="1105"/>
      <c r="I69" s="1105"/>
      <c r="J69" s="1105"/>
      <c r="K69" s="1105"/>
      <c r="L69" s="1105"/>
      <c r="M69" s="1105"/>
      <c r="N69" s="1105"/>
      <c r="O69" s="1106"/>
      <c r="P69" s="996" t="s">
        <v>636</v>
      </c>
      <c r="Q69" s="1096" t="s">
        <v>635</v>
      </c>
      <c r="R69" s="1097"/>
    </row>
    <row r="70" spans="1:18" ht="61.5" thickTop="1" thickBot="1">
      <c r="A70" s="1139"/>
      <c r="B70" s="1126"/>
      <c r="C70" s="1127"/>
      <c r="D70" s="1121" t="s">
        <v>196</v>
      </c>
      <c r="E70" s="1122"/>
      <c r="F70" s="1122"/>
      <c r="G70" s="1122"/>
      <c r="H70" s="1123"/>
      <c r="I70" s="970" t="s">
        <v>245</v>
      </c>
      <c r="J70" s="970" t="s">
        <v>233</v>
      </c>
      <c r="K70" s="970" t="s">
        <v>208</v>
      </c>
      <c r="L70" s="970" t="s">
        <v>209</v>
      </c>
      <c r="M70" s="766" t="s">
        <v>244</v>
      </c>
      <c r="N70" s="970" t="s">
        <v>246</v>
      </c>
      <c r="O70" s="972" t="s">
        <v>126</v>
      </c>
      <c r="P70" s="997"/>
      <c r="Q70" s="881"/>
      <c r="R70" s="882"/>
    </row>
    <row r="71" spans="1:18" ht="95.25" customHeight="1" thickTop="1" thickBot="1">
      <c r="A71" s="1140"/>
      <c r="B71" s="975" t="s">
        <v>634</v>
      </c>
      <c r="C71" s="975" t="s">
        <v>738</v>
      </c>
      <c r="D71" s="988" t="s">
        <v>198</v>
      </c>
      <c r="E71" s="989" t="s">
        <v>199</v>
      </c>
      <c r="F71" s="970" t="s">
        <v>200</v>
      </c>
      <c r="G71" s="969" t="s">
        <v>202</v>
      </c>
      <c r="H71" s="990" t="s">
        <v>203</v>
      </c>
      <c r="I71" s="971"/>
      <c r="J71" s="971"/>
      <c r="K71" s="971"/>
      <c r="L71" s="971"/>
      <c r="M71" s="768"/>
      <c r="N71" s="971"/>
      <c r="O71" s="976"/>
      <c r="P71" s="998"/>
      <c r="Q71" s="977" t="s">
        <v>637</v>
      </c>
      <c r="R71" s="976" t="s">
        <v>638</v>
      </c>
    </row>
    <row r="72" spans="1:18" ht="15.75" thickTop="1">
      <c r="A72" s="769" t="s">
        <v>248</v>
      </c>
      <c r="B72" s="868">
        <f>'lokale energieproductie'!B4</f>
        <v>0</v>
      </c>
      <c r="C72" s="1100"/>
      <c r="D72" s="1100"/>
      <c r="E72" s="1113"/>
      <c r="F72" s="1113"/>
      <c r="G72" s="1114"/>
      <c r="H72" s="1117"/>
      <c r="I72" s="1103"/>
      <c r="J72" s="973"/>
      <c r="K72" s="1107"/>
      <c r="L72" s="1107"/>
      <c r="M72" s="1107"/>
      <c r="N72" s="1107"/>
      <c r="O72" s="1110"/>
      <c r="P72" s="876">
        <v>0</v>
      </c>
      <c r="Q72" s="999"/>
      <c r="R72" s="876">
        <v>0</v>
      </c>
    </row>
    <row r="73" spans="1:18" ht="15">
      <c r="A73" s="770" t="s">
        <v>249</v>
      </c>
      <c r="B73" s="769">
        <f>'lokale energieproductie'!B5</f>
        <v>0</v>
      </c>
      <c r="C73" s="1101"/>
      <c r="D73" s="1101"/>
      <c r="E73" s="1108"/>
      <c r="F73" s="1108"/>
      <c r="G73" s="1115"/>
      <c r="H73" s="1118"/>
      <c r="I73" s="1101"/>
      <c r="J73" s="974"/>
      <c r="K73" s="1108"/>
      <c r="L73" s="1108"/>
      <c r="M73" s="1108"/>
      <c r="N73" s="1108"/>
      <c r="O73" s="1111"/>
      <c r="P73" s="877">
        <v>0</v>
      </c>
      <c r="Q73" s="883"/>
      <c r="R73" s="877">
        <v>0</v>
      </c>
    </row>
    <row r="74" spans="1:18" ht="15">
      <c r="A74" s="770" t="s">
        <v>250</v>
      </c>
      <c r="B74" s="769">
        <f>'lokale energieproductie'!B6</f>
        <v>1996.6136944324153</v>
      </c>
      <c r="C74" s="1101"/>
      <c r="D74" s="1101"/>
      <c r="E74" s="1108"/>
      <c r="F74" s="1108"/>
      <c r="G74" s="1115"/>
      <c r="H74" s="1118"/>
      <c r="I74" s="1101"/>
      <c r="J74" s="974"/>
      <c r="K74" s="1108"/>
      <c r="L74" s="1108"/>
      <c r="M74" s="1108"/>
      <c r="N74" s="1108"/>
      <c r="O74" s="1111"/>
      <c r="P74" s="877">
        <v>0</v>
      </c>
      <c r="Q74" s="883"/>
      <c r="R74" s="877">
        <v>0</v>
      </c>
    </row>
    <row r="75" spans="1:18" ht="15.75" thickBot="1">
      <c r="A75" s="770" t="s">
        <v>737</v>
      </c>
      <c r="B75" s="769">
        <f>'lokale energieproductie'!B7</f>
        <v>0</v>
      </c>
      <c r="C75" s="1102"/>
      <c r="D75" s="1102"/>
      <c r="E75" s="1109"/>
      <c r="F75" s="1109"/>
      <c r="G75" s="1116"/>
      <c r="H75" s="1119"/>
      <c r="I75" s="1102"/>
      <c r="J75" s="993"/>
      <c r="K75" s="1109"/>
      <c r="L75" s="1109"/>
      <c r="M75" s="1109"/>
      <c r="N75" s="1109"/>
      <c r="O75" s="1112"/>
      <c r="P75" s="877">
        <v>0</v>
      </c>
      <c r="Q75" s="1000"/>
      <c r="R75" s="877">
        <v>0</v>
      </c>
    </row>
    <row r="76" spans="1:18" ht="15">
      <c r="A76" s="771" t="s">
        <v>251</v>
      </c>
      <c r="B76" s="769">
        <f>'lokale energieproductie'!B8*IFERROR(SUM(I76:O76)/SUM(D76:O76),0)</f>
        <v>0</v>
      </c>
      <c r="C76" s="769">
        <f>'lokale energieproductie'!B8*IFERROR(SUM(D76:H76)/SUM(D76:O76),0)</f>
        <v>0</v>
      </c>
      <c r="D76" s="991">
        <f>'lokale energieproductie'!C8</f>
        <v>0</v>
      </c>
      <c r="E76" s="992">
        <f>'lokale energieproductie'!D8</f>
        <v>0</v>
      </c>
      <c r="F76" s="992">
        <f>'lokale energieproductie'!E8</f>
        <v>0</v>
      </c>
      <c r="G76" s="992">
        <f>'lokale energieproductie'!F8</f>
        <v>0</v>
      </c>
      <c r="H76" s="992">
        <f>'lokale energieproductie'!G8</f>
        <v>0</v>
      </c>
      <c r="I76" s="992">
        <f>'lokale energieproductie'!I8</f>
        <v>0</v>
      </c>
      <c r="J76" s="992">
        <f>'lokale energieproductie'!J8</f>
        <v>0</v>
      </c>
      <c r="K76" s="992">
        <f>'lokale energieproductie'!M8</f>
        <v>0</v>
      </c>
      <c r="L76" s="992">
        <f>'lokale energieproductie'!N8</f>
        <v>0</v>
      </c>
      <c r="M76" s="992">
        <f>'lokale energieproductie'!H8</f>
        <v>0</v>
      </c>
      <c r="N76" s="992">
        <f>'lokale energieproductie'!K8</f>
        <v>0</v>
      </c>
      <c r="O76" s="1002">
        <f>'lokale energieproductie'!L8</f>
        <v>0</v>
      </c>
      <c r="P76" s="1001"/>
      <c r="Q76" s="878">
        <f>D76*EF_CO2_aardgas+E76*EF_VLgas_CO2+'SEAP template'!F76*EF_stookolie_CO2+EF_bruinkool_CO2*'SEAP template'!G76+'SEAP template'!H76*EF_steenkool_CO2+'EF brandstof'!M4*'SEAP template'!M76+'SEAP template'!O76*EF_anderfossiel_CO2</f>
        <v>0</v>
      </c>
      <c r="R76" s="877">
        <v>0</v>
      </c>
    </row>
    <row r="77" spans="1:18" ht="15.75" thickBot="1">
      <c r="A77" s="772" t="s">
        <v>802</v>
      </c>
      <c r="B77" s="769">
        <f>'lokale energieproductie'!B9*IFERROR(SUM(I77:O77)/SUM(D77:O77),0)</f>
        <v>0</v>
      </c>
      <c r="C77" s="769">
        <f>'lokale energieproductie'!B9*IFERROR(SUM(D77:H77)/SUM(D77:O77),0)</f>
        <v>0</v>
      </c>
      <c r="D77" s="796">
        <f>'lokale energieproductie'!C9</f>
        <v>0</v>
      </c>
      <c r="E77" s="797">
        <f>'lokale energieproductie'!D9</f>
        <v>0</v>
      </c>
      <c r="F77" s="797">
        <f>'lokale energieproductie'!E9</f>
        <v>0</v>
      </c>
      <c r="G77" s="797">
        <f>'lokale energieproductie'!F9</f>
        <v>0</v>
      </c>
      <c r="H77" s="797">
        <f>'lokale energieproductie'!G9</f>
        <v>0</v>
      </c>
      <c r="I77" s="992">
        <f>'lokale energieproductie'!I9</f>
        <v>0</v>
      </c>
      <c r="J77" s="992">
        <f>'lokale energieproductie'!J9</f>
        <v>0</v>
      </c>
      <c r="K77" s="992">
        <f>'lokale energieproductie'!M9</f>
        <v>0</v>
      </c>
      <c r="L77" s="992">
        <f>'lokale energieproductie'!N9</f>
        <v>0</v>
      </c>
      <c r="M77" s="992">
        <f>'lokale energieproductie'!H9</f>
        <v>0</v>
      </c>
      <c r="N77" s="992">
        <f>'lokale energieproductie'!K9</f>
        <v>0</v>
      </c>
      <c r="O77" s="1002">
        <f>'lokale energieproductie'!L9</f>
        <v>0</v>
      </c>
      <c r="P77" s="870"/>
      <c r="Q77" s="878">
        <f>D77*EF_CO2_aardgas+E77*EF_VLgas_CO2+'SEAP template'!F77*EF_stookolie_CO2+EF_bruinkool_CO2*'SEAP template'!G77+'SEAP template'!H77*EF_steenkool_CO2+'EF brandstof'!M4*'SEAP template'!M77+'SEAP template'!O77*EF_anderfossiel_CO2</f>
        <v>0</v>
      </c>
      <c r="R77" s="880">
        <v>0</v>
      </c>
    </row>
    <row r="78" spans="1:18" ht="16.5" thickTop="1" thickBot="1">
      <c r="A78" s="773" t="s">
        <v>115</v>
      </c>
      <c r="B78" s="774">
        <f>SUM(B72:B77)</f>
        <v>1996.6136944324153</v>
      </c>
      <c r="C78" s="774">
        <f>SUM(C72:C77)</f>
        <v>0</v>
      </c>
      <c r="D78" s="775">
        <f t="shared" ref="D78:H78" si="10">SUM(D76:D77)</f>
        <v>0</v>
      </c>
      <c r="E78" s="775">
        <f t="shared" si="10"/>
        <v>0</v>
      </c>
      <c r="F78" s="775">
        <f t="shared" si="10"/>
        <v>0</v>
      </c>
      <c r="G78" s="775">
        <f t="shared" si="10"/>
        <v>0</v>
      </c>
      <c r="H78" s="775">
        <f t="shared" si="10"/>
        <v>0</v>
      </c>
      <c r="I78" s="775">
        <f>SUM(I76:I77)</f>
        <v>0</v>
      </c>
      <c r="J78" s="775">
        <f>SUM(J76:J77)</f>
        <v>0</v>
      </c>
      <c r="K78" s="775">
        <f t="shared" ref="K78:L78" si="11">SUM(K76:K77)</f>
        <v>0</v>
      </c>
      <c r="L78" s="775">
        <f t="shared" si="11"/>
        <v>0</v>
      </c>
      <c r="M78" s="775">
        <f>SUM(M76:M77)</f>
        <v>0</v>
      </c>
      <c r="N78" s="775">
        <f>SUM(N76:N77)</f>
        <v>0</v>
      </c>
      <c r="O78" s="885">
        <f>SUM(O76:O77)</f>
        <v>0</v>
      </c>
      <c r="P78" s="776">
        <v>0</v>
      </c>
      <c r="Q78" s="776">
        <f>SUM(Q76:Q77)</f>
        <v>0</v>
      </c>
      <c r="R78" s="776">
        <f>SUM(R72:R77)</f>
        <v>0</v>
      </c>
    </row>
    <row r="79" spans="1:18" ht="15.75" thickTop="1">
      <c r="A79" s="777"/>
      <c r="B79" s="832"/>
      <c r="C79" s="778"/>
      <c r="D79" s="778"/>
      <c r="E79" s="734"/>
      <c r="F79" s="733"/>
      <c r="G79" s="733"/>
      <c r="H79" s="733"/>
      <c r="I79" s="779"/>
      <c r="J79" s="733"/>
      <c r="K79" s="733"/>
      <c r="L79" s="733"/>
      <c r="M79" s="733"/>
      <c r="N79" s="780"/>
      <c r="O79" s="733"/>
      <c r="P79" s="733"/>
      <c r="Q79" s="733"/>
      <c r="R79" s="733"/>
    </row>
    <row r="80" spans="1:18" ht="15">
      <c r="A80" s="757"/>
      <c r="B80" s="821"/>
      <c r="C80" s="778"/>
      <c r="D80" s="778"/>
      <c r="E80" s="733"/>
      <c r="F80" s="733"/>
      <c r="G80" s="733"/>
      <c r="H80" s="733"/>
      <c r="I80" s="733"/>
      <c r="J80" s="733"/>
      <c r="K80" s="733"/>
      <c r="L80" s="733"/>
      <c r="M80" s="733"/>
      <c r="N80" s="733"/>
      <c r="O80" s="733"/>
      <c r="P80" s="733"/>
      <c r="Q80" s="733"/>
      <c r="R80" s="733"/>
    </row>
    <row r="81" spans="1:19" ht="18.75">
      <c r="A81" s="781" t="s">
        <v>353</v>
      </c>
      <c r="B81" s="781"/>
      <c r="C81" s="782"/>
      <c r="D81" s="763"/>
      <c r="E81" s="733"/>
      <c r="F81" s="733"/>
      <c r="G81" s="733"/>
      <c r="H81" s="733"/>
      <c r="I81" s="733"/>
      <c r="J81" s="733"/>
      <c r="K81" s="733"/>
      <c r="L81" s="733"/>
      <c r="M81" s="733"/>
      <c r="N81" s="733"/>
      <c r="O81" s="733"/>
      <c r="P81" s="733"/>
      <c r="Q81" s="733"/>
      <c r="R81" s="733"/>
    </row>
    <row r="82" spans="1:19">
      <c r="A82" s="1137"/>
      <c r="B82" s="1137"/>
      <c r="C82" s="1137"/>
      <c r="D82" s="1137"/>
      <c r="E82" s="1137"/>
      <c r="F82" s="1137"/>
      <c r="G82" s="1137"/>
      <c r="H82" s="1137"/>
      <c r="I82" s="1137"/>
      <c r="J82" s="1137"/>
      <c r="K82" s="1137"/>
      <c r="L82" s="1137"/>
      <c r="M82" s="1137"/>
      <c r="N82" s="1137"/>
      <c r="O82" s="1137"/>
      <c r="P82" s="1137"/>
      <c r="Q82" s="765"/>
      <c r="R82" s="765"/>
    </row>
    <row r="83" spans="1:19" ht="15.75" thickBot="1">
      <c r="A83" s="736"/>
      <c r="B83" s="736"/>
      <c r="C83" s="737"/>
      <c r="D83" s="737"/>
      <c r="E83" s="737"/>
      <c r="F83" s="737"/>
      <c r="G83" s="737"/>
      <c r="H83" s="737"/>
      <c r="I83" s="737"/>
      <c r="J83" s="737"/>
      <c r="K83" s="737"/>
      <c r="L83" s="737"/>
      <c r="M83" s="737"/>
      <c r="N83" s="737"/>
      <c r="O83" s="737"/>
      <c r="P83" s="737"/>
      <c r="Q83" s="737"/>
      <c r="R83" s="737"/>
    </row>
    <row r="84" spans="1:19" ht="48.2" customHeight="1" thickTop="1" thickBot="1">
      <c r="A84" s="1138" t="s">
        <v>252</v>
      </c>
      <c r="B84" s="1124" t="s">
        <v>354</v>
      </c>
      <c r="C84" s="1146"/>
      <c r="D84" s="1134" t="s">
        <v>355</v>
      </c>
      <c r="E84" s="1135"/>
      <c r="F84" s="1135"/>
      <c r="G84" s="1135"/>
      <c r="H84" s="1135"/>
      <c r="I84" s="1135"/>
      <c r="J84" s="1135"/>
      <c r="K84" s="1135"/>
      <c r="L84" s="1135"/>
      <c r="M84" s="1135"/>
      <c r="N84" s="1135"/>
      <c r="O84" s="1136"/>
      <c r="P84" s="996" t="s">
        <v>636</v>
      </c>
      <c r="Q84" s="1124" t="s">
        <v>635</v>
      </c>
      <c r="R84" s="1125"/>
    </row>
    <row r="85" spans="1:19" ht="16.5" customHeight="1" thickTop="1" thickBot="1">
      <c r="A85" s="1139"/>
      <c r="B85" s="1147"/>
      <c r="C85" s="1148"/>
      <c r="D85" s="1141" t="s">
        <v>196</v>
      </c>
      <c r="E85" s="1142"/>
      <c r="F85" s="1142"/>
      <c r="G85" s="1142"/>
      <c r="H85" s="1143"/>
      <c r="I85" s="1132" t="s">
        <v>245</v>
      </c>
      <c r="J85" s="1128" t="s">
        <v>233</v>
      </c>
      <c r="K85" s="1098" t="s">
        <v>208</v>
      </c>
      <c r="L85" s="1098" t="s">
        <v>209</v>
      </c>
      <c r="M85" s="1144" t="s">
        <v>244</v>
      </c>
      <c r="N85" s="1098" t="s">
        <v>256</v>
      </c>
      <c r="O85" s="1130" t="s">
        <v>126</v>
      </c>
      <c r="P85" s="997"/>
      <c r="Q85" s="881"/>
      <c r="R85" s="882"/>
    </row>
    <row r="86" spans="1:19" ht="110.25" customHeight="1" thickTop="1" thickBot="1">
      <c r="A86" s="1140"/>
      <c r="B86" s="869" t="s">
        <v>634</v>
      </c>
      <c r="C86" s="869" t="s">
        <v>738</v>
      </c>
      <c r="D86" s="783" t="s">
        <v>198</v>
      </c>
      <c r="E86" s="767" t="s">
        <v>199</v>
      </c>
      <c r="F86" s="784" t="s">
        <v>200</v>
      </c>
      <c r="G86" s="767" t="s">
        <v>202</v>
      </c>
      <c r="H86" s="785" t="s">
        <v>203</v>
      </c>
      <c r="I86" s="1133"/>
      <c r="J86" s="1129"/>
      <c r="K86" s="1099"/>
      <c r="L86" s="1099"/>
      <c r="M86" s="1145"/>
      <c r="N86" s="1099"/>
      <c r="O86" s="1131"/>
      <c r="P86" s="998"/>
      <c r="Q86" s="822" t="s">
        <v>637</v>
      </c>
      <c r="R86" s="820" t="s">
        <v>638</v>
      </c>
    </row>
    <row r="87" spans="1:19" ht="15.75" thickTop="1">
      <c r="A87" s="786" t="s">
        <v>251</v>
      </c>
      <c r="B87" s="787">
        <f>'lokale energieproductie'!B17*IFERROR(SUM(I87:O87)/SUM(D87:O87),0)</f>
        <v>0</v>
      </c>
      <c r="C87" s="787">
        <f>'lokale energieproductie'!B17*IFERROR(SUM(D87:H87)/SUM(D87:O87),0)</f>
        <v>0</v>
      </c>
      <c r="D87" s="798">
        <f>'lokale energieproductie'!C17</f>
        <v>0</v>
      </c>
      <c r="E87" s="798">
        <f>'lokale energieproductie'!D17</f>
        <v>0</v>
      </c>
      <c r="F87" s="798">
        <f>'lokale energieproductie'!E17</f>
        <v>0</v>
      </c>
      <c r="G87" s="798">
        <f>'lokale energieproductie'!F17</f>
        <v>0</v>
      </c>
      <c r="H87" s="798">
        <f>'lokale energieproductie'!G17</f>
        <v>0</v>
      </c>
      <c r="I87" s="798">
        <f>'lokale energieproductie'!I17</f>
        <v>0</v>
      </c>
      <c r="J87" s="798">
        <f>'lokale energieproductie'!J17</f>
        <v>0</v>
      </c>
      <c r="K87" s="798">
        <f>'lokale energieproductie'!M17</f>
        <v>0</v>
      </c>
      <c r="L87" s="798">
        <f>'lokale energieproductie'!N17</f>
        <v>0</v>
      </c>
      <c r="M87" s="798">
        <f>'lokale energieproductie'!H17</f>
        <v>0</v>
      </c>
      <c r="N87" s="798">
        <f>'lokale energieproductie'!K17</f>
        <v>0</v>
      </c>
      <c r="O87" s="798">
        <f>'lokale energieproductie'!L17</f>
        <v>0</v>
      </c>
      <c r="P87" s="1093"/>
      <c r="Q87" s="884">
        <f>D87*EF_CO2_aardgas+E87*EF_VLgas_CO2+'SEAP template'!F87*EF_stookolie_CO2+EF_bruinkool_CO2*'SEAP template'!G87+'SEAP template'!H87*EF_steenkool_CO2+'EF brandstof'!M4*'SEAP template'!M87+'SEAP template'!O87*EF_anderfossiel_CO2</f>
        <v>0</v>
      </c>
      <c r="R87" s="871">
        <v>0</v>
      </c>
    </row>
    <row r="88" spans="1:19" ht="15">
      <c r="A88" s="788" t="s">
        <v>257</v>
      </c>
      <c r="B88" s="787">
        <f>'lokale energieproductie'!B18*IFERROR(SUM(I88:O88)/SUM(D88:O88),0)</f>
        <v>0</v>
      </c>
      <c r="C88" s="787">
        <f>'lokale energieproductie'!B18*IFERROR(SUM(D88:H88)/SUM(D88:O88),0)</f>
        <v>0</v>
      </c>
      <c r="D88" s="798">
        <f>'lokale energieproductie'!C18</f>
        <v>0</v>
      </c>
      <c r="E88" s="798">
        <f>'lokale energieproductie'!D18</f>
        <v>0</v>
      </c>
      <c r="F88" s="798">
        <f>'lokale energieproductie'!E18</f>
        <v>0</v>
      </c>
      <c r="G88" s="798">
        <f>'lokale energieproductie'!F18</f>
        <v>0</v>
      </c>
      <c r="H88" s="798">
        <f>'lokale energieproductie'!G18</f>
        <v>0</v>
      </c>
      <c r="I88" s="798">
        <f>'lokale energieproductie'!I18</f>
        <v>0</v>
      </c>
      <c r="J88" s="798">
        <f>'lokale energieproductie'!J18</f>
        <v>0</v>
      </c>
      <c r="K88" s="798">
        <f>'lokale energieproductie'!M18</f>
        <v>0</v>
      </c>
      <c r="L88" s="798">
        <f>'lokale energieproductie'!N18</f>
        <v>0</v>
      </c>
      <c r="M88" s="798">
        <f>'lokale energieproductie'!H18</f>
        <v>0</v>
      </c>
      <c r="N88" s="798">
        <f>'lokale energieproductie'!K18</f>
        <v>0</v>
      </c>
      <c r="O88" s="798">
        <f>'lokale energieproductie'!L18</f>
        <v>0</v>
      </c>
      <c r="P88" s="1094"/>
      <c r="Q88" s="878">
        <f>D88*EF_CO2_aardgas+E88*EF_VLgas_CO2+'SEAP template'!F88*EF_stookolie_CO2+EF_bruinkool_CO2*'SEAP template'!G88+'SEAP template'!H88*EF_steenkool_CO2+'EF brandstof'!M4*'SEAP template'!M88+'SEAP template'!O88*EF_anderfossiel_CO2</f>
        <v>0</v>
      </c>
      <c r="R88" s="872">
        <v>0</v>
      </c>
    </row>
    <row r="89" spans="1:19" ht="30" thickBot="1">
      <c r="A89" s="772" t="s">
        <v>352</v>
      </c>
      <c r="B89" s="787">
        <f>'lokale energieproductie'!B19*IFERROR(SUM(I89:O89)/SUM(D89:O89),0)</f>
        <v>0</v>
      </c>
      <c r="C89" s="787">
        <f>'lokale energieproductie'!B19*IFERROR(SUM(D89:H89)/SUM(D89:O89),0)</f>
        <v>0</v>
      </c>
      <c r="D89" s="798">
        <f>'lokale energieproductie'!C19</f>
        <v>0</v>
      </c>
      <c r="E89" s="798">
        <f>'lokale energieproductie'!D19</f>
        <v>0</v>
      </c>
      <c r="F89" s="798">
        <f>'lokale energieproductie'!E19</f>
        <v>0</v>
      </c>
      <c r="G89" s="798">
        <f>'lokale energieproductie'!F19</f>
        <v>0</v>
      </c>
      <c r="H89" s="798">
        <f>'lokale energieproductie'!G19</f>
        <v>0</v>
      </c>
      <c r="I89" s="798">
        <f>'lokale energieproductie'!I19</f>
        <v>0</v>
      </c>
      <c r="J89" s="798">
        <f>'lokale energieproductie'!J19</f>
        <v>0</v>
      </c>
      <c r="K89" s="798">
        <f>'lokale energieproductie'!M19</f>
        <v>0</v>
      </c>
      <c r="L89" s="798">
        <f>'lokale energieproductie'!N19</f>
        <v>0</v>
      </c>
      <c r="M89" s="798">
        <f>'lokale energieproductie'!H19</f>
        <v>0</v>
      </c>
      <c r="N89" s="798">
        <f>'lokale energieproductie'!K19</f>
        <v>0</v>
      </c>
      <c r="O89" s="798">
        <f>'lokale energieproductie'!L19</f>
        <v>0</v>
      </c>
      <c r="P89" s="1095"/>
      <c r="Q89" s="879">
        <f>D89*EF_CO2_aardgas+E89*EF_VLgas_CO2+'SEAP template'!F89*EF_stookolie_CO2+EF_bruinkool_CO2*'SEAP template'!G89+'SEAP template'!H89*EF_steenkool_CO2+'EF brandstof'!M4*'SEAP template'!M89+'SEAP template'!O89*EF_anderfossiel_CO2</f>
        <v>0</v>
      </c>
      <c r="R89" s="873">
        <v>0</v>
      </c>
    </row>
    <row r="90" spans="1:19" ht="16.5" thickTop="1" thickBot="1">
      <c r="A90" s="789" t="s">
        <v>115</v>
      </c>
      <c r="B90" s="774">
        <f>SUM(B87:B89)</f>
        <v>0</v>
      </c>
      <c r="C90" s="774">
        <f>SUM(C87:C89)</f>
        <v>0</v>
      </c>
      <c r="D90" s="774">
        <f t="shared" ref="D90:H90" si="12">SUM(D87:D89)</f>
        <v>0</v>
      </c>
      <c r="E90" s="774">
        <f t="shared" si="12"/>
        <v>0</v>
      </c>
      <c r="F90" s="774">
        <f t="shared" si="12"/>
        <v>0</v>
      </c>
      <c r="G90" s="774">
        <f t="shared" si="12"/>
        <v>0</v>
      </c>
      <c r="H90" s="774">
        <f t="shared" si="12"/>
        <v>0</v>
      </c>
      <c r="I90" s="774">
        <f>SUM(I87:I89)</f>
        <v>0</v>
      </c>
      <c r="J90" s="774">
        <f>SUM(J87:J89)</f>
        <v>0</v>
      </c>
      <c r="K90" s="774">
        <f t="shared" ref="K90:L90" si="13">SUM(K87:K89)</f>
        <v>0</v>
      </c>
      <c r="L90" s="774">
        <f t="shared" si="13"/>
        <v>0</v>
      </c>
      <c r="M90" s="774">
        <f>SUM(M87:M89)</f>
        <v>0</v>
      </c>
      <c r="N90" s="774">
        <f>SUM(N87:N89)</f>
        <v>0</v>
      </c>
      <c r="O90" s="774">
        <f>SUM(O87:O89)</f>
        <v>0</v>
      </c>
      <c r="P90" s="774">
        <v>0</v>
      </c>
      <c r="Q90" s="774">
        <f>SUM(Q87:Q89)</f>
        <v>0</v>
      </c>
      <c r="R90" s="885">
        <f>SUM(R87:R89)</f>
        <v>0</v>
      </c>
    </row>
    <row r="91" spans="1:19" ht="15.75" thickTop="1">
      <c r="A91" s="790"/>
      <c r="B91" s="790"/>
      <c r="C91" s="791"/>
      <c r="D91" s="792"/>
      <c r="E91" s="793"/>
      <c r="F91" s="779"/>
      <c r="G91" s="779"/>
      <c r="H91" s="779"/>
      <c r="I91" s="779"/>
      <c r="J91" s="779"/>
      <c r="K91" s="779"/>
      <c r="L91" s="779"/>
      <c r="M91" s="733"/>
      <c r="Q91" s="779"/>
      <c r="R91" s="733"/>
      <c r="S91" s="764"/>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7" zoomScale="65" zoomScaleNormal="65" workbookViewId="0">
      <selection activeCell="B63" sqref="B63:Z63"/>
    </sheetView>
  </sheetViews>
  <sheetFormatPr defaultColWidth="9.140625" defaultRowHeight="15"/>
  <cols>
    <col min="1" max="1" width="38" style="641" customWidth="1"/>
    <col min="2" max="2" width="27" style="641" customWidth="1"/>
    <col min="3" max="3" width="25.42578125" style="641" customWidth="1"/>
    <col min="4" max="4" width="41.28515625" style="641" customWidth="1"/>
    <col min="5" max="5" width="27.5703125" style="641" customWidth="1"/>
    <col min="6" max="7" width="18" style="641" customWidth="1"/>
    <col min="8" max="8" width="23.42578125" style="641" customWidth="1"/>
    <col min="9" max="9" width="28.5703125" style="641" customWidth="1"/>
    <col min="10" max="10" width="35.28515625" style="641" customWidth="1"/>
    <col min="11" max="11" width="32.7109375" style="641" customWidth="1"/>
    <col min="12" max="14" width="23.85546875" style="641" customWidth="1"/>
    <col min="15" max="15" width="21.140625" style="641" customWidth="1"/>
    <col min="16" max="16" width="17.5703125" style="641" customWidth="1"/>
    <col min="17" max="17" width="22.85546875" style="641" customWidth="1"/>
    <col min="18" max="18" width="19.140625" style="641" customWidth="1"/>
    <col min="19" max="19" width="24.7109375" style="641" customWidth="1"/>
    <col min="20" max="20" width="9.140625" style="641"/>
    <col min="21" max="21" width="21.140625" style="641" customWidth="1"/>
    <col min="22" max="22" width="14.85546875" style="641" customWidth="1"/>
    <col min="23" max="23" width="16.140625" style="641" customWidth="1"/>
    <col min="24" max="24" width="14.7109375" style="641" customWidth="1"/>
    <col min="25" max="26" width="16.140625" style="641" customWidth="1"/>
    <col min="27" max="27" width="17.28515625" style="641" customWidth="1"/>
    <col min="28" max="28" width="16.85546875" style="641" customWidth="1"/>
    <col min="29" max="16384" width="9.140625" style="641"/>
  </cols>
  <sheetData>
    <row r="1" spans="1:21" s="560" customFormat="1" ht="17.45" customHeight="1" thickTop="1" thickBot="1">
      <c r="A1" s="1268" t="s">
        <v>240</v>
      </c>
      <c r="B1" s="1256" t="s">
        <v>241</v>
      </c>
      <c r="C1" s="1290" t="s">
        <v>242</v>
      </c>
      <c r="D1" s="1291"/>
      <c r="E1" s="1291"/>
      <c r="F1" s="1291"/>
      <c r="G1" s="1291"/>
      <c r="H1" s="1291"/>
      <c r="I1" s="1291"/>
      <c r="J1" s="1291"/>
      <c r="K1" s="1291"/>
      <c r="L1" s="1291"/>
      <c r="M1" s="1291"/>
      <c r="N1" s="1292"/>
      <c r="O1" s="1257" t="s">
        <v>243</v>
      </c>
      <c r="P1" s="1256" t="s">
        <v>541</v>
      </c>
      <c r="Q1" s="1257"/>
      <c r="S1" s="1255"/>
      <c r="T1" s="1255"/>
      <c r="U1" s="1255"/>
    </row>
    <row r="2" spans="1:21" s="560" customFormat="1" ht="15.75" thickBot="1">
      <c r="A2" s="1269"/>
      <c r="B2" s="1269"/>
      <c r="C2" s="1286" t="s">
        <v>196</v>
      </c>
      <c r="D2" s="1287"/>
      <c r="E2" s="1287"/>
      <c r="F2" s="1287"/>
      <c r="G2" s="1288"/>
      <c r="H2" s="1289" t="s">
        <v>244</v>
      </c>
      <c r="I2" s="1284" t="s">
        <v>245</v>
      </c>
      <c r="J2" s="1284" t="s">
        <v>233</v>
      </c>
      <c r="K2" s="1284" t="s">
        <v>246</v>
      </c>
      <c r="L2" s="1284" t="s">
        <v>126</v>
      </c>
      <c r="M2" s="1284" t="s">
        <v>739</v>
      </c>
      <c r="N2" s="1279" t="s">
        <v>740</v>
      </c>
      <c r="O2" s="1259"/>
      <c r="P2" s="1258"/>
      <c r="Q2" s="1259"/>
      <c r="S2" s="1255"/>
      <c r="T2" s="1255"/>
      <c r="U2" s="1255"/>
    </row>
    <row r="3" spans="1:21" s="560" customFormat="1" ht="53.45" customHeight="1" thickBot="1">
      <c r="A3" s="1270"/>
      <c r="B3" s="1260"/>
      <c r="C3" s="561" t="s">
        <v>198</v>
      </c>
      <c r="D3" s="562" t="s">
        <v>199</v>
      </c>
      <c r="E3" s="563" t="s">
        <v>200</v>
      </c>
      <c r="F3" s="564" t="s">
        <v>202</v>
      </c>
      <c r="G3" s="565" t="s">
        <v>203</v>
      </c>
      <c r="H3" s="1275"/>
      <c r="I3" s="1285"/>
      <c r="J3" s="1285"/>
      <c r="K3" s="1285"/>
      <c r="L3" s="1285"/>
      <c r="M3" s="1285"/>
      <c r="N3" s="1280"/>
      <c r="O3" s="1261"/>
      <c r="P3" s="1260"/>
      <c r="Q3" s="1261"/>
      <c r="S3" s="1255"/>
      <c r="T3" s="1255"/>
      <c r="U3" s="1255"/>
    </row>
    <row r="4" spans="1:21" s="560" customFormat="1" ht="15.75" thickTop="1">
      <c r="A4" s="566" t="s">
        <v>248</v>
      </c>
      <c r="B4" s="567">
        <f>IF(ISERROR(kWh_wind_land),0,kWh_wind_land)</f>
        <v>0</v>
      </c>
      <c r="C4" s="1296"/>
      <c r="D4" s="1281"/>
      <c r="E4" s="1281"/>
      <c r="F4" s="1299"/>
      <c r="G4" s="1302"/>
      <c r="H4" s="1293"/>
      <c r="I4" s="1281"/>
      <c r="J4" s="1281"/>
      <c r="K4" s="1281"/>
      <c r="L4" s="1281"/>
      <c r="M4" s="1281"/>
      <c r="N4" s="994"/>
      <c r="O4" s="568"/>
      <c r="P4" s="1262"/>
      <c r="Q4" s="1263"/>
      <c r="S4" s="569"/>
      <c r="T4" s="1252"/>
      <c r="U4" s="1252"/>
    </row>
    <row r="5" spans="1:21" s="560" customFormat="1">
      <c r="A5" s="570" t="s">
        <v>249</v>
      </c>
      <c r="B5" s="567">
        <f>IF(ISERROR(kWh_waterkracht),0,kWh_waterkracht)</f>
        <v>0</v>
      </c>
      <c r="C5" s="1297"/>
      <c r="D5" s="1282"/>
      <c r="E5" s="1282"/>
      <c r="F5" s="1300"/>
      <c r="G5" s="1303"/>
      <c r="H5" s="1294"/>
      <c r="I5" s="1282"/>
      <c r="J5" s="1282"/>
      <c r="K5" s="1282"/>
      <c r="L5" s="1282"/>
      <c r="M5" s="1282"/>
      <c r="N5" s="994"/>
      <c r="O5" s="571"/>
      <c r="P5" s="1264"/>
      <c r="Q5" s="1265"/>
      <c r="S5" s="569"/>
      <c r="T5" s="1252"/>
      <c r="U5" s="1252"/>
    </row>
    <row r="6" spans="1:21" s="560" customFormat="1">
      <c r="A6" s="570" t="s">
        <v>250</v>
      </c>
      <c r="B6" s="567">
        <f>IF(ISERROR((kWh_PV_kleiner_dan_10kW+kWh_PV_groter_dan_10kW)),0,(kWh_PV_kleiner_dan_10kW+kWh_PV_groter_dan_10kW))</f>
        <v>1996.6136944324153</v>
      </c>
      <c r="C6" s="1297"/>
      <c r="D6" s="1282"/>
      <c r="E6" s="1282"/>
      <c r="F6" s="1300"/>
      <c r="G6" s="1303"/>
      <c r="H6" s="1294"/>
      <c r="I6" s="1282"/>
      <c r="J6" s="1282"/>
      <c r="K6" s="1282"/>
      <c r="L6" s="1282"/>
      <c r="M6" s="1282"/>
      <c r="N6" s="994"/>
      <c r="O6" s="571"/>
      <c r="P6" s="1264"/>
      <c r="Q6" s="1265"/>
      <c r="S6" s="569"/>
      <c r="T6" s="1252"/>
      <c r="U6" s="1252"/>
    </row>
    <row r="7" spans="1:21" s="560" customFormat="1">
      <c r="A7" s="570" t="s">
        <v>737</v>
      </c>
      <c r="B7" s="567"/>
      <c r="C7" s="1298"/>
      <c r="D7" s="1283"/>
      <c r="E7" s="1283"/>
      <c r="F7" s="1301"/>
      <c r="G7" s="1304"/>
      <c r="H7" s="1295"/>
      <c r="I7" s="1283"/>
      <c r="J7" s="1283"/>
      <c r="K7" s="1283"/>
      <c r="L7" s="1283"/>
      <c r="M7" s="1283"/>
      <c r="N7" s="995"/>
      <c r="O7" s="571"/>
      <c r="P7" s="979"/>
      <c r="Q7" s="980"/>
      <c r="S7" s="978"/>
      <c r="T7" s="978"/>
      <c r="U7" s="978"/>
    </row>
    <row r="8" spans="1:21" s="560" customFormat="1">
      <c r="A8" s="572" t="s">
        <v>251</v>
      </c>
      <c r="B8" s="573">
        <f>N58</f>
        <v>0</v>
      </c>
      <c r="C8" s="574">
        <f>B101</f>
        <v>0</v>
      </c>
      <c r="D8" s="575"/>
      <c r="E8" s="575">
        <f>E101</f>
        <v>0</v>
      </c>
      <c r="F8" s="576"/>
      <c r="G8" s="577"/>
      <c r="H8" s="575">
        <f>I101</f>
        <v>0</v>
      </c>
      <c r="I8" s="575">
        <f>G101+F101</f>
        <v>0</v>
      </c>
      <c r="J8" s="575">
        <f>H101+D101+C101</f>
        <v>0</v>
      </c>
      <c r="K8" s="575"/>
      <c r="L8" s="575"/>
      <c r="M8" s="575"/>
      <c r="N8" s="578"/>
      <c r="O8" s="579">
        <f>C8*$C$12+D8*$D$12+E8*$E$12+F8*$F$12+G8*$G$12+H8*$H$12+I8*$I$12+J8*$J$12</f>
        <v>0</v>
      </c>
      <c r="P8" s="1264"/>
      <c r="Q8" s="1265"/>
      <c r="S8" s="569"/>
      <c r="T8" s="1252"/>
      <c r="U8" s="1252"/>
    </row>
    <row r="9" spans="1:21" s="560" customFormat="1" ht="17.45" customHeight="1" thickBot="1">
      <c r="A9" s="580" t="s">
        <v>247</v>
      </c>
      <c r="B9" s="581">
        <f>N89+'Eigen informatie GS &amp; warmtenet'!B12</f>
        <v>0</v>
      </c>
      <c r="C9" s="58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8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8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8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8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8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8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8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5"/>
      <c r="N9" s="1003"/>
      <c r="O9" s="579">
        <f>C9*$C$12+D9*$D$12+E9*$E$12+F9*$F$12+G9*$G$12+H9*$H$12+I9*$I$12+J9*$J$12</f>
        <v>0</v>
      </c>
      <c r="P9" s="1266"/>
      <c r="Q9" s="1267"/>
      <c r="R9" s="586"/>
      <c r="S9" s="569"/>
      <c r="T9" s="1252"/>
      <c r="U9" s="1252"/>
    </row>
    <row r="10" spans="1:21" s="560" customFormat="1" ht="16.5" thickTop="1" thickBot="1">
      <c r="A10" s="587" t="s">
        <v>115</v>
      </c>
      <c r="B10" s="588">
        <f>SUM(B4:B9)</f>
        <v>1996.6136944324153</v>
      </c>
      <c r="C10" s="589">
        <f t="shared" ref="C10:L10" si="0">SUM(C8:C9)</f>
        <v>0</v>
      </c>
      <c r="D10" s="589">
        <f t="shared" si="0"/>
        <v>0</v>
      </c>
      <c r="E10" s="589">
        <f t="shared" si="0"/>
        <v>0</v>
      </c>
      <c r="F10" s="589">
        <f t="shared" si="0"/>
        <v>0</v>
      </c>
      <c r="G10" s="589">
        <f t="shared" si="0"/>
        <v>0</v>
      </c>
      <c r="H10" s="589">
        <f t="shared" si="0"/>
        <v>0</v>
      </c>
      <c r="I10" s="589">
        <f t="shared" si="0"/>
        <v>0</v>
      </c>
      <c r="J10" s="589">
        <f t="shared" si="0"/>
        <v>0</v>
      </c>
      <c r="K10" s="589">
        <f t="shared" si="0"/>
        <v>0</v>
      </c>
      <c r="L10" s="589">
        <f t="shared" si="0"/>
        <v>0</v>
      </c>
      <c r="M10" s="1004"/>
      <c r="N10" s="1004"/>
      <c r="O10" s="590">
        <f>SUM(O4:O9)</f>
        <v>0</v>
      </c>
      <c r="P10" s="591"/>
      <c r="R10" s="592"/>
      <c r="S10" s="569"/>
      <c r="T10" s="592"/>
      <c r="U10" s="592"/>
    </row>
    <row r="11" spans="1:21" s="595" customFormat="1" ht="15.75" thickTop="1">
      <c r="A11" s="593"/>
      <c r="B11" s="594"/>
      <c r="C11" s="594"/>
      <c r="D11" s="594"/>
      <c r="E11" s="594"/>
      <c r="F11" s="594"/>
      <c r="G11" s="594"/>
      <c r="H11" s="594"/>
      <c r="I11" s="594"/>
      <c r="J11" s="594"/>
      <c r="K11" s="594"/>
      <c r="L11" s="594"/>
      <c r="M11" s="594"/>
      <c r="N11" s="594"/>
      <c r="P11" s="594"/>
      <c r="R11" s="594"/>
    </row>
    <row r="12" spans="1:21" s="595" customFormat="1">
      <c r="A12" s="596" t="s">
        <v>289</v>
      </c>
      <c r="B12" s="597"/>
      <c r="C12" s="597">
        <f>EF_CO2_aardgas</f>
        <v>0.20200000000000001</v>
      </c>
      <c r="D12" s="597">
        <f>EF_VLgas_CO2</f>
        <v>0.22700000000000001</v>
      </c>
      <c r="E12" s="597">
        <f>EF_stookolie_CO2</f>
        <v>0.26700000000000002</v>
      </c>
      <c r="F12" s="597">
        <f>EF_bruinkool_CO2</f>
        <v>0.35099999999999998</v>
      </c>
      <c r="G12" s="597">
        <f>EF_steenkool_CO2</f>
        <v>0.35399999999999998</v>
      </c>
      <c r="H12" s="597">
        <f>'EF brandstof'!M4</f>
        <v>0.33</v>
      </c>
      <c r="I12" s="597">
        <f>'EF brandstof'!J4</f>
        <v>0</v>
      </c>
      <c r="J12" s="597">
        <f>'EF brandstof'!L4</f>
        <v>0</v>
      </c>
      <c r="K12" s="597">
        <f>'EF brandstof'!L4</f>
        <v>0</v>
      </c>
      <c r="L12" s="597"/>
      <c r="M12" s="597"/>
      <c r="N12" s="597"/>
      <c r="P12" s="598"/>
      <c r="Q12" s="598"/>
      <c r="R12" s="598"/>
    </row>
    <row r="13" spans="1:21" s="560" customFormat="1" ht="15.75" thickBot="1">
      <c r="A13" s="599"/>
      <c r="B13" s="598"/>
      <c r="C13" s="598"/>
      <c r="D13" s="598"/>
      <c r="E13" s="598"/>
      <c r="F13" s="598"/>
      <c r="G13" s="598"/>
      <c r="H13" s="598"/>
      <c r="I13" s="598"/>
      <c r="J13" s="598"/>
      <c r="K13" s="598"/>
      <c r="L13" s="598"/>
      <c r="M13" s="598"/>
      <c r="N13" s="598"/>
      <c r="O13" s="598"/>
      <c r="P13" s="598"/>
      <c r="Q13" s="598"/>
      <c r="R13" s="598"/>
    </row>
    <row r="14" spans="1:21" s="560" customFormat="1" ht="17.25" thickTop="1" thickBot="1">
      <c r="A14" s="1268" t="s">
        <v>252</v>
      </c>
      <c r="B14" s="1268" t="s">
        <v>253</v>
      </c>
      <c r="C14" s="1276" t="s">
        <v>254</v>
      </c>
      <c r="D14" s="1277"/>
      <c r="E14" s="1277"/>
      <c r="F14" s="1277"/>
      <c r="G14" s="1277"/>
      <c r="H14" s="1277"/>
      <c r="I14" s="1277"/>
      <c r="J14" s="1277"/>
      <c r="K14" s="1277"/>
      <c r="L14" s="1277"/>
      <c r="M14" s="1277"/>
      <c r="N14" s="1278"/>
      <c r="O14" s="1257" t="s">
        <v>243</v>
      </c>
      <c r="P14" s="1256" t="s">
        <v>255</v>
      </c>
      <c r="Q14" s="1257"/>
      <c r="R14" s="1255"/>
      <c r="S14" s="1255"/>
      <c r="T14" s="1255"/>
    </row>
    <row r="15" spans="1:21" s="560" customFormat="1" ht="15.75" customHeight="1" thickBot="1">
      <c r="A15" s="1269"/>
      <c r="B15" s="1269"/>
      <c r="C15" s="1271" t="s">
        <v>196</v>
      </c>
      <c r="D15" s="1272"/>
      <c r="E15" s="1272"/>
      <c r="F15" s="1272"/>
      <c r="G15" s="1273"/>
      <c r="H15" s="1274" t="s">
        <v>244</v>
      </c>
      <c r="I15" s="1274" t="s">
        <v>245</v>
      </c>
      <c r="J15" s="1274" t="s">
        <v>233</v>
      </c>
      <c r="K15" s="1274" t="s">
        <v>256</v>
      </c>
      <c r="L15" s="1274" t="s">
        <v>126</v>
      </c>
      <c r="M15" s="1274" t="s">
        <v>739</v>
      </c>
      <c r="N15" s="1279" t="s">
        <v>740</v>
      </c>
      <c r="O15" s="1259"/>
      <c r="P15" s="1258"/>
      <c r="Q15" s="1259"/>
      <c r="R15" s="1255"/>
      <c r="S15" s="1255"/>
      <c r="T15" s="1255"/>
    </row>
    <row r="16" spans="1:21" s="560" customFormat="1" ht="40.700000000000003" customHeight="1" thickBot="1">
      <c r="A16" s="1270"/>
      <c r="B16" s="1270"/>
      <c r="C16" s="600" t="s">
        <v>198</v>
      </c>
      <c r="D16" s="562" t="s">
        <v>199</v>
      </c>
      <c r="E16" s="601" t="s">
        <v>200</v>
      </c>
      <c r="F16" s="562" t="s">
        <v>202</v>
      </c>
      <c r="G16" s="602" t="s">
        <v>203</v>
      </c>
      <c r="H16" s="1275"/>
      <c r="I16" s="1275"/>
      <c r="J16" s="1275"/>
      <c r="K16" s="1275"/>
      <c r="L16" s="1275"/>
      <c r="M16" s="1275"/>
      <c r="N16" s="1280"/>
      <c r="O16" s="1261"/>
      <c r="P16" s="1260"/>
      <c r="Q16" s="1261"/>
      <c r="R16" s="1255"/>
      <c r="S16" s="1255"/>
      <c r="T16" s="1255"/>
    </row>
    <row r="17" spans="1:26" s="560" customFormat="1" ht="15.75" thickTop="1">
      <c r="A17" s="603" t="s">
        <v>251</v>
      </c>
      <c r="B17" s="604">
        <f>O58</f>
        <v>0</v>
      </c>
      <c r="C17" s="605">
        <f>B102</f>
        <v>0</v>
      </c>
      <c r="D17" s="606"/>
      <c r="E17" s="606">
        <f>E102</f>
        <v>0</v>
      </c>
      <c r="F17" s="607"/>
      <c r="G17" s="608"/>
      <c r="H17" s="605">
        <f>I102</f>
        <v>0</v>
      </c>
      <c r="I17" s="606">
        <f>G102+F102</f>
        <v>0</v>
      </c>
      <c r="J17" s="606">
        <f>H102+D102+C102</f>
        <v>0</v>
      </c>
      <c r="K17" s="606"/>
      <c r="L17" s="606"/>
      <c r="M17" s="606"/>
      <c r="N17" s="1005"/>
      <c r="O17" s="609">
        <f>C17*$C$22+E17*$E$22+H17*$H$22+I17*$I$22+J17*$J$22+D17*$D$22+F17*$F$22+G17*$G$22+K17*$K$22+L17*$L$22</f>
        <v>0</v>
      </c>
      <c r="P17" s="1247"/>
      <c r="Q17" s="1248"/>
      <c r="R17" s="610"/>
      <c r="S17" s="1249"/>
      <c r="T17" s="1249"/>
    </row>
    <row r="18" spans="1:26" s="560" customFormat="1">
      <c r="A18" s="611" t="s">
        <v>257</v>
      </c>
      <c r="B18" s="612">
        <f>'Eigen informatie GS &amp; warmtenet'!B32</f>
        <v>0</v>
      </c>
      <c r="C18" s="575">
        <f>'Eigen informatie GS &amp; warmtenet'!B35</f>
        <v>0</v>
      </c>
      <c r="D18" s="575">
        <f>'Eigen informatie GS &amp; warmtenet'!B36</f>
        <v>0</v>
      </c>
      <c r="E18" s="575">
        <f>'Eigen informatie GS &amp; warmtenet'!B37</f>
        <v>0</v>
      </c>
      <c r="F18" s="575">
        <f>'Eigen informatie GS &amp; warmtenet'!B38</f>
        <v>0</v>
      </c>
      <c r="G18" s="575">
        <f>'Eigen informatie GS &amp; warmtenet'!B39</f>
        <v>0</v>
      </c>
      <c r="H18" s="575">
        <f>'Eigen informatie GS &amp; warmtenet'!B40</f>
        <v>0</v>
      </c>
      <c r="I18" s="575">
        <f>'Eigen informatie GS &amp; warmtenet'!B41</f>
        <v>0</v>
      </c>
      <c r="J18" s="575">
        <f>'Eigen informatie GS &amp; warmtenet'!B42</f>
        <v>0</v>
      </c>
      <c r="K18" s="575">
        <f>'Eigen informatie GS &amp; warmtenet'!B43</f>
        <v>0</v>
      </c>
      <c r="L18" s="575">
        <f>'Eigen informatie GS &amp; warmtenet'!B44</f>
        <v>0</v>
      </c>
      <c r="M18" s="575">
        <f>'Eigen informatie GS &amp; warmtenet'!B45</f>
        <v>0</v>
      </c>
      <c r="N18" s="575">
        <f>'Eigen informatie GS &amp; warmtenet'!B46</f>
        <v>0</v>
      </c>
      <c r="O18" s="609">
        <f>C18*$C$22+E18*$E$22+H18*$H$22+I18*$I$22+J18*$J$22+D18*$D$22+F18*$F$22+G18*$G$22+K18*$K$22+L18*$L$22</f>
        <v>0</v>
      </c>
      <c r="P18" s="1250"/>
      <c r="Q18" s="1251"/>
      <c r="R18" s="569"/>
      <c r="S18" s="1252"/>
      <c r="T18" s="1252"/>
    </row>
    <row r="19" spans="1:26" s="560" customFormat="1" ht="15.75" thickBot="1">
      <c r="A19" s="580" t="s">
        <v>247</v>
      </c>
      <c r="B19" s="612">
        <f>'Eigen informatie GS &amp; warmtenet'!B11</f>
        <v>0</v>
      </c>
      <c r="C19" s="61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61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61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61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61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61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61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61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61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75"/>
      <c r="N19" s="1006"/>
      <c r="O19" s="609">
        <f>C19*$C$22+E19*$E$22+H19*$H$22+I19*$I$22+J19*$J$22+D19*$D$22+F19*$F$22+G19*$G$22+K19*$K$22+L19*$L$22</f>
        <v>0</v>
      </c>
      <c r="P19" s="1253"/>
      <c r="Q19" s="1254"/>
      <c r="R19" s="569"/>
      <c r="S19" s="1252"/>
      <c r="T19" s="1252"/>
    </row>
    <row r="20" spans="1:26" s="560" customFormat="1" ht="16.5" thickTop="1" thickBot="1">
      <c r="A20" s="587" t="s">
        <v>115</v>
      </c>
      <c r="B20" s="588">
        <f>SUM(B17:B19)</f>
        <v>0</v>
      </c>
      <c r="C20" s="588">
        <f>SUM(C17:C19)</f>
        <v>0</v>
      </c>
      <c r="D20" s="588">
        <f t="shared" ref="D20:L20" si="1">SUM(D17:D19)</f>
        <v>0</v>
      </c>
      <c r="E20" s="588">
        <f t="shared" si="1"/>
        <v>0</v>
      </c>
      <c r="F20" s="588">
        <f t="shared" si="1"/>
        <v>0</v>
      </c>
      <c r="G20" s="588">
        <f t="shared" si="1"/>
        <v>0</v>
      </c>
      <c r="H20" s="588">
        <f t="shared" si="1"/>
        <v>0</v>
      </c>
      <c r="I20" s="588">
        <f t="shared" si="1"/>
        <v>0</v>
      </c>
      <c r="J20" s="588">
        <f t="shared" si="1"/>
        <v>0</v>
      </c>
      <c r="K20" s="588">
        <f t="shared" si="1"/>
        <v>0</v>
      </c>
      <c r="L20" s="588">
        <f t="shared" si="1"/>
        <v>0</v>
      </c>
      <c r="M20" s="588"/>
      <c r="N20" s="588"/>
      <c r="O20" s="614">
        <f>SUM(O17:O19)</f>
        <v>0</v>
      </c>
      <c r="P20" s="1244"/>
      <c r="Q20" s="1245"/>
      <c r="R20" s="569"/>
      <c r="S20" s="1246"/>
      <c r="T20" s="1246"/>
    </row>
    <row r="21" spans="1:26" s="560" customFormat="1" ht="15.75" thickTop="1">
      <c r="A21" s="610"/>
      <c r="B21" s="569"/>
      <c r="C21" s="569"/>
      <c r="D21" s="569"/>
      <c r="E21" s="569"/>
      <c r="F21" s="569"/>
      <c r="G21" s="569"/>
      <c r="H21" s="569"/>
      <c r="I21" s="569"/>
      <c r="J21" s="569"/>
      <c r="K21" s="569"/>
      <c r="L21" s="569"/>
      <c r="M21" s="978"/>
      <c r="N21" s="978"/>
      <c r="O21" s="569"/>
      <c r="P21" s="592"/>
      <c r="Q21" s="592"/>
      <c r="R21" s="569"/>
      <c r="S21" s="592"/>
      <c r="T21" s="592"/>
    </row>
    <row r="22" spans="1:26" s="595" customFormat="1">
      <c r="A22" s="596" t="s">
        <v>289</v>
      </c>
      <c r="B22" s="597"/>
      <c r="C22" s="597">
        <f>EF_CO2_aardgas</f>
        <v>0.20200000000000001</v>
      </c>
      <c r="D22" s="597">
        <f>EF_VLgas_CO2</f>
        <v>0.22700000000000001</v>
      </c>
      <c r="E22" s="597">
        <f>EF_stookolie_CO2</f>
        <v>0.26700000000000002</v>
      </c>
      <c r="F22" s="597">
        <f>EF_bruinkool_CO2</f>
        <v>0.35099999999999998</v>
      </c>
      <c r="G22" s="597">
        <f>EF_steenkool_CO2</f>
        <v>0.35399999999999998</v>
      </c>
      <c r="H22" s="597">
        <f>'EF brandstof'!M4</f>
        <v>0.33</v>
      </c>
      <c r="I22" s="597">
        <f>'EF brandstof'!J4</f>
        <v>0</v>
      </c>
      <c r="J22" s="597">
        <f>'EF brandstof'!L4</f>
        <v>0</v>
      </c>
      <c r="K22" s="597">
        <f>'EF brandstof'!L4</f>
        <v>0</v>
      </c>
      <c r="L22" s="597"/>
      <c r="M22" s="597"/>
      <c r="N22" s="597"/>
      <c r="O22" s="598"/>
      <c r="P22" s="598"/>
      <c r="Q22" s="598"/>
      <c r="R22" s="598"/>
      <c r="S22" s="560"/>
    </row>
    <row r="23" spans="1:26" s="595" customFormat="1">
      <c r="A23" s="599"/>
      <c r="B23" s="598"/>
      <c r="C23" s="598"/>
      <c r="D23" s="598"/>
      <c r="E23" s="598"/>
      <c r="F23" s="598"/>
      <c r="G23" s="598"/>
      <c r="H23" s="598"/>
      <c r="I23" s="598"/>
      <c r="J23" s="598"/>
      <c r="K23" s="598"/>
      <c r="L23" s="598"/>
      <c r="M23" s="598"/>
      <c r="N23" s="598"/>
      <c r="O23" s="598"/>
      <c r="P23" s="598"/>
      <c r="Q23" s="598"/>
      <c r="R23" s="598"/>
      <c r="S23" s="560"/>
    </row>
    <row r="24" spans="1:26" s="595" customFormat="1">
      <c r="A24" s="599"/>
      <c r="B24" s="598"/>
      <c r="C24" s="598"/>
      <c r="D24" s="615"/>
      <c r="E24" s="615"/>
      <c r="F24" s="615"/>
      <c r="G24" s="598"/>
      <c r="H24" s="598"/>
      <c r="I24" s="598"/>
      <c r="J24" s="598"/>
      <c r="K24" s="598"/>
      <c r="L24" s="598"/>
      <c r="M24" s="598"/>
      <c r="N24" s="598"/>
      <c r="O24" s="598"/>
      <c r="P24" s="598"/>
      <c r="Q24" s="598"/>
      <c r="R24" s="598"/>
    </row>
    <row r="25" spans="1:26" s="595" customFormat="1">
      <c r="A25" s="599"/>
      <c r="B25" s="598"/>
      <c r="C25" s="598"/>
      <c r="D25" s="615"/>
      <c r="E25" s="615"/>
      <c r="F25" s="615"/>
      <c r="G25" s="598"/>
      <c r="H25" s="598"/>
      <c r="I25" s="598"/>
      <c r="J25" s="598"/>
      <c r="K25" s="598"/>
      <c r="L25" s="598"/>
      <c r="M25" s="598"/>
      <c r="N25" s="598"/>
      <c r="O25" s="598"/>
      <c r="P25" s="598"/>
      <c r="Q25" s="598"/>
      <c r="R25" s="598"/>
    </row>
    <row r="26" spans="1:26" s="560" customFormat="1" ht="15.75" thickBot="1">
      <c r="B26" s="615"/>
      <c r="C26" s="615"/>
      <c r="D26" s="615"/>
      <c r="E26" s="615"/>
      <c r="F26" s="615"/>
      <c r="G26" s="615"/>
      <c r="H26" s="615"/>
      <c r="I26" s="615"/>
      <c r="J26" s="615"/>
      <c r="K26" s="615"/>
      <c r="L26" s="615"/>
      <c r="M26" s="615"/>
      <c r="N26" s="615"/>
      <c r="O26" s="615"/>
      <c r="P26" s="615"/>
      <c r="Q26" s="616"/>
      <c r="R26" s="616"/>
    </row>
    <row r="27" spans="1:26" s="560" customFormat="1" ht="45">
      <c r="A27" s="617" t="s">
        <v>278</v>
      </c>
      <c r="B27" s="662" t="s">
        <v>89</v>
      </c>
      <c r="C27" s="662" t="s">
        <v>90</v>
      </c>
      <c r="D27" s="662" t="s">
        <v>91</v>
      </c>
      <c r="E27" s="662" t="s">
        <v>92</v>
      </c>
      <c r="F27" s="662" t="s">
        <v>93</v>
      </c>
      <c r="G27" s="662" t="s">
        <v>94</v>
      </c>
      <c r="H27" s="662" t="s">
        <v>95</v>
      </c>
      <c r="I27" s="662" t="s">
        <v>96</v>
      </c>
      <c r="J27" s="662" t="s">
        <v>97</v>
      </c>
      <c r="K27" s="662" t="s">
        <v>98</v>
      </c>
      <c r="L27" s="662" t="s">
        <v>99</v>
      </c>
      <c r="M27" s="663" t="s">
        <v>297</v>
      </c>
      <c r="N27" s="663" t="s">
        <v>100</v>
      </c>
      <c r="O27" s="663" t="s">
        <v>101</v>
      </c>
      <c r="P27" s="663" t="s">
        <v>528</v>
      </c>
      <c r="Q27" s="663" t="s">
        <v>102</v>
      </c>
      <c r="R27" s="663" t="s">
        <v>103</v>
      </c>
      <c r="S27" s="663" t="s">
        <v>104</v>
      </c>
      <c r="T27" s="663" t="s">
        <v>105</v>
      </c>
      <c r="U27" s="663" t="s">
        <v>106</v>
      </c>
      <c r="V27" s="663" t="s">
        <v>107</v>
      </c>
      <c r="W27" s="662" t="s">
        <v>108</v>
      </c>
      <c r="X27" s="662" t="s">
        <v>298</v>
      </c>
      <c r="Y27" s="662" t="s">
        <v>109</v>
      </c>
      <c r="Z27" s="664" t="s">
        <v>299</v>
      </c>
    </row>
    <row r="28" spans="1:26" s="619" customFormat="1" ht="12.75">
      <c r="A28" s="618"/>
      <c r="B28" s="817"/>
      <c r="C28" s="817"/>
      <c r="D28" s="666"/>
      <c r="E28" s="665"/>
      <c r="F28" s="665"/>
      <c r="G28" s="665"/>
      <c r="H28" s="665"/>
      <c r="I28" s="665"/>
      <c r="J28" s="816"/>
      <c r="K28" s="816"/>
      <c r="L28" s="665"/>
      <c r="M28" s="665"/>
      <c r="N28" s="665"/>
      <c r="O28" s="665"/>
      <c r="P28" s="665"/>
      <c r="Q28" s="665"/>
      <c r="R28" s="665"/>
      <c r="S28" s="665"/>
      <c r="T28" s="665"/>
      <c r="U28" s="665"/>
      <c r="V28" s="665"/>
      <c r="W28" s="665"/>
      <c r="X28" s="665"/>
      <c r="Y28" s="665"/>
      <c r="Z28" s="667"/>
    </row>
    <row r="29" spans="1:26" s="619" customFormat="1" ht="12.75">
      <c r="A29" s="618"/>
      <c r="B29" s="817"/>
      <c r="C29" s="817"/>
      <c r="D29" s="666"/>
      <c r="E29" s="665"/>
      <c r="F29" s="665"/>
      <c r="G29" s="665"/>
      <c r="H29" s="665"/>
      <c r="I29" s="665"/>
      <c r="J29" s="816"/>
      <c r="K29" s="816"/>
      <c r="L29" s="665"/>
      <c r="M29" s="665"/>
      <c r="N29" s="665"/>
      <c r="O29" s="665"/>
      <c r="P29" s="665"/>
      <c r="Q29" s="665"/>
      <c r="R29" s="665"/>
      <c r="S29" s="665"/>
      <c r="T29" s="665"/>
      <c r="U29" s="665"/>
      <c r="V29" s="665"/>
      <c r="W29" s="665"/>
      <c r="X29" s="665"/>
      <c r="Y29" s="665"/>
      <c r="Z29" s="667"/>
    </row>
    <row r="30" spans="1:26" s="619" customFormat="1" ht="12.75">
      <c r="A30" s="618"/>
      <c r="B30" s="817"/>
      <c r="C30" s="817"/>
      <c r="D30" s="666"/>
      <c r="E30" s="665"/>
      <c r="F30" s="665"/>
      <c r="G30" s="665"/>
      <c r="H30" s="665"/>
      <c r="I30" s="665"/>
      <c r="J30" s="816"/>
      <c r="K30" s="816"/>
      <c r="L30" s="665"/>
      <c r="M30" s="665"/>
      <c r="N30" s="665"/>
      <c r="O30" s="665"/>
      <c r="P30" s="665"/>
      <c r="Q30" s="665"/>
      <c r="R30" s="665"/>
      <c r="S30" s="665"/>
      <c r="T30" s="665"/>
      <c r="U30" s="665"/>
      <c r="V30" s="665"/>
      <c r="W30" s="665"/>
      <c r="X30" s="665"/>
      <c r="Y30" s="665"/>
      <c r="Z30" s="667"/>
    </row>
    <row r="31" spans="1:26" s="619" customFormat="1" ht="12.75">
      <c r="A31" s="618"/>
      <c r="B31" s="817"/>
      <c r="C31" s="817"/>
      <c r="D31" s="666"/>
      <c r="E31" s="665"/>
      <c r="F31" s="665"/>
      <c r="G31" s="665"/>
      <c r="H31" s="665"/>
      <c r="I31" s="665"/>
      <c r="J31" s="816"/>
      <c r="K31" s="816"/>
      <c r="L31" s="665"/>
      <c r="M31" s="665"/>
      <c r="N31" s="665"/>
      <c r="O31" s="665"/>
      <c r="P31" s="665"/>
      <c r="Q31" s="665"/>
      <c r="R31" s="665"/>
      <c r="S31" s="665"/>
      <c r="T31" s="665"/>
      <c r="U31" s="665"/>
      <c r="V31" s="665"/>
      <c r="W31" s="665"/>
      <c r="X31" s="665"/>
      <c r="Y31" s="665"/>
      <c r="Z31" s="667"/>
    </row>
    <row r="32" spans="1:26" s="619" customFormat="1" ht="12.75">
      <c r="A32" s="618"/>
      <c r="B32" s="817"/>
      <c r="C32" s="817"/>
      <c r="D32" s="666"/>
      <c r="E32" s="665"/>
      <c r="F32" s="665"/>
      <c r="G32" s="665"/>
      <c r="H32" s="665"/>
      <c r="I32" s="665"/>
      <c r="J32" s="816"/>
      <c r="K32" s="816"/>
      <c r="L32" s="665"/>
      <c r="M32" s="665"/>
      <c r="N32" s="665"/>
      <c r="O32" s="665"/>
      <c r="P32" s="665"/>
      <c r="Q32" s="665"/>
      <c r="R32" s="665"/>
      <c r="S32" s="665"/>
      <c r="T32" s="665"/>
      <c r="U32" s="665"/>
      <c r="V32" s="665"/>
      <c r="W32" s="665"/>
      <c r="X32" s="665"/>
      <c r="Y32" s="665"/>
      <c r="Z32" s="667"/>
    </row>
    <row r="33" spans="1:26" s="619" customFormat="1" ht="12.75">
      <c r="A33" s="618"/>
      <c r="B33" s="817"/>
      <c r="C33" s="817"/>
      <c r="D33" s="666"/>
      <c r="E33" s="665"/>
      <c r="F33" s="665"/>
      <c r="G33" s="665"/>
      <c r="H33" s="665"/>
      <c r="I33" s="665"/>
      <c r="J33" s="816"/>
      <c r="K33" s="816"/>
      <c r="L33" s="665"/>
      <c r="M33" s="665"/>
      <c r="N33" s="665"/>
      <c r="O33" s="665"/>
      <c r="P33" s="665"/>
      <c r="Q33" s="665"/>
      <c r="R33" s="665"/>
      <c r="S33" s="665"/>
      <c r="T33" s="665"/>
      <c r="U33" s="665"/>
      <c r="V33" s="665"/>
      <c r="W33" s="665"/>
      <c r="X33" s="665"/>
      <c r="Y33" s="665"/>
      <c r="Z33" s="667"/>
    </row>
    <row r="34" spans="1:26" s="619" customFormat="1" ht="12.75">
      <c r="A34" s="618"/>
      <c r="B34" s="817"/>
      <c r="C34" s="817"/>
      <c r="D34" s="666"/>
      <c r="E34" s="665"/>
      <c r="F34" s="665"/>
      <c r="G34" s="665"/>
      <c r="H34" s="665"/>
      <c r="I34" s="665"/>
      <c r="J34" s="816"/>
      <c r="K34" s="816"/>
      <c r="L34" s="665"/>
      <c r="M34" s="665"/>
      <c r="N34" s="665"/>
      <c r="O34" s="665"/>
      <c r="P34" s="665"/>
      <c r="Q34" s="665"/>
      <c r="R34" s="665"/>
      <c r="S34" s="665"/>
      <c r="T34" s="665"/>
      <c r="U34" s="665"/>
      <c r="V34" s="665"/>
      <c r="W34" s="665"/>
      <c r="X34" s="665"/>
      <c r="Y34" s="665"/>
      <c r="Z34" s="667"/>
    </row>
    <row r="35" spans="1:26" s="619" customFormat="1" ht="12.75">
      <c r="A35" s="618"/>
      <c r="B35" s="817"/>
      <c r="C35" s="817"/>
      <c r="D35" s="666"/>
      <c r="E35" s="665"/>
      <c r="F35" s="665"/>
      <c r="G35" s="665"/>
      <c r="H35" s="665"/>
      <c r="I35" s="665"/>
      <c r="J35" s="816"/>
      <c r="K35" s="816"/>
      <c r="L35" s="665"/>
      <c r="M35" s="665"/>
      <c r="N35" s="665"/>
      <c r="O35" s="665"/>
      <c r="P35" s="665"/>
      <c r="Q35" s="665"/>
      <c r="R35" s="665"/>
      <c r="S35" s="665"/>
      <c r="T35" s="665"/>
      <c r="U35" s="665"/>
      <c r="V35" s="665"/>
      <c r="W35" s="665"/>
      <c r="X35" s="665"/>
      <c r="Y35" s="665"/>
      <c r="Z35" s="667"/>
    </row>
    <row r="36" spans="1:26" s="619" customFormat="1" ht="12.75">
      <c r="A36" s="618"/>
      <c r="B36" s="817"/>
      <c r="C36" s="817"/>
      <c r="D36" s="666"/>
      <c r="E36" s="665"/>
      <c r="F36" s="665"/>
      <c r="G36" s="665"/>
      <c r="H36" s="665"/>
      <c r="I36" s="665"/>
      <c r="J36" s="816"/>
      <c r="K36" s="816"/>
      <c r="L36" s="665"/>
      <c r="M36" s="665"/>
      <c r="N36" s="665"/>
      <c r="O36" s="665"/>
      <c r="P36" s="665"/>
      <c r="Q36" s="665"/>
      <c r="R36" s="665"/>
      <c r="S36" s="665"/>
      <c r="T36" s="665"/>
      <c r="U36" s="665"/>
      <c r="V36" s="665"/>
      <c r="W36" s="665"/>
      <c r="X36" s="665"/>
      <c r="Y36" s="665"/>
      <c r="Z36" s="667"/>
    </row>
    <row r="37" spans="1:26" s="619" customFormat="1" ht="12.75">
      <c r="A37" s="618"/>
      <c r="B37" s="817"/>
      <c r="C37" s="817"/>
      <c r="D37" s="666"/>
      <c r="E37" s="665"/>
      <c r="F37" s="665"/>
      <c r="G37" s="665"/>
      <c r="H37" s="665"/>
      <c r="I37" s="665"/>
      <c r="J37" s="816"/>
      <c r="K37" s="816"/>
      <c r="L37" s="665"/>
      <c r="M37" s="665"/>
      <c r="N37" s="665"/>
      <c r="O37" s="665"/>
      <c r="P37" s="665"/>
      <c r="Q37" s="665"/>
      <c r="R37" s="665"/>
      <c r="S37" s="665"/>
      <c r="T37" s="665"/>
      <c r="U37" s="665"/>
      <c r="V37" s="665"/>
      <c r="W37" s="665"/>
      <c r="X37" s="665"/>
      <c r="Y37" s="665"/>
      <c r="Z37" s="667"/>
    </row>
    <row r="38" spans="1:26" s="619" customFormat="1" ht="12.75">
      <c r="A38" s="618"/>
      <c r="B38" s="817"/>
      <c r="C38" s="817"/>
      <c r="D38" s="666"/>
      <c r="E38" s="665"/>
      <c r="F38" s="665"/>
      <c r="G38" s="665"/>
      <c r="H38" s="665"/>
      <c r="I38" s="665"/>
      <c r="J38" s="816"/>
      <c r="K38" s="816"/>
      <c r="L38" s="665"/>
      <c r="M38" s="665"/>
      <c r="N38" s="665"/>
      <c r="O38" s="665"/>
      <c r="P38" s="665"/>
      <c r="Q38" s="665"/>
      <c r="R38" s="665"/>
      <c r="S38" s="665"/>
      <c r="T38" s="665"/>
      <c r="U38" s="665"/>
      <c r="V38" s="665"/>
      <c r="W38" s="665"/>
      <c r="X38" s="665"/>
      <c r="Y38" s="665"/>
      <c r="Z38" s="667"/>
    </row>
    <row r="39" spans="1:26" s="619" customFormat="1" ht="12.75">
      <c r="A39" s="618"/>
      <c r="B39" s="817"/>
      <c r="C39" s="817"/>
      <c r="D39" s="666"/>
      <c r="E39" s="665"/>
      <c r="F39" s="665"/>
      <c r="G39" s="665"/>
      <c r="H39" s="665"/>
      <c r="I39" s="665"/>
      <c r="J39" s="816"/>
      <c r="K39" s="816"/>
      <c r="L39" s="665"/>
      <c r="M39" s="665"/>
      <c r="N39" s="665"/>
      <c r="O39" s="665"/>
      <c r="P39" s="665"/>
      <c r="Q39" s="665"/>
      <c r="R39" s="665"/>
      <c r="S39" s="665"/>
      <c r="T39" s="665"/>
      <c r="U39" s="665"/>
      <c r="V39" s="665"/>
      <c r="W39" s="665"/>
      <c r="X39" s="665"/>
      <c r="Y39" s="665"/>
      <c r="Z39" s="667"/>
    </row>
    <row r="40" spans="1:26" s="619" customFormat="1" ht="12.75">
      <c r="A40" s="618"/>
      <c r="B40" s="817"/>
      <c r="C40" s="817"/>
      <c r="D40" s="666"/>
      <c r="E40" s="665"/>
      <c r="F40" s="665"/>
      <c r="G40" s="665"/>
      <c r="H40" s="665"/>
      <c r="I40" s="665"/>
      <c r="J40" s="816"/>
      <c r="K40" s="816"/>
      <c r="L40" s="665"/>
      <c r="M40" s="665"/>
      <c r="N40" s="665"/>
      <c r="O40" s="665"/>
      <c r="P40" s="665"/>
      <c r="Q40" s="665"/>
      <c r="R40" s="665"/>
      <c r="S40" s="665"/>
      <c r="T40" s="665"/>
      <c r="U40" s="665"/>
      <c r="V40" s="665"/>
      <c r="W40" s="665"/>
      <c r="X40" s="665"/>
      <c r="Y40" s="665"/>
      <c r="Z40" s="667"/>
    </row>
    <row r="41" spans="1:26" s="619" customFormat="1" ht="12.75">
      <c r="A41" s="618"/>
      <c r="B41" s="817"/>
      <c r="C41" s="817"/>
      <c r="D41" s="666"/>
      <c r="E41" s="665"/>
      <c r="F41" s="665"/>
      <c r="G41" s="665"/>
      <c r="H41" s="665"/>
      <c r="I41" s="665"/>
      <c r="J41" s="816"/>
      <c r="K41" s="816"/>
      <c r="L41" s="665"/>
      <c r="M41" s="665"/>
      <c r="N41" s="665"/>
      <c r="O41" s="665"/>
      <c r="P41" s="665"/>
      <c r="Q41" s="665"/>
      <c r="R41" s="665"/>
      <c r="S41" s="665"/>
      <c r="T41" s="665"/>
      <c r="U41" s="665"/>
      <c r="V41" s="665"/>
      <c r="W41" s="665"/>
      <c r="X41" s="665"/>
      <c r="Y41" s="665"/>
      <c r="Z41" s="667"/>
    </row>
    <row r="42" spans="1:26" s="619" customFormat="1" ht="12.75">
      <c r="A42" s="618"/>
      <c r="B42" s="817"/>
      <c r="C42" s="817"/>
      <c r="D42" s="666"/>
      <c r="E42" s="665"/>
      <c r="F42" s="665"/>
      <c r="G42" s="665"/>
      <c r="H42" s="665"/>
      <c r="I42" s="665"/>
      <c r="J42" s="816"/>
      <c r="K42" s="816"/>
      <c r="L42" s="665"/>
      <c r="M42" s="665"/>
      <c r="N42" s="665"/>
      <c r="O42" s="665"/>
      <c r="P42" s="665"/>
      <c r="Q42" s="665"/>
      <c r="R42" s="665"/>
      <c r="S42" s="665"/>
      <c r="T42" s="665"/>
      <c r="U42" s="665"/>
      <c r="V42" s="665"/>
      <c r="W42" s="665"/>
      <c r="X42" s="665"/>
      <c r="Y42" s="665"/>
      <c r="Z42" s="667"/>
    </row>
    <row r="43" spans="1:26" s="619" customFormat="1" ht="12.75">
      <c r="A43" s="618"/>
      <c r="B43" s="817"/>
      <c r="C43" s="817"/>
      <c r="D43" s="666"/>
      <c r="E43" s="665"/>
      <c r="F43" s="665"/>
      <c r="G43" s="665"/>
      <c r="H43" s="665"/>
      <c r="I43" s="665"/>
      <c r="J43" s="816"/>
      <c r="K43" s="816"/>
      <c r="L43" s="665"/>
      <c r="M43" s="665"/>
      <c r="N43" s="665"/>
      <c r="O43" s="665"/>
      <c r="P43" s="665"/>
      <c r="Q43" s="665"/>
      <c r="R43" s="665"/>
      <c r="S43" s="665"/>
      <c r="T43" s="665"/>
      <c r="U43" s="665"/>
      <c r="V43" s="665"/>
      <c r="W43" s="665"/>
      <c r="X43" s="665"/>
      <c r="Y43" s="665"/>
      <c r="Z43" s="667"/>
    </row>
    <row r="44" spans="1:26" s="619" customFormat="1" ht="12.75">
      <c r="A44" s="618"/>
      <c r="B44" s="817"/>
      <c r="C44" s="817"/>
      <c r="D44" s="666"/>
      <c r="E44" s="665"/>
      <c r="F44" s="665"/>
      <c r="G44" s="665"/>
      <c r="H44" s="665"/>
      <c r="I44" s="665"/>
      <c r="J44" s="816"/>
      <c r="K44" s="816"/>
      <c r="L44" s="665"/>
      <c r="M44" s="665"/>
      <c r="N44" s="665"/>
      <c r="O44" s="665"/>
      <c r="P44" s="665"/>
      <c r="Q44" s="665"/>
      <c r="R44" s="665"/>
      <c r="S44" s="665"/>
      <c r="T44" s="665"/>
      <c r="U44" s="665"/>
      <c r="V44" s="665"/>
      <c r="W44" s="665"/>
      <c r="X44" s="665"/>
      <c r="Y44" s="665"/>
      <c r="Z44" s="667"/>
    </row>
    <row r="45" spans="1:26" s="619" customFormat="1" ht="12.75">
      <c r="A45" s="618"/>
      <c r="B45" s="817"/>
      <c r="C45" s="817"/>
      <c r="D45" s="666"/>
      <c r="E45" s="665"/>
      <c r="F45" s="665"/>
      <c r="G45" s="665"/>
      <c r="H45" s="665"/>
      <c r="I45" s="665"/>
      <c r="J45" s="816"/>
      <c r="K45" s="816"/>
      <c r="L45" s="665"/>
      <c r="M45" s="665"/>
      <c r="N45" s="665"/>
      <c r="O45" s="665"/>
      <c r="P45" s="665"/>
      <c r="Q45" s="665"/>
      <c r="R45" s="665"/>
      <c r="S45" s="665"/>
      <c r="T45" s="665"/>
      <c r="U45" s="665"/>
      <c r="V45" s="665"/>
      <c r="W45" s="665"/>
      <c r="X45" s="665"/>
      <c r="Y45" s="665"/>
      <c r="Z45" s="667"/>
    </row>
    <row r="46" spans="1:26" s="619" customFormat="1" ht="12.75">
      <c r="A46" s="618"/>
      <c r="B46" s="817"/>
      <c r="C46" s="817"/>
      <c r="D46" s="666"/>
      <c r="E46" s="665"/>
      <c r="F46" s="665"/>
      <c r="G46" s="665"/>
      <c r="H46" s="665"/>
      <c r="I46" s="665"/>
      <c r="J46" s="816"/>
      <c r="K46" s="816"/>
      <c r="L46" s="665"/>
      <c r="M46" s="665"/>
      <c r="N46" s="665"/>
      <c r="O46" s="665"/>
      <c r="P46" s="665"/>
      <c r="Q46" s="665"/>
      <c r="R46" s="665"/>
      <c r="S46" s="665"/>
      <c r="T46" s="665"/>
      <c r="U46" s="665"/>
      <c r="V46" s="665"/>
      <c r="W46" s="665"/>
      <c r="X46" s="665"/>
      <c r="Y46" s="665"/>
      <c r="Z46" s="667"/>
    </row>
    <row r="47" spans="1:26" s="619" customFormat="1" ht="12.75">
      <c r="A47" s="618"/>
      <c r="B47" s="817"/>
      <c r="C47" s="817"/>
      <c r="D47" s="666"/>
      <c r="E47" s="665"/>
      <c r="F47" s="665"/>
      <c r="G47" s="665"/>
      <c r="H47" s="665"/>
      <c r="I47" s="665"/>
      <c r="J47" s="816"/>
      <c r="K47" s="816"/>
      <c r="L47" s="665"/>
      <c r="M47" s="665"/>
      <c r="N47" s="665"/>
      <c r="O47" s="665"/>
      <c r="P47" s="665"/>
      <c r="Q47" s="665"/>
      <c r="R47" s="665"/>
      <c r="S47" s="665"/>
      <c r="T47" s="665"/>
      <c r="U47" s="665"/>
      <c r="V47" s="665"/>
      <c r="W47" s="665"/>
      <c r="X47" s="665"/>
      <c r="Y47" s="665"/>
      <c r="Z47" s="667"/>
    </row>
    <row r="48" spans="1:26" s="619" customFormat="1" ht="12.75">
      <c r="A48" s="618"/>
      <c r="B48" s="817"/>
      <c r="C48" s="817"/>
      <c r="D48" s="666"/>
      <c r="E48" s="665"/>
      <c r="F48" s="665"/>
      <c r="G48" s="665"/>
      <c r="H48" s="665"/>
      <c r="I48" s="665"/>
      <c r="J48" s="816"/>
      <c r="K48" s="816"/>
      <c r="L48" s="665"/>
      <c r="M48" s="665"/>
      <c r="N48" s="665"/>
      <c r="O48" s="665"/>
      <c r="P48" s="665"/>
      <c r="Q48" s="665"/>
      <c r="R48" s="665"/>
      <c r="S48" s="665"/>
      <c r="T48" s="665"/>
      <c r="U48" s="665"/>
      <c r="V48" s="665"/>
      <c r="W48" s="665"/>
      <c r="X48" s="665"/>
      <c r="Y48" s="665"/>
      <c r="Z48" s="667"/>
    </row>
    <row r="49" spans="1:26" s="619" customFormat="1" ht="12.75">
      <c r="A49" s="618"/>
      <c r="B49" s="817"/>
      <c r="C49" s="817"/>
      <c r="D49" s="666"/>
      <c r="E49" s="665"/>
      <c r="F49" s="665"/>
      <c r="G49" s="665"/>
      <c r="H49" s="665"/>
      <c r="I49" s="665"/>
      <c r="J49" s="816"/>
      <c r="K49" s="816"/>
      <c r="L49" s="665"/>
      <c r="M49" s="665"/>
      <c r="N49" s="665"/>
      <c r="O49" s="665"/>
      <c r="P49" s="665"/>
      <c r="Q49" s="665"/>
      <c r="R49" s="665"/>
      <c r="S49" s="665"/>
      <c r="T49" s="665"/>
      <c r="U49" s="665"/>
      <c r="V49" s="665"/>
      <c r="W49" s="665"/>
      <c r="X49" s="665"/>
      <c r="Y49" s="665"/>
      <c r="Z49" s="667"/>
    </row>
    <row r="50" spans="1:26" s="619" customFormat="1" ht="12.75">
      <c r="A50" s="618"/>
      <c r="B50" s="817"/>
      <c r="C50" s="817"/>
      <c r="D50" s="666"/>
      <c r="E50" s="665"/>
      <c r="F50" s="665"/>
      <c r="G50" s="665"/>
      <c r="H50" s="665"/>
      <c r="I50" s="665"/>
      <c r="J50" s="816"/>
      <c r="K50" s="816"/>
      <c r="L50" s="665"/>
      <c r="M50" s="665"/>
      <c r="N50" s="665"/>
      <c r="O50" s="665"/>
      <c r="P50" s="665"/>
      <c r="Q50" s="665"/>
      <c r="R50" s="665"/>
      <c r="S50" s="665"/>
      <c r="T50" s="665"/>
      <c r="U50" s="665"/>
      <c r="V50" s="665"/>
      <c r="W50" s="665"/>
      <c r="X50" s="665"/>
      <c r="Y50" s="665"/>
      <c r="Z50" s="667"/>
    </row>
    <row r="51" spans="1:26" s="619" customFormat="1" ht="12.75">
      <c r="A51" s="620"/>
      <c r="B51" s="817"/>
      <c r="C51" s="817"/>
      <c r="D51" s="666"/>
      <c r="E51" s="665"/>
      <c r="F51" s="665"/>
      <c r="G51" s="665"/>
      <c r="H51" s="665"/>
      <c r="I51" s="665"/>
      <c r="J51" s="816"/>
      <c r="K51" s="816"/>
      <c r="L51" s="665"/>
      <c r="M51" s="665"/>
      <c r="N51" s="665"/>
      <c r="O51" s="665"/>
      <c r="P51" s="665"/>
      <c r="Q51" s="665"/>
      <c r="R51" s="665"/>
      <c r="S51" s="665"/>
      <c r="T51" s="665"/>
      <c r="U51" s="665"/>
      <c r="V51" s="665"/>
      <c r="W51" s="665"/>
      <c r="X51" s="665"/>
      <c r="Y51" s="665"/>
      <c r="Z51" s="667"/>
    </row>
    <row r="52" spans="1:26" s="619" customFormat="1" ht="12.75">
      <c r="A52" s="620"/>
      <c r="B52" s="817"/>
      <c r="C52" s="817"/>
      <c r="D52" s="665"/>
      <c r="E52" s="665"/>
      <c r="F52" s="665"/>
      <c r="G52" s="665"/>
      <c r="H52" s="665"/>
      <c r="I52" s="665"/>
      <c r="J52" s="816"/>
      <c r="K52" s="816"/>
      <c r="L52" s="665"/>
      <c r="M52" s="665"/>
      <c r="N52" s="665"/>
      <c r="O52" s="665"/>
      <c r="P52" s="665"/>
      <c r="Q52" s="665"/>
      <c r="R52" s="665"/>
      <c r="S52" s="665"/>
      <c r="T52" s="665"/>
      <c r="U52" s="665"/>
      <c r="V52" s="665"/>
      <c r="W52" s="665"/>
      <c r="X52" s="665"/>
      <c r="Y52" s="665"/>
      <c r="Z52" s="667"/>
    </row>
    <row r="53" spans="1:26" s="619" customFormat="1" ht="12.75">
      <c r="A53" s="620"/>
      <c r="B53" s="817"/>
      <c r="C53" s="817"/>
      <c r="D53" s="665"/>
      <c r="E53" s="665"/>
      <c r="F53" s="665"/>
      <c r="G53" s="665"/>
      <c r="H53" s="665"/>
      <c r="I53" s="665"/>
      <c r="J53" s="816"/>
      <c r="K53" s="816"/>
      <c r="L53" s="665"/>
      <c r="M53" s="665"/>
      <c r="N53" s="665"/>
      <c r="O53" s="665"/>
      <c r="P53" s="665"/>
      <c r="Q53" s="665"/>
      <c r="R53" s="665"/>
      <c r="S53" s="665"/>
      <c r="T53" s="665"/>
      <c r="U53" s="665"/>
      <c r="V53" s="665"/>
      <c r="W53" s="665"/>
      <c r="X53" s="665"/>
      <c r="Y53" s="665"/>
      <c r="Z53" s="667"/>
    </row>
    <row r="54" spans="1:26" s="619" customFormat="1" ht="12.75">
      <c r="A54" s="620"/>
      <c r="B54" s="817"/>
      <c r="C54" s="817"/>
      <c r="D54" s="665"/>
      <c r="E54" s="665"/>
      <c r="F54" s="665"/>
      <c r="G54" s="665"/>
      <c r="H54" s="665"/>
      <c r="I54" s="665"/>
      <c r="J54" s="816"/>
      <c r="K54" s="816"/>
      <c r="L54" s="665"/>
      <c r="M54" s="665"/>
      <c r="N54" s="665"/>
      <c r="O54" s="665"/>
      <c r="P54" s="665"/>
      <c r="Q54" s="665"/>
      <c r="R54" s="665"/>
      <c r="S54" s="665"/>
      <c r="T54" s="665"/>
      <c r="U54" s="665"/>
      <c r="V54" s="665"/>
      <c r="W54" s="665"/>
      <c r="X54" s="665"/>
      <c r="Y54" s="665"/>
      <c r="Z54" s="667"/>
    </row>
    <row r="55" spans="1:26" s="619" customFormat="1" ht="12.75">
      <c r="A55" s="620"/>
      <c r="B55" s="817"/>
      <c r="C55" s="817"/>
      <c r="D55" s="665"/>
      <c r="E55" s="665"/>
      <c r="F55" s="665"/>
      <c r="G55" s="665"/>
      <c r="H55" s="665"/>
      <c r="I55" s="665"/>
      <c r="J55" s="816"/>
      <c r="K55" s="816"/>
      <c r="L55" s="665"/>
      <c r="M55" s="665"/>
      <c r="N55" s="665"/>
      <c r="O55" s="665"/>
      <c r="P55" s="665"/>
      <c r="Q55" s="665"/>
      <c r="R55" s="665"/>
      <c r="S55" s="665"/>
      <c r="T55" s="665"/>
      <c r="U55" s="665"/>
      <c r="V55" s="665"/>
      <c r="W55" s="665"/>
      <c r="X55" s="665"/>
      <c r="Y55" s="665"/>
      <c r="Z55" s="667"/>
    </row>
    <row r="56" spans="1:26" s="619" customFormat="1" ht="12.75">
      <c r="A56" s="620"/>
      <c r="B56" s="817"/>
      <c r="C56" s="817"/>
      <c r="D56" s="665"/>
      <c r="E56" s="665"/>
      <c r="F56" s="665"/>
      <c r="G56" s="665"/>
      <c r="H56" s="665"/>
      <c r="I56" s="665"/>
      <c r="J56" s="816"/>
      <c r="K56" s="816"/>
      <c r="L56" s="665"/>
      <c r="M56" s="665"/>
      <c r="N56" s="665"/>
      <c r="O56" s="665"/>
      <c r="P56" s="665"/>
      <c r="Q56" s="665"/>
      <c r="R56" s="665"/>
      <c r="S56" s="665"/>
      <c r="T56" s="665"/>
      <c r="U56" s="665"/>
      <c r="V56" s="665"/>
      <c r="W56" s="665"/>
      <c r="X56" s="665"/>
      <c r="Y56" s="665"/>
      <c r="Z56" s="667"/>
    </row>
    <row r="57" spans="1:26" s="619" customFormat="1" ht="12.75">
      <c r="A57" s="620"/>
      <c r="B57" s="817"/>
      <c r="C57" s="817"/>
      <c r="D57" s="665"/>
      <c r="E57" s="665"/>
      <c r="F57" s="665"/>
      <c r="G57" s="665"/>
      <c r="H57" s="665"/>
      <c r="I57" s="665"/>
      <c r="J57" s="816"/>
      <c r="K57" s="816"/>
      <c r="L57" s="665"/>
      <c r="M57" s="665"/>
      <c r="N57" s="665"/>
      <c r="O57" s="665"/>
      <c r="P57" s="665"/>
      <c r="Q57" s="665"/>
      <c r="R57" s="665"/>
      <c r="S57" s="665"/>
      <c r="T57" s="665"/>
      <c r="U57" s="665"/>
      <c r="V57" s="665"/>
      <c r="W57" s="665"/>
      <c r="X57" s="665"/>
      <c r="Y57" s="665"/>
      <c r="Z57" s="667"/>
    </row>
    <row r="58" spans="1:26" s="599" customFormat="1">
      <c r="A58" s="621" t="s">
        <v>279</v>
      </c>
      <c r="B58" s="622"/>
      <c r="C58" s="622"/>
      <c r="D58" s="622"/>
      <c r="E58" s="622"/>
      <c r="F58" s="622"/>
      <c r="G58" s="622"/>
      <c r="H58" s="622"/>
      <c r="I58" s="622"/>
      <c r="J58" s="622"/>
      <c r="K58" s="622"/>
      <c r="L58" s="623"/>
      <c r="M58" s="623">
        <f>SUM(M28:M57)</f>
        <v>0</v>
      </c>
      <c r="N58" s="623">
        <f>SUM(N28:N57)</f>
        <v>0</v>
      </c>
      <c r="O58" s="623">
        <f t="shared" ref="O58:W58" si="2">SUM(O28:O57)</f>
        <v>0</v>
      </c>
      <c r="P58" s="623">
        <f t="shared" si="2"/>
        <v>0</v>
      </c>
      <c r="Q58" s="623">
        <f t="shared" si="2"/>
        <v>0</v>
      </c>
      <c r="R58" s="623">
        <f t="shared" si="2"/>
        <v>0</v>
      </c>
      <c r="S58" s="623">
        <f t="shared" si="2"/>
        <v>0</v>
      </c>
      <c r="T58" s="623">
        <f t="shared" si="2"/>
        <v>0</v>
      </c>
      <c r="U58" s="623">
        <f t="shared" si="2"/>
        <v>0</v>
      </c>
      <c r="V58" s="623">
        <f t="shared" si="2"/>
        <v>0</v>
      </c>
      <c r="W58" s="623">
        <f t="shared" si="2"/>
        <v>0</v>
      </c>
      <c r="X58" s="624"/>
      <c r="Y58" s="624"/>
      <c r="Z58" s="625"/>
    </row>
    <row r="59" spans="1:26" s="599" customFormat="1">
      <c r="A59" s="621" t="s">
        <v>286</v>
      </c>
      <c r="B59" s="622"/>
      <c r="C59" s="622"/>
      <c r="D59" s="622"/>
      <c r="E59" s="622"/>
      <c r="F59" s="622"/>
      <c r="G59" s="622"/>
      <c r="H59" s="622"/>
      <c r="I59" s="622"/>
      <c r="J59" s="622"/>
      <c r="K59" s="622"/>
      <c r="L59" s="623"/>
      <c r="M59" s="623">
        <f t="shared" ref="M59:W59" si="3">SUMIF($Z$28:$Z$57,"industrie",M28:M57)</f>
        <v>0</v>
      </c>
      <c r="N59" s="623">
        <f t="shared" si="3"/>
        <v>0</v>
      </c>
      <c r="O59" s="623">
        <f t="shared" si="3"/>
        <v>0</v>
      </c>
      <c r="P59" s="623">
        <f t="shared" si="3"/>
        <v>0</v>
      </c>
      <c r="Q59" s="623">
        <f t="shared" si="3"/>
        <v>0</v>
      </c>
      <c r="R59" s="623">
        <f t="shared" si="3"/>
        <v>0</v>
      </c>
      <c r="S59" s="623">
        <f t="shared" si="3"/>
        <v>0</v>
      </c>
      <c r="T59" s="623">
        <f t="shared" si="3"/>
        <v>0</v>
      </c>
      <c r="U59" s="623">
        <f t="shared" si="3"/>
        <v>0</v>
      </c>
      <c r="V59" s="623">
        <f t="shared" si="3"/>
        <v>0</v>
      </c>
      <c r="W59" s="623">
        <f t="shared" si="3"/>
        <v>0</v>
      </c>
      <c r="X59" s="624"/>
      <c r="Y59" s="624"/>
      <c r="Z59" s="625"/>
    </row>
    <row r="60" spans="1:26" s="599" customFormat="1">
      <c r="A60" s="621" t="s">
        <v>287</v>
      </c>
      <c r="B60" s="622"/>
      <c r="C60" s="622"/>
      <c r="D60" s="622"/>
      <c r="E60" s="622"/>
      <c r="F60" s="622"/>
      <c r="G60" s="622"/>
      <c r="H60" s="622"/>
      <c r="I60" s="622"/>
      <c r="J60" s="622"/>
      <c r="K60" s="622"/>
      <c r="L60" s="623"/>
      <c r="M60" s="623">
        <f ca="1">SUMIF($Z$28:AC57,"tertiair",M28:M57)</f>
        <v>0</v>
      </c>
      <c r="N60" s="623">
        <f ca="1">SUMIF($Z$28:AD57,"tertiair",N28:N57)</f>
        <v>0</v>
      </c>
      <c r="O60" s="623">
        <f ca="1">SUMIF($Z$28:AE57,"tertiair",O28:O57)</f>
        <v>0</v>
      </c>
      <c r="P60" s="623">
        <f ca="1">SUMIF($Z$28:AF57,"tertiair",P28:P57)</f>
        <v>0</v>
      </c>
      <c r="Q60" s="623">
        <f ca="1">SUMIF($Z$28:AG57,"tertiair",Q28:Q57)</f>
        <v>0</v>
      </c>
      <c r="R60" s="623">
        <f ca="1">SUMIF($Z$28:AH57,"tertiair",R28:R57)</f>
        <v>0</v>
      </c>
      <c r="S60" s="623">
        <f ca="1">SUMIF($Z$28:AI57,"tertiair",S28:S57)</f>
        <v>0</v>
      </c>
      <c r="T60" s="623">
        <f ca="1">SUMIF($Z$28:AJ57,"tertiair",T28:T57)</f>
        <v>0</v>
      </c>
      <c r="U60" s="623">
        <f ca="1">SUMIF($Z$28:AK57,"tertiair",U28:U57)</f>
        <v>0</v>
      </c>
      <c r="V60" s="623">
        <f ca="1">SUMIF($Z$28:AL57,"tertiair",V28:V57)</f>
        <v>0</v>
      </c>
      <c r="W60" s="623">
        <f ca="1">SUMIF($Z$28:AM57,"tertiair",W28:W57)</f>
        <v>0</v>
      </c>
      <c r="X60" s="624"/>
      <c r="Y60" s="624"/>
      <c r="Z60" s="625"/>
    </row>
    <row r="61" spans="1:26" s="599" customFormat="1" ht="15.75" thickBot="1">
      <c r="A61" s="626" t="s">
        <v>288</v>
      </c>
      <c r="B61" s="627"/>
      <c r="C61" s="627"/>
      <c r="D61" s="627"/>
      <c r="E61" s="627"/>
      <c r="F61" s="627"/>
      <c r="G61" s="627"/>
      <c r="H61" s="627"/>
      <c r="I61" s="627"/>
      <c r="J61" s="627"/>
      <c r="K61" s="627"/>
      <c r="L61" s="628"/>
      <c r="M61" s="628">
        <f t="shared" ref="M61:W61" si="4">SUMIF($Z$28:$Z$57,"landbouw",M28:M57)</f>
        <v>0</v>
      </c>
      <c r="N61" s="628">
        <f t="shared" si="4"/>
        <v>0</v>
      </c>
      <c r="O61" s="628">
        <f t="shared" si="4"/>
        <v>0</v>
      </c>
      <c r="P61" s="628">
        <f t="shared" si="4"/>
        <v>0</v>
      </c>
      <c r="Q61" s="628">
        <f t="shared" si="4"/>
        <v>0</v>
      </c>
      <c r="R61" s="628">
        <f t="shared" si="4"/>
        <v>0</v>
      </c>
      <c r="S61" s="628">
        <f t="shared" si="4"/>
        <v>0</v>
      </c>
      <c r="T61" s="628">
        <f t="shared" si="4"/>
        <v>0</v>
      </c>
      <c r="U61" s="628">
        <f t="shared" si="4"/>
        <v>0</v>
      </c>
      <c r="V61" s="628">
        <f t="shared" si="4"/>
        <v>0</v>
      </c>
      <c r="W61" s="628">
        <f t="shared" si="4"/>
        <v>0</v>
      </c>
      <c r="X61" s="629"/>
      <c r="Y61" s="629"/>
      <c r="Z61" s="630"/>
    </row>
    <row r="62" spans="1:26" s="560" customFormat="1" ht="15.75" thickBot="1">
      <c r="A62" s="631"/>
      <c r="B62" s="632"/>
      <c r="C62" s="632"/>
      <c r="D62" s="632"/>
      <c r="E62" s="632"/>
      <c r="F62" s="632"/>
      <c r="G62" s="632"/>
      <c r="H62" s="632"/>
      <c r="I62" s="632"/>
      <c r="J62" s="632"/>
      <c r="K62" s="632"/>
      <c r="L62" s="615"/>
      <c r="M62" s="615"/>
      <c r="N62" s="615"/>
      <c r="O62" s="616"/>
      <c r="P62" s="616"/>
    </row>
    <row r="63" spans="1:26" s="560" customFormat="1" ht="45">
      <c r="A63" s="633" t="s">
        <v>280</v>
      </c>
      <c r="B63" s="662" t="s">
        <v>89</v>
      </c>
      <c r="C63" s="662" t="s">
        <v>90</v>
      </c>
      <c r="D63" s="662" t="s">
        <v>91</v>
      </c>
      <c r="E63" s="662" t="s">
        <v>92</v>
      </c>
      <c r="F63" s="662" t="s">
        <v>93</v>
      </c>
      <c r="G63" s="662" t="s">
        <v>94</v>
      </c>
      <c r="H63" s="662" t="s">
        <v>95</v>
      </c>
      <c r="I63" s="662" t="s">
        <v>96</v>
      </c>
      <c r="J63" s="662" t="s">
        <v>97</v>
      </c>
      <c r="K63" s="662" t="s">
        <v>98</v>
      </c>
      <c r="L63" s="662" t="s">
        <v>99</v>
      </c>
      <c r="M63" s="663" t="s">
        <v>297</v>
      </c>
      <c r="N63" s="663" t="s">
        <v>100</v>
      </c>
      <c r="O63" s="663" t="s">
        <v>101</v>
      </c>
      <c r="P63" s="663" t="s">
        <v>528</v>
      </c>
      <c r="Q63" s="663" t="s">
        <v>102</v>
      </c>
      <c r="R63" s="663" t="s">
        <v>103</v>
      </c>
      <c r="S63" s="663" t="s">
        <v>104</v>
      </c>
      <c r="T63" s="663" t="s">
        <v>105</v>
      </c>
      <c r="U63" s="663" t="s">
        <v>106</v>
      </c>
      <c r="V63" s="663" t="s">
        <v>107</v>
      </c>
      <c r="W63" s="662" t="s">
        <v>108</v>
      </c>
      <c r="X63" s="662" t="s">
        <v>298</v>
      </c>
      <c r="Y63" s="662" t="s">
        <v>109</v>
      </c>
      <c r="Z63" s="664" t="s">
        <v>299</v>
      </c>
    </row>
    <row r="64" spans="1:26" s="634" customFormat="1" ht="12.75">
      <c r="A64" s="620"/>
      <c r="B64" s="817"/>
      <c r="C64" s="817"/>
      <c r="D64" s="668"/>
      <c r="E64" s="668"/>
      <c r="F64" s="668"/>
      <c r="G64" s="668"/>
      <c r="H64" s="668"/>
      <c r="I64" s="668"/>
      <c r="J64" s="816"/>
      <c r="K64" s="816"/>
      <c r="L64" s="668"/>
      <c r="M64" s="668"/>
      <c r="N64" s="668"/>
      <c r="O64" s="668"/>
      <c r="P64" s="668"/>
      <c r="Q64" s="668"/>
      <c r="R64" s="668"/>
      <c r="S64" s="668"/>
      <c r="T64" s="668"/>
      <c r="U64" s="668"/>
      <c r="V64" s="668"/>
      <c r="W64" s="668"/>
      <c r="X64" s="668"/>
      <c r="Y64" s="668"/>
      <c r="Z64" s="669"/>
    </row>
    <row r="65" spans="1:26" s="634" customFormat="1" ht="12.75">
      <c r="A65" s="620"/>
      <c r="B65" s="817"/>
      <c r="C65" s="817"/>
      <c r="D65" s="668"/>
      <c r="E65" s="668"/>
      <c r="F65" s="668"/>
      <c r="G65" s="668"/>
      <c r="H65" s="668"/>
      <c r="I65" s="668"/>
      <c r="J65" s="816"/>
      <c r="K65" s="816"/>
      <c r="L65" s="668"/>
      <c r="M65" s="668"/>
      <c r="N65" s="668"/>
      <c r="O65" s="668"/>
      <c r="P65" s="668"/>
      <c r="Q65" s="668"/>
      <c r="R65" s="668"/>
      <c r="S65" s="668"/>
      <c r="T65" s="668"/>
      <c r="U65" s="668"/>
      <c r="V65" s="668"/>
      <c r="W65" s="668"/>
      <c r="X65" s="668"/>
      <c r="Y65" s="668"/>
      <c r="Z65" s="669"/>
    </row>
    <row r="66" spans="1:26" s="634" customFormat="1" ht="12.75">
      <c r="A66" s="620"/>
      <c r="B66" s="817"/>
      <c r="C66" s="817"/>
      <c r="D66" s="668"/>
      <c r="E66" s="668"/>
      <c r="F66" s="668"/>
      <c r="G66" s="668"/>
      <c r="H66" s="668"/>
      <c r="I66" s="668"/>
      <c r="J66" s="816"/>
      <c r="K66" s="816"/>
      <c r="L66" s="668"/>
      <c r="M66" s="668"/>
      <c r="N66" s="668"/>
      <c r="O66" s="668"/>
      <c r="P66" s="668"/>
      <c r="Q66" s="668"/>
      <c r="R66" s="668"/>
      <c r="S66" s="668"/>
      <c r="T66" s="668"/>
      <c r="U66" s="668"/>
      <c r="V66" s="668"/>
      <c r="W66" s="668"/>
      <c r="X66" s="668"/>
      <c r="Y66" s="668"/>
      <c r="Z66" s="669"/>
    </row>
    <row r="67" spans="1:26" s="634" customFormat="1" ht="12.75">
      <c r="A67" s="620"/>
      <c r="B67" s="817"/>
      <c r="C67" s="817"/>
      <c r="D67" s="668"/>
      <c r="E67" s="668"/>
      <c r="F67" s="668"/>
      <c r="G67" s="668"/>
      <c r="H67" s="668"/>
      <c r="I67" s="668"/>
      <c r="J67" s="816"/>
      <c r="K67" s="816"/>
      <c r="L67" s="668"/>
      <c r="M67" s="668"/>
      <c r="N67" s="668"/>
      <c r="O67" s="668"/>
      <c r="P67" s="668"/>
      <c r="Q67" s="668"/>
      <c r="R67" s="668"/>
      <c r="S67" s="668"/>
      <c r="T67" s="668"/>
      <c r="U67" s="668"/>
      <c r="V67" s="668"/>
      <c r="W67" s="668"/>
      <c r="X67" s="668"/>
      <c r="Y67" s="668"/>
      <c r="Z67" s="669"/>
    </row>
    <row r="68" spans="1:26" s="634" customFormat="1" ht="12.75">
      <c r="A68" s="620"/>
      <c r="B68" s="817"/>
      <c r="C68" s="817"/>
      <c r="D68" s="668"/>
      <c r="E68" s="668"/>
      <c r="F68" s="668"/>
      <c r="G68" s="668"/>
      <c r="H68" s="668"/>
      <c r="I68" s="668"/>
      <c r="J68" s="816"/>
      <c r="K68" s="816"/>
      <c r="L68" s="668"/>
      <c r="M68" s="668"/>
      <c r="N68" s="668"/>
      <c r="O68" s="668"/>
      <c r="P68" s="668"/>
      <c r="Q68" s="668"/>
      <c r="R68" s="668"/>
      <c r="S68" s="668"/>
      <c r="T68" s="668"/>
      <c r="U68" s="668"/>
      <c r="V68" s="668"/>
      <c r="W68" s="668"/>
      <c r="X68" s="668"/>
      <c r="Y68" s="668"/>
      <c r="Z68" s="669"/>
    </row>
    <row r="69" spans="1:26" s="634" customFormat="1" ht="12.75">
      <c r="A69" s="620"/>
      <c r="B69" s="817"/>
      <c r="C69" s="817"/>
      <c r="D69" s="668"/>
      <c r="E69" s="668"/>
      <c r="F69" s="668"/>
      <c r="G69" s="668"/>
      <c r="H69" s="668"/>
      <c r="I69" s="668"/>
      <c r="J69" s="816"/>
      <c r="K69" s="816"/>
      <c r="L69" s="668"/>
      <c r="M69" s="668"/>
      <c r="N69" s="668"/>
      <c r="O69" s="668"/>
      <c r="P69" s="668"/>
      <c r="Q69" s="668"/>
      <c r="R69" s="668"/>
      <c r="S69" s="668"/>
      <c r="T69" s="668"/>
      <c r="U69" s="668"/>
      <c r="V69" s="668"/>
      <c r="W69" s="668"/>
      <c r="X69" s="668"/>
      <c r="Y69" s="668"/>
      <c r="Z69" s="669"/>
    </row>
    <row r="70" spans="1:26" s="634" customFormat="1" ht="12.75">
      <c r="A70" s="620"/>
      <c r="B70" s="817"/>
      <c r="C70" s="817"/>
      <c r="D70" s="668"/>
      <c r="E70" s="668"/>
      <c r="F70" s="668"/>
      <c r="G70" s="668"/>
      <c r="H70" s="668"/>
      <c r="I70" s="668"/>
      <c r="J70" s="816"/>
      <c r="K70" s="816"/>
      <c r="L70" s="668"/>
      <c r="M70" s="668"/>
      <c r="N70" s="668"/>
      <c r="O70" s="668"/>
      <c r="P70" s="668"/>
      <c r="Q70" s="668"/>
      <c r="R70" s="668"/>
      <c r="S70" s="668"/>
      <c r="T70" s="668"/>
      <c r="U70" s="668"/>
      <c r="V70" s="668"/>
      <c r="W70" s="668"/>
      <c r="X70" s="668"/>
      <c r="Y70" s="668"/>
      <c r="Z70" s="669"/>
    </row>
    <row r="71" spans="1:26" s="634" customFormat="1" ht="12.75">
      <c r="A71" s="620"/>
      <c r="B71" s="817"/>
      <c r="C71" s="817"/>
      <c r="D71" s="668"/>
      <c r="E71" s="668"/>
      <c r="F71" s="668"/>
      <c r="G71" s="668"/>
      <c r="H71" s="668"/>
      <c r="I71" s="668"/>
      <c r="J71" s="816"/>
      <c r="K71" s="816"/>
      <c r="L71" s="668"/>
      <c r="M71" s="668"/>
      <c r="N71" s="668"/>
      <c r="O71" s="668"/>
      <c r="P71" s="668"/>
      <c r="Q71" s="668"/>
      <c r="R71" s="668"/>
      <c r="S71" s="668"/>
      <c r="T71" s="668"/>
      <c r="U71" s="668"/>
      <c r="V71" s="668"/>
      <c r="W71" s="668"/>
      <c r="X71" s="668"/>
      <c r="Y71" s="668"/>
      <c r="Z71" s="669"/>
    </row>
    <row r="72" spans="1:26" s="634" customFormat="1" ht="12.75">
      <c r="A72" s="620"/>
      <c r="B72" s="817"/>
      <c r="C72" s="817"/>
      <c r="D72" s="668"/>
      <c r="E72" s="668"/>
      <c r="F72" s="668"/>
      <c r="G72" s="668"/>
      <c r="H72" s="668"/>
      <c r="I72" s="668"/>
      <c r="J72" s="816"/>
      <c r="K72" s="816"/>
      <c r="L72" s="668"/>
      <c r="M72" s="668"/>
      <c r="N72" s="668"/>
      <c r="O72" s="668"/>
      <c r="P72" s="668"/>
      <c r="Q72" s="668"/>
      <c r="R72" s="668"/>
      <c r="S72" s="668"/>
      <c r="T72" s="668"/>
      <c r="U72" s="668"/>
      <c r="V72" s="668"/>
      <c r="W72" s="668"/>
      <c r="X72" s="668"/>
      <c r="Y72" s="668"/>
      <c r="Z72" s="669"/>
    </row>
    <row r="73" spans="1:26" s="634" customFormat="1" ht="12.75">
      <c r="A73" s="620"/>
      <c r="B73" s="817"/>
      <c r="C73" s="817"/>
      <c r="D73" s="668"/>
      <c r="E73" s="668"/>
      <c r="F73" s="668"/>
      <c r="G73" s="668"/>
      <c r="H73" s="668"/>
      <c r="I73" s="668"/>
      <c r="J73" s="816"/>
      <c r="K73" s="816"/>
      <c r="L73" s="668"/>
      <c r="M73" s="668"/>
      <c r="N73" s="668"/>
      <c r="O73" s="668"/>
      <c r="P73" s="668"/>
      <c r="Q73" s="668"/>
      <c r="R73" s="668"/>
      <c r="S73" s="668"/>
      <c r="T73" s="668"/>
      <c r="U73" s="668"/>
      <c r="V73" s="668"/>
      <c r="W73" s="668"/>
      <c r="X73" s="668"/>
      <c r="Y73" s="668"/>
      <c r="Z73" s="669"/>
    </row>
    <row r="74" spans="1:26" s="634" customFormat="1" ht="12.75">
      <c r="A74" s="620"/>
      <c r="B74" s="817"/>
      <c r="C74" s="817"/>
      <c r="D74" s="668"/>
      <c r="E74" s="668"/>
      <c r="F74" s="668"/>
      <c r="G74" s="668"/>
      <c r="H74" s="668"/>
      <c r="I74" s="668"/>
      <c r="J74" s="816"/>
      <c r="K74" s="816"/>
      <c r="L74" s="668"/>
      <c r="M74" s="668"/>
      <c r="N74" s="668"/>
      <c r="O74" s="668"/>
      <c r="P74" s="668"/>
      <c r="Q74" s="668"/>
      <c r="R74" s="668"/>
      <c r="S74" s="668"/>
      <c r="T74" s="668"/>
      <c r="U74" s="668"/>
      <c r="V74" s="668"/>
      <c r="W74" s="668"/>
      <c r="X74" s="668"/>
      <c r="Y74" s="668"/>
      <c r="Z74" s="669"/>
    </row>
    <row r="75" spans="1:26" s="634" customFormat="1" ht="12.75">
      <c r="A75" s="620"/>
      <c r="B75" s="817"/>
      <c r="C75" s="817"/>
      <c r="D75" s="668"/>
      <c r="E75" s="668"/>
      <c r="F75" s="668"/>
      <c r="G75" s="668"/>
      <c r="H75" s="668"/>
      <c r="I75" s="668"/>
      <c r="J75" s="816"/>
      <c r="K75" s="816"/>
      <c r="L75" s="668"/>
      <c r="M75" s="668"/>
      <c r="N75" s="668"/>
      <c r="O75" s="668"/>
      <c r="P75" s="668"/>
      <c r="Q75" s="668"/>
      <c r="R75" s="668"/>
      <c r="S75" s="668"/>
      <c r="T75" s="668"/>
      <c r="U75" s="668"/>
      <c r="V75" s="668"/>
      <c r="W75" s="668"/>
      <c r="X75" s="668"/>
      <c r="Y75" s="668"/>
      <c r="Z75" s="669"/>
    </row>
    <row r="76" spans="1:26" s="634" customFormat="1" ht="12.75">
      <c r="A76" s="620"/>
      <c r="B76" s="817"/>
      <c r="C76" s="817"/>
      <c r="D76" s="668"/>
      <c r="E76" s="668"/>
      <c r="F76" s="668"/>
      <c r="G76" s="668"/>
      <c r="H76" s="668"/>
      <c r="I76" s="668"/>
      <c r="J76" s="816"/>
      <c r="K76" s="816"/>
      <c r="L76" s="668"/>
      <c r="M76" s="668"/>
      <c r="N76" s="668"/>
      <c r="O76" s="668"/>
      <c r="P76" s="668"/>
      <c r="Q76" s="668"/>
      <c r="R76" s="668"/>
      <c r="S76" s="668"/>
      <c r="T76" s="668"/>
      <c r="U76" s="668"/>
      <c r="V76" s="668"/>
      <c r="W76" s="668"/>
      <c r="X76" s="668"/>
      <c r="Y76" s="668"/>
      <c r="Z76" s="669"/>
    </row>
    <row r="77" spans="1:26" s="634" customFormat="1" ht="12.75">
      <c r="A77" s="620"/>
      <c r="B77" s="817"/>
      <c r="C77" s="817"/>
      <c r="D77" s="668"/>
      <c r="E77" s="668"/>
      <c r="F77" s="668"/>
      <c r="G77" s="668"/>
      <c r="H77" s="668"/>
      <c r="I77" s="668"/>
      <c r="J77" s="816"/>
      <c r="K77" s="816"/>
      <c r="L77" s="668"/>
      <c r="M77" s="668"/>
      <c r="N77" s="668"/>
      <c r="O77" s="668"/>
      <c r="P77" s="668"/>
      <c r="Q77" s="668"/>
      <c r="R77" s="668"/>
      <c r="S77" s="668"/>
      <c r="T77" s="668"/>
      <c r="U77" s="668"/>
      <c r="V77" s="668"/>
      <c r="W77" s="668"/>
      <c r="X77" s="668"/>
      <c r="Y77" s="668"/>
      <c r="Z77" s="669"/>
    </row>
    <row r="78" spans="1:26" s="634" customFormat="1" ht="12.75">
      <c r="A78" s="620"/>
      <c r="B78" s="817"/>
      <c r="C78" s="817"/>
      <c r="D78" s="668"/>
      <c r="E78" s="668"/>
      <c r="F78" s="668"/>
      <c r="G78" s="668"/>
      <c r="H78" s="668"/>
      <c r="I78" s="668"/>
      <c r="J78" s="816"/>
      <c r="K78" s="816"/>
      <c r="L78" s="668"/>
      <c r="M78" s="668"/>
      <c r="N78" s="668"/>
      <c r="O78" s="668"/>
      <c r="P78" s="668"/>
      <c r="Q78" s="668"/>
      <c r="R78" s="668"/>
      <c r="S78" s="668"/>
      <c r="T78" s="668"/>
      <c r="U78" s="668"/>
      <c r="V78" s="668"/>
      <c r="W78" s="668"/>
      <c r="X78" s="668"/>
      <c r="Y78" s="668"/>
      <c r="Z78" s="669"/>
    </row>
    <row r="79" spans="1:26" s="634" customFormat="1" ht="12.75">
      <c r="A79" s="620"/>
      <c r="B79" s="817"/>
      <c r="C79" s="817"/>
      <c r="D79" s="668"/>
      <c r="E79" s="668"/>
      <c r="F79" s="668"/>
      <c r="G79" s="668"/>
      <c r="H79" s="668"/>
      <c r="I79" s="668"/>
      <c r="J79" s="816"/>
      <c r="K79" s="816"/>
      <c r="L79" s="668"/>
      <c r="M79" s="668"/>
      <c r="N79" s="668"/>
      <c r="O79" s="668"/>
      <c r="P79" s="668"/>
      <c r="Q79" s="668"/>
      <c r="R79" s="668"/>
      <c r="S79" s="668"/>
      <c r="T79" s="668"/>
      <c r="U79" s="668"/>
      <c r="V79" s="668"/>
      <c r="W79" s="668"/>
      <c r="X79" s="668"/>
      <c r="Y79" s="668"/>
      <c r="Z79" s="669"/>
    </row>
    <row r="80" spans="1:26" s="634" customFormat="1" ht="12.75">
      <c r="A80" s="620"/>
      <c r="B80" s="817"/>
      <c r="C80" s="817"/>
      <c r="D80" s="668"/>
      <c r="E80" s="668"/>
      <c r="F80" s="668"/>
      <c r="G80" s="668"/>
      <c r="H80" s="668"/>
      <c r="I80" s="668"/>
      <c r="J80" s="816"/>
      <c r="K80" s="816"/>
      <c r="L80" s="668"/>
      <c r="M80" s="668"/>
      <c r="N80" s="668"/>
      <c r="O80" s="668"/>
      <c r="P80" s="668"/>
      <c r="Q80" s="668"/>
      <c r="R80" s="668"/>
      <c r="S80" s="668"/>
      <c r="T80" s="668"/>
      <c r="U80" s="668"/>
      <c r="V80" s="668"/>
      <c r="W80" s="668"/>
      <c r="X80" s="668"/>
      <c r="Y80" s="668"/>
      <c r="Z80" s="669"/>
    </row>
    <row r="81" spans="1:27" s="634" customFormat="1" ht="12.75">
      <c r="A81" s="620"/>
      <c r="B81" s="817"/>
      <c r="C81" s="817"/>
      <c r="D81" s="668"/>
      <c r="E81" s="668"/>
      <c r="F81" s="668"/>
      <c r="G81" s="668"/>
      <c r="H81" s="668"/>
      <c r="I81" s="668"/>
      <c r="J81" s="816"/>
      <c r="K81" s="816"/>
      <c r="L81" s="668"/>
      <c r="M81" s="668"/>
      <c r="N81" s="668"/>
      <c r="O81" s="668"/>
      <c r="P81" s="668"/>
      <c r="Q81" s="668"/>
      <c r="R81" s="668"/>
      <c r="S81" s="668"/>
      <c r="T81" s="668"/>
      <c r="U81" s="668"/>
      <c r="V81" s="668"/>
      <c r="W81" s="668"/>
      <c r="X81" s="668"/>
      <c r="Y81" s="668"/>
      <c r="Z81" s="669"/>
    </row>
    <row r="82" spans="1:27" s="634" customFormat="1" ht="12.75">
      <c r="A82" s="620"/>
      <c r="B82" s="817"/>
      <c r="C82" s="817"/>
      <c r="D82" s="668"/>
      <c r="E82" s="668"/>
      <c r="F82" s="668"/>
      <c r="G82" s="668"/>
      <c r="H82" s="668"/>
      <c r="I82" s="668"/>
      <c r="J82" s="816"/>
      <c r="K82" s="816"/>
      <c r="L82" s="668"/>
      <c r="M82" s="668"/>
      <c r="N82" s="668"/>
      <c r="O82" s="668"/>
      <c r="P82" s="668"/>
      <c r="Q82" s="668"/>
      <c r="R82" s="668"/>
      <c r="S82" s="668"/>
      <c r="T82" s="668"/>
      <c r="U82" s="668"/>
      <c r="V82" s="668"/>
      <c r="W82" s="668"/>
      <c r="X82" s="668"/>
      <c r="Y82" s="668"/>
      <c r="Z82" s="669"/>
    </row>
    <row r="83" spans="1:27" s="634" customFormat="1" ht="12.75">
      <c r="A83" s="620"/>
      <c r="B83" s="817"/>
      <c r="C83" s="817"/>
      <c r="D83" s="668"/>
      <c r="E83" s="668"/>
      <c r="F83" s="668"/>
      <c r="G83" s="668"/>
      <c r="H83" s="668"/>
      <c r="I83" s="668"/>
      <c r="J83" s="816"/>
      <c r="K83" s="816"/>
      <c r="L83" s="668"/>
      <c r="M83" s="668"/>
      <c r="N83" s="668"/>
      <c r="O83" s="668"/>
      <c r="P83" s="668"/>
      <c r="Q83" s="668"/>
      <c r="R83" s="668"/>
      <c r="S83" s="668"/>
      <c r="T83" s="668"/>
      <c r="U83" s="668"/>
      <c r="V83" s="668"/>
      <c r="W83" s="668"/>
      <c r="X83" s="668"/>
      <c r="Y83" s="668"/>
      <c r="Z83" s="669"/>
    </row>
    <row r="84" spans="1:27" s="634" customFormat="1" ht="12.75">
      <c r="A84" s="620"/>
      <c r="B84" s="817"/>
      <c r="C84" s="817"/>
      <c r="D84" s="668"/>
      <c r="E84" s="668"/>
      <c r="F84" s="668"/>
      <c r="G84" s="668"/>
      <c r="H84" s="668"/>
      <c r="I84" s="668"/>
      <c r="J84" s="816"/>
      <c r="K84" s="816"/>
      <c r="L84" s="668"/>
      <c r="M84" s="668"/>
      <c r="N84" s="668"/>
      <c r="O84" s="668"/>
      <c r="P84" s="668"/>
      <c r="Q84" s="668"/>
      <c r="R84" s="668"/>
      <c r="S84" s="668"/>
      <c r="T84" s="668"/>
      <c r="U84" s="668"/>
      <c r="V84" s="668"/>
      <c r="W84" s="668"/>
      <c r="X84" s="668"/>
      <c r="Y84" s="668"/>
      <c r="Z84" s="669"/>
    </row>
    <row r="85" spans="1:27" s="634" customFormat="1" ht="12.75">
      <c r="A85" s="620"/>
      <c r="B85" s="817"/>
      <c r="C85" s="817"/>
      <c r="D85" s="668"/>
      <c r="E85" s="668"/>
      <c r="F85" s="668"/>
      <c r="G85" s="668"/>
      <c r="H85" s="668"/>
      <c r="I85" s="668"/>
      <c r="J85" s="816"/>
      <c r="K85" s="816"/>
      <c r="L85" s="668"/>
      <c r="M85" s="668"/>
      <c r="N85" s="668"/>
      <c r="O85" s="668"/>
      <c r="P85" s="668"/>
      <c r="Q85" s="668"/>
      <c r="R85" s="668"/>
      <c r="S85" s="668"/>
      <c r="T85" s="668"/>
      <c r="U85" s="668"/>
      <c r="V85" s="668"/>
      <c r="W85" s="668"/>
      <c r="X85" s="668"/>
      <c r="Y85" s="668"/>
      <c r="Z85" s="669"/>
    </row>
    <row r="86" spans="1:27" s="634" customFormat="1" ht="12.75">
      <c r="A86" s="620"/>
      <c r="B86" s="817"/>
      <c r="C86" s="817"/>
      <c r="D86" s="668"/>
      <c r="E86" s="668"/>
      <c r="F86" s="668"/>
      <c r="G86" s="668"/>
      <c r="H86" s="668"/>
      <c r="I86" s="668"/>
      <c r="J86" s="816"/>
      <c r="K86" s="816"/>
      <c r="L86" s="668"/>
      <c r="M86" s="668"/>
      <c r="N86" s="668"/>
      <c r="O86" s="668"/>
      <c r="P86" s="668"/>
      <c r="Q86" s="668"/>
      <c r="R86" s="668"/>
      <c r="S86" s="668"/>
      <c r="T86" s="668"/>
      <c r="U86" s="668"/>
      <c r="V86" s="668"/>
      <c r="W86" s="668"/>
      <c r="X86" s="668"/>
      <c r="Y86" s="668"/>
      <c r="Z86" s="669"/>
    </row>
    <row r="87" spans="1:27" s="634" customFormat="1" ht="12.75">
      <c r="A87" s="620"/>
      <c r="B87" s="817"/>
      <c r="C87" s="817"/>
      <c r="D87" s="668"/>
      <c r="E87" s="668"/>
      <c r="F87" s="668"/>
      <c r="G87" s="668"/>
      <c r="H87" s="668"/>
      <c r="I87" s="668"/>
      <c r="J87" s="816"/>
      <c r="K87" s="816"/>
      <c r="L87" s="668"/>
      <c r="M87" s="668"/>
      <c r="N87" s="668"/>
      <c r="O87" s="668"/>
      <c r="P87" s="668"/>
      <c r="Q87" s="668"/>
      <c r="R87" s="668"/>
      <c r="S87" s="668"/>
      <c r="T87" s="668"/>
      <c r="U87" s="668"/>
      <c r="V87" s="668"/>
      <c r="W87" s="668"/>
      <c r="X87" s="668"/>
      <c r="Y87" s="668"/>
      <c r="Z87" s="669"/>
    </row>
    <row r="88" spans="1:27" s="634" customFormat="1" ht="12.75">
      <c r="A88" s="620"/>
      <c r="B88" s="817"/>
      <c r="C88" s="817"/>
      <c r="D88" s="668"/>
      <c r="E88" s="668"/>
      <c r="F88" s="668"/>
      <c r="G88" s="668"/>
      <c r="H88" s="668"/>
      <c r="I88" s="668"/>
      <c r="J88" s="816"/>
      <c r="K88" s="816"/>
      <c r="L88" s="668"/>
      <c r="M88" s="668"/>
      <c r="N88" s="668"/>
      <c r="O88" s="668"/>
      <c r="P88" s="668"/>
      <c r="Q88" s="668"/>
      <c r="R88" s="668"/>
      <c r="S88" s="668"/>
      <c r="T88" s="668"/>
      <c r="U88" s="668"/>
      <c r="V88" s="668"/>
      <c r="W88" s="668"/>
      <c r="X88" s="668"/>
      <c r="Y88" s="668"/>
      <c r="Z88" s="669"/>
    </row>
    <row r="89" spans="1:27" s="599" customFormat="1">
      <c r="A89" s="621" t="s">
        <v>279</v>
      </c>
      <c r="B89" s="622"/>
      <c r="C89" s="622"/>
      <c r="D89" s="622"/>
      <c r="E89" s="622"/>
      <c r="F89" s="622"/>
      <c r="G89" s="622"/>
      <c r="H89" s="622"/>
      <c r="I89" s="622"/>
      <c r="J89" s="622"/>
      <c r="K89" s="622"/>
      <c r="L89" s="623"/>
      <c r="M89" s="623">
        <f>SUM(M64:M88)</f>
        <v>0</v>
      </c>
      <c r="N89" s="623">
        <f t="shared" ref="N89:W89" si="5">SUM(N64:N88)</f>
        <v>0</v>
      </c>
      <c r="O89" s="623">
        <f t="shared" si="5"/>
        <v>0</v>
      </c>
      <c r="P89" s="623">
        <f t="shared" si="5"/>
        <v>0</v>
      </c>
      <c r="Q89" s="623">
        <f t="shared" si="5"/>
        <v>0</v>
      </c>
      <c r="R89" s="623">
        <f t="shared" si="5"/>
        <v>0</v>
      </c>
      <c r="S89" s="623">
        <f t="shared" si="5"/>
        <v>0</v>
      </c>
      <c r="T89" s="623">
        <f t="shared" si="5"/>
        <v>0</v>
      </c>
      <c r="U89" s="623">
        <f t="shared" si="5"/>
        <v>0</v>
      </c>
      <c r="V89" s="623">
        <f t="shared" si="5"/>
        <v>0</v>
      </c>
      <c r="W89" s="623">
        <f t="shared" si="5"/>
        <v>0</v>
      </c>
      <c r="X89" s="624"/>
      <c r="Y89" s="624"/>
      <c r="Z89" s="625"/>
    </row>
    <row r="90" spans="1:27" s="599" customFormat="1">
      <c r="A90" s="621" t="s">
        <v>286</v>
      </c>
      <c r="B90" s="622"/>
      <c r="C90" s="622"/>
      <c r="D90" s="622"/>
      <c r="E90" s="622"/>
      <c r="F90" s="622"/>
      <c r="G90" s="622"/>
      <c r="H90" s="622"/>
      <c r="I90" s="622"/>
      <c r="J90" s="622"/>
      <c r="K90" s="622"/>
      <c r="L90" s="623"/>
      <c r="M90" s="623">
        <f t="shared" ref="M90:W90" si="6">SUMIF($Z$64:$Z$88,"industrie",M64:M88)</f>
        <v>0</v>
      </c>
      <c r="N90" s="623">
        <f t="shared" si="6"/>
        <v>0</v>
      </c>
      <c r="O90" s="623">
        <f t="shared" si="6"/>
        <v>0</v>
      </c>
      <c r="P90" s="623">
        <f t="shared" si="6"/>
        <v>0</v>
      </c>
      <c r="Q90" s="623">
        <f t="shared" si="6"/>
        <v>0</v>
      </c>
      <c r="R90" s="623">
        <f t="shared" si="6"/>
        <v>0</v>
      </c>
      <c r="S90" s="623">
        <f t="shared" si="6"/>
        <v>0</v>
      </c>
      <c r="T90" s="623">
        <f t="shared" si="6"/>
        <v>0</v>
      </c>
      <c r="U90" s="623">
        <f t="shared" si="6"/>
        <v>0</v>
      </c>
      <c r="V90" s="623">
        <f t="shared" si="6"/>
        <v>0</v>
      </c>
      <c r="W90" s="623">
        <f t="shared" si="6"/>
        <v>0</v>
      </c>
      <c r="X90" s="624"/>
      <c r="Y90" s="624"/>
      <c r="Z90" s="625"/>
    </row>
    <row r="91" spans="1:27" s="599" customFormat="1">
      <c r="A91" s="621" t="s">
        <v>287</v>
      </c>
      <c r="B91" s="622"/>
      <c r="C91" s="622"/>
      <c r="D91" s="622"/>
      <c r="E91" s="622"/>
      <c r="F91" s="622"/>
      <c r="G91" s="622"/>
      <c r="H91" s="622"/>
      <c r="I91" s="622"/>
      <c r="J91" s="622"/>
      <c r="K91" s="622"/>
      <c r="L91" s="623"/>
      <c r="M91" s="623">
        <f t="shared" ref="M91:W91" si="7">SUMIF($Z$64:$Z$89,"tertiair",M64:M89)</f>
        <v>0</v>
      </c>
      <c r="N91" s="623">
        <f t="shared" si="7"/>
        <v>0</v>
      </c>
      <c r="O91" s="623">
        <f t="shared" si="7"/>
        <v>0</v>
      </c>
      <c r="P91" s="623">
        <f t="shared" si="7"/>
        <v>0</v>
      </c>
      <c r="Q91" s="623">
        <f t="shared" si="7"/>
        <v>0</v>
      </c>
      <c r="R91" s="623">
        <f t="shared" si="7"/>
        <v>0</v>
      </c>
      <c r="S91" s="623">
        <f t="shared" si="7"/>
        <v>0</v>
      </c>
      <c r="T91" s="623">
        <f t="shared" si="7"/>
        <v>0</v>
      </c>
      <c r="U91" s="623">
        <f t="shared" si="7"/>
        <v>0</v>
      </c>
      <c r="V91" s="623">
        <f t="shared" si="7"/>
        <v>0</v>
      </c>
      <c r="W91" s="623">
        <f t="shared" si="7"/>
        <v>0</v>
      </c>
      <c r="X91" s="624"/>
      <c r="Y91" s="624"/>
      <c r="Z91" s="625"/>
    </row>
    <row r="92" spans="1:27" s="599" customFormat="1" ht="15.75" thickBot="1">
      <c r="A92" s="626" t="s">
        <v>288</v>
      </c>
      <c r="B92" s="627"/>
      <c r="C92" s="627"/>
      <c r="D92" s="627"/>
      <c r="E92" s="627"/>
      <c r="F92" s="627"/>
      <c r="G92" s="627"/>
      <c r="H92" s="627"/>
      <c r="I92" s="627"/>
      <c r="J92" s="627"/>
      <c r="K92" s="627"/>
      <c r="L92" s="628"/>
      <c r="M92" s="628">
        <f t="shared" ref="M92:W92" si="8">SUMIF($Z$64:$Z$90,"landbouw",M64:M90)</f>
        <v>0</v>
      </c>
      <c r="N92" s="628">
        <f t="shared" si="8"/>
        <v>0</v>
      </c>
      <c r="O92" s="628">
        <f t="shared" si="8"/>
        <v>0</v>
      </c>
      <c r="P92" s="628">
        <f t="shared" si="8"/>
        <v>0</v>
      </c>
      <c r="Q92" s="628">
        <f t="shared" si="8"/>
        <v>0</v>
      </c>
      <c r="R92" s="628">
        <f t="shared" si="8"/>
        <v>0</v>
      </c>
      <c r="S92" s="628">
        <f t="shared" si="8"/>
        <v>0</v>
      </c>
      <c r="T92" s="628">
        <f t="shared" si="8"/>
        <v>0</v>
      </c>
      <c r="U92" s="628">
        <f t="shared" si="8"/>
        <v>0</v>
      </c>
      <c r="V92" s="628">
        <f t="shared" si="8"/>
        <v>0</v>
      </c>
      <c r="W92" s="628">
        <f t="shared" si="8"/>
        <v>0</v>
      </c>
      <c r="X92" s="629"/>
      <c r="Y92" s="629"/>
      <c r="Z92" s="630"/>
    </row>
    <row r="93" spans="1:27" s="635" customFormat="1">
      <c r="A93" s="631"/>
      <c r="B93" s="615"/>
      <c r="C93" s="615"/>
      <c r="D93" s="615"/>
      <c r="E93" s="615"/>
      <c r="F93" s="615"/>
      <c r="G93" s="615"/>
      <c r="H93" s="615"/>
      <c r="I93" s="615"/>
      <c r="J93" s="615"/>
      <c r="K93" s="615"/>
      <c r="L93" s="615"/>
      <c r="M93" s="615"/>
      <c r="N93" s="615"/>
      <c r="O93" s="615"/>
      <c r="P93" s="615"/>
      <c r="Q93" s="615"/>
      <c r="R93" s="615"/>
      <c r="S93" s="615"/>
      <c r="T93" s="615"/>
      <c r="U93" s="615"/>
      <c r="V93" s="615"/>
      <c r="W93" s="615"/>
      <c r="X93" s="615"/>
      <c r="Y93" s="615"/>
    </row>
    <row r="94" spans="1:27" s="635" customFormat="1" ht="15.75" thickBot="1">
      <c r="A94" s="631"/>
      <c r="B94" s="615"/>
      <c r="C94" s="615"/>
      <c r="D94" s="615"/>
      <c r="E94" s="615"/>
      <c r="F94" s="615"/>
      <c r="G94" s="615"/>
      <c r="H94" s="615"/>
      <c r="I94" s="615"/>
      <c r="J94" s="615"/>
      <c r="K94" s="615"/>
      <c r="L94" s="615"/>
      <c r="M94" s="615"/>
      <c r="N94" s="615"/>
      <c r="O94" s="615"/>
      <c r="P94" s="615"/>
      <c r="Q94" s="615"/>
      <c r="R94" s="615"/>
      <c r="S94" s="615"/>
      <c r="T94" s="615"/>
      <c r="U94" s="615"/>
      <c r="V94" s="615"/>
      <c r="W94" s="615"/>
      <c r="X94" s="615"/>
      <c r="Y94" s="615"/>
      <c r="Z94" s="615"/>
      <c r="AA94" s="615"/>
    </row>
    <row r="95" spans="1:27">
      <c r="A95" s="636" t="s">
        <v>281</v>
      </c>
      <c r="B95" s="637"/>
      <c r="C95" s="637"/>
      <c r="D95" s="637"/>
      <c r="E95" s="637"/>
      <c r="F95" s="637"/>
      <c r="G95" s="637"/>
      <c r="H95" s="637"/>
      <c r="I95" s="638"/>
      <c r="J95" s="639"/>
      <c r="K95" s="639"/>
      <c r="L95" s="640"/>
      <c r="M95" s="640"/>
      <c r="N95" s="640"/>
      <c r="O95" s="640"/>
      <c r="P95" s="640"/>
    </row>
    <row r="96" spans="1:27">
      <c r="A96" s="642"/>
      <c r="B96" s="632"/>
      <c r="C96" s="632"/>
      <c r="D96" s="632"/>
      <c r="E96" s="632"/>
      <c r="F96" s="632"/>
      <c r="G96" s="632"/>
      <c r="H96" s="632"/>
      <c r="I96" s="643"/>
      <c r="J96" s="632"/>
      <c r="K96" s="632"/>
      <c r="L96" s="640"/>
      <c r="M96" s="640"/>
      <c r="N96" s="640"/>
      <c r="O96" s="640"/>
      <c r="P96" s="640"/>
    </row>
    <row r="97" spans="1:16">
      <c r="A97" s="644"/>
      <c r="B97" s="645" t="s">
        <v>282</v>
      </c>
      <c r="C97" s="645" t="s">
        <v>283</v>
      </c>
      <c r="D97" s="645"/>
      <c r="E97" s="645"/>
      <c r="F97" s="645"/>
      <c r="G97" s="645"/>
      <c r="H97" s="645"/>
      <c r="I97" s="646"/>
      <c r="J97" s="645"/>
      <c r="K97" s="645"/>
      <c r="L97" s="645"/>
      <c r="M97" s="645"/>
      <c r="N97" s="645"/>
      <c r="O97" s="645"/>
      <c r="P97" s="640"/>
    </row>
    <row r="98" spans="1:16">
      <c r="A98" s="642" t="s">
        <v>279</v>
      </c>
      <c r="B98" s="647">
        <f>IF(ISERROR(O58/(O58+N58)),0,O58/(O58+N58))</f>
        <v>0</v>
      </c>
      <c r="C98" s="648">
        <f>IF(ISERROR(N58/(O58+N58)),0,N58/(N58+O58))</f>
        <v>0</v>
      </c>
      <c r="D98" s="615"/>
      <c r="E98" s="615"/>
      <c r="F98" s="615"/>
      <c r="G98" s="615"/>
      <c r="H98" s="615"/>
      <c r="I98" s="649"/>
      <c r="J98" s="615"/>
      <c r="K98" s="615"/>
      <c r="L98" s="650"/>
      <c r="M98" s="650"/>
      <c r="N98" s="650"/>
      <c r="O98" s="650"/>
      <c r="P98" s="640"/>
    </row>
    <row r="99" spans="1:16">
      <c r="A99" s="642"/>
      <c r="B99" s="651"/>
      <c r="C99" s="651"/>
      <c r="D99" s="651"/>
      <c r="E99" s="651"/>
      <c r="F99" s="651"/>
      <c r="G99" s="651"/>
      <c r="H99" s="651"/>
      <c r="I99" s="652"/>
      <c r="J99" s="651"/>
      <c r="K99" s="651"/>
      <c r="L99" s="653"/>
      <c r="M99" s="653"/>
      <c r="N99" s="653"/>
      <c r="O99" s="653"/>
      <c r="P99" s="640"/>
    </row>
    <row r="100" spans="1:16" ht="30">
      <c r="A100" s="654"/>
      <c r="B100" s="655" t="s">
        <v>528</v>
      </c>
      <c r="C100" s="655" t="s">
        <v>102</v>
      </c>
      <c r="D100" s="655" t="s">
        <v>103</v>
      </c>
      <c r="E100" s="655" t="s">
        <v>104</v>
      </c>
      <c r="F100" s="655" t="s">
        <v>105</v>
      </c>
      <c r="G100" s="655" t="s">
        <v>106</v>
      </c>
      <c r="H100" s="655" t="s">
        <v>107</v>
      </c>
      <c r="I100" s="656" t="s">
        <v>108</v>
      </c>
      <c r="J100" s="645"/>
      <c r="K100" s="645"/>
      <c r="L100" s="653"/>
      <c r="M100" s="653"/>
      <c r="N100" s="653"/>
      <c r="O100" s="640"/>
      <c r="P100" s="640"/>
    </row>
    <row r="101" spans="1:16">
      <c r="A101" s="644" t="s">
        <v>284</v>
      </c>
      <c r="B101" s="657">
        <f t="shared" ref="B101:I101" si="9">$C$98*P58</f>
        <v>0</v>
      </c>
      <c r="C101" s="657">
        <f t="shared" si="9"/>
        <v>0</v>
      </c>
      <c r="D101" s="657">
        <f t="shared" si="9"/>
        <v>0</v>
      </c>
      <c r="E101" s="657">
        <f t="shared" si="9"/>
        <v>0</v>
      </c>
      <c r="F101" s="657">
        <f t="shared" si="9"/>
        <v>0</v>
      </c>
      <c r="G101" s="657">
        <f t="shared" si="9"/>
        <v>0</v>
      </c>
      <c r="H101" s="657">
        <f t="shared" si="9"/>
        <v>0</v>
      </c>
      <c r="I101" s="658">
        <f t="shared" si="9"/>
        <v>0</v>
      </c>
      <c r="J101" s="615"/>
      <c r="K101" s="615"/>
      <c r="L101" s="653"/>
      <c r="M101" s="653"/>
      <c r="N101" s="653"/>
      <c r="O101" s="640"/>
      <c r="P101" s="640"/>
    </row>
    <row r="102" spans="1:16" ht="15.75" thickBot="1">
      <c r="A102" s="659" t="s">
        <v>285</v>
      </c>
      <c r="B102" s="660">
        <f t="shared" ref="B102:I102" si="10">$B$98*P58</f>
        <v>0</v>
      </c>
      <c r="C102" s="660">
        <f t="shared" si="10"/>
        <v>0</v>
      </c>
      <c r="D102" s="660">
        <f t="shared" si="10"/>
        <v>0</v>
      </c>
      <c r="E102" s="660">
        <f t="shared" si="10"/>
        <v>0</v>
      </c>
      <c r="F102" s="660">
        <f t="shared" si="10"/>
        <v>0</v>
      </c>
      <c r="G102" s="660">
        <f t="shared" si="10"/>
        <v>0</v>
      </c>
      <c r="H102" s="660">
        <f t="shared" si="10"/>
        <v>0</v>
      </c>
      <c r="I102" s="661">
        <f t="shared" si="10"/>
        <v>0</v>
      </c>
      <c r="J102" s="615"/>
      <c r="K102" s="615"/>
      <c r="L102" s="653"/>
      <c r="M102" s="653"/>
      <c r="N102" s="653"/>
      <c r="O102" s="640"/>
      <c r="P102" s="640"/>
    </row>
    <row r="103" spans="1:16">
      <c r="J103" s="595"/>
      <c r="K103" s="595"/>
      <c r="L103" s="595"/>
      <c r="M103" s="595"/>
      <c r="N103" s="595"/>
    </row>
    <row r="104" spans="1:16">
      <c r="J104" s="595"/>
      <c r="K104" s="595"/>
      <c r="L104" s="595"/>
      <c r="M104" s="595"/>
      <c r="N104" s="595"/>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7"/>
  <sheetViews>
    <sheetView showGridLines="0" workbookViewId="0">
      <selection activeCell="B6" sqref="B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406</v>
      </c>
      <c r="B1" s="378" t="s">
        <v>413</v>
      </c>
      <c r="C1" s="378" t="s">
        <v>412</v>
      </c>
      <c r="D1" s="378" t="s">
        <v>411</v>
      </c>
      <c r="E1" s="379" t="s">
        <v>407</v>
      </c>
      <c r="F1" s="380" t="s">
        <v>408</v>
      </c>
      <c r="G1" s="380" t="s">
        <v>409</v>
      </c>
      <c r="H1" s="380" t="s">
        <v>410</v>
      </c>
    </row>
    <row r="2" spans="1:8" s="11" customFormat="1">
      <c r="A2" s="373" t="s">
        <v>719</v>
      </c>
      <c r="B2" s="959" t="s">
        <v>784</v>
      </c>
      <c r="C2" s="373" t="s">
        <v>192</v>
      </c>
      <c r="D2" s="373" t="s">
        <v>785</v>
      </c>
      <c r="E2" s="374"/>
      <c r="F2" s="924" t="s">
        <v>689</v>
      </c>
      <c r="G2" s="924" t="s">
        <v>688</v>
      </c>
      <c r="H2" s="924" t="s">
        <v>690</v>
      </c>
    </row>
    <row r="3" spans="1:8" s="11" customFormat="1">
      <c r="A3" s="373" t="s">
        <v>691</v>
      </c>
      <c r="B3" s="959" t="s">
        <v>693</v>
      </c>
      <c r="C3" s="373" t="s">
        <v>692</v>
      </c>
      <c r="D3" s="373" t="s">
        <v>694</v>
      </c>
      <c r="E3" s="374"/>
      <c r="F3" s="371" t="s">
        <v>697</v>
      </c>
      <c r="G3" s="371" t="s">
        <v>702</v>
      </c>
      <c r="H3" s="372" t="s">
        <v>703</v>
      </c>
    </row>
    <row r="4" spans="1:8" s="11" customFormat="1">
      <c r="A4" s="373" t="s">
        <v>797</v>
      </c>
      <c r="B4" s="959" t="s">
        <v>799</v>
      </c>
      <c r="C4" s="373" t="s">
        <v>192</v>
      </c>
      <c r="D4" s="960" t="s">
        <v>786</v>
      </c>
      <c r="E4" s="374"/>
      <c r="F4" s="924" t="s">
        <v>689</v>
      </c>
      <c r="G4" s="924" t="s">
        <v>688</v>
      </c>
      <c r="H4" s="924" t="s">
        <v>690</v>
      </c>
    </row>
    <row r="5" spans="1:8" s="11" customFormat="1">
      <c r="A5" s="373" t="s">
        <v>399</v>
      </c>
      <c r="B5" s="824" t="s">
        <v>717</v>
      </c>
      <c r="C5" s="373" t="s">
        <v>399</v>
      </c>
      <c r="D5" s="373" t="s">
        <v>700</v>
      </c>
      <c r="E5" s="374"/>
      <c r="F5" s="924" t="s">
        <v>685</v>
      </c>
      <c r="G5" s="924" t="s">
        <v>686</v>
      </c>
      <c r="H5" s="924" t="s">
        <v>687</v>
      </c>
    </row>
    <row r="6" spans="1:8">
      <c r="A6" s="368" t="s">
        <v>848</v>
      </c>
      <c r="B6" s="920" t="s">
        <v>831</v>
      </c>
      <c r="C6" s="368" t="s">
        <v>848</v>
      </c>
      <c r="D6" s="368" t="s">
        <v>701</v>
      </c>
      <c r="E6" s="370"/>
      <c r="F6" s="371" t="s">
        <v>851</v>
      </c>
      <c r="G6" s="371" t="s">
        <v>854</v>
      </c>
      <c r="H6" s="372" t="s">
        <v>850</v>
      </c>
    </row>
    <row r="7" spans="1:8">
      <c r="A7" s="373" t="s">
        <v>423</v>
      </c>
      <c r="B7" s="376" t="s">
        <v>424</v>
      </c>
      <c r="C7" s="373" t="s">
        <v>426</v>
      </c>
      <c r="D7" s="373" t="s">
        <v>422</v>
      </c>
      <c r="E7" s="370" t="s">
        <v>425</v>
      </c>
      <c r="F7" s="371"/>
      <c r="G7" s="371"/>
      <c r="H7" s="372"/>
    </row>
    <row r="8" spans="1:8" s="913" customFormat="1">
      <c r="A8" s="373" t="s">
        <v>695</v>
      </c>
      <c r="B8" s="824">
        <v>2018</v>
      </c>
      <c r="C8" s="373" t="s">
        <v>399</v>
      </c>
      <c r="D8" s="373" t="s">
        <v>783</v>
      </c>
      <c r="E8" s="370" t="s">
        <v>696</v>
      </c>
      <c r="F8" s="371"/>
      <c r="G8" s="371"/>
      <c r="H8" s="372"/>
    </row>
    <row r="9" spans="1:8" s="913" customFormat="1">
      <c r="A9" s="373" t="s">
        <v>706</v>
      </c>
      <c r="B9" s="824">
        <v>2017</v>
      </c>
      <c r="C9" s="373" t="s">
        <v>708</v>
      </c>
      <c r="D9" s="373" t="s">
        <v>707</v>
      </c>
      <c r="E9" s="375" t="s">
        <v>705</v>
      </c>
      <c r="F9" s="371"/>
      <c r="G9" s="371"/>
      <c r="H9" s="372"/>
    </row>
    <row r="10" spans="1:8" s="11" customFormat="1">
      <c r="A10" s="373" t="s">
        <v>621</v>
      </c>
      <c r="B10" s="824" t="s">
        <v>830</v>
      </c>
      <c r="C10" s="373" t="s">
        <v>622</v>
      </c>
      <c r="D10" s="373" t="s">
        <v>623</v>
      </c>
      <c r="E10" s="374"/>
      <c r="F10" s="924" t="s">
        <v>675</v>
      </c>
      <c r="G10" s="924" t="s">
        <v>676</v>
      </c>
      <c r="H10" s="372" t="s">
        <v>677</v>
      </c>
    </row>
    <row r="11" spans="1:8">
      <c r="A11" s="368" t="s">
        <v>680</v>
      </c>
      <c r="B11" s="920" t="s">
        <v>720</v>
      </c>
      <c r="C11" s="368" t="s">
        <v>681</v>
      </c>
      <c r="D11" s="368" t="s">
        <v>787</v>
      </c>
      <c r="E11" s="711"/>
      <c r="F11" s="371" t="s">
        <v>684</v>
      </c>
      <c r="G11" s="371" t="s">
        <v>682</v>
      </c>
      <c r="H11" s="372" t="s">
        <v>683</v>
      </c>
    </row>
    <row r="12" spans="1:8" s="913" customFormat="1">
      <c r="A12" s="373" t="s">
        <v>699</v>
      </c>
      <c r="B12" s="824">
        <v>2017</v>
      </c>
      <c r="C12" s="373" t="s">
        <v>417</v>
      </c>
      <c r="D12" s="373" t="s">
        <v>698</v>
      </c>
      <c r="E12" s="370"/>
      <c r="F12" s="371" t="s">
        <v>697</v>
      </c>
      <c r="G12" s="371" t="s">
        <v>702</v>
      </c>
      <c r="H12" s="372" t="s">
        <v>703</v>
      </c>
    </row>
    <row r="13" spans="1:8" s="10" customFormat="1">
      <c r="A13" s="373" t="s">
        <v>401</v>
      </c>
      <c r="B13" s="369" t="s">
        <v>416</v>
      </c>
      <c r="C13" s="368"/>
      <c r="D13" s="377" t="s">
        <v>415</v>
      </c>
      <c r="E13" s="370"/>
      <c r="F13" s="371"/>
      <c r="G13" s="371"/>
      <c r="H13" s="372"/>
    </row>
    <row r="14" spans="1:8">
      <c r="A14" s="368" t="s">
        <v>394</v>
      </c>
      <c r="B14" s="369" t="s">
        <v>711</v>
      </c>
      <c r="C14" s="368" t="s">
        <v>671</v>
      </c>
      <c r="D14" s="368" t="s">
        <v>712</v>
      </c>
      <c r="E14" s="375" t="s">
        <v>395</v>
      </c>
      <c r="F14" s="371" t="s">
        <v>396</v>
      </c>
      <c r="G14" s="371" t="s">
        <v>855</v>
      </c>
      <c r="H14" s="371" t="s">
        <v>397</v>
      </c>
    </row>
    <row r="15" spans="1:8">
      <c r="A15" s="368" t="s">
        <v>400</v>
      </c>
      <c r="B15" s="920" t="s">
        <v>717</v>
      </c>
      <c r="C15" s="368" t="s">
        <v>400</v>
      </c>
      <c r="D15" s="368" t="s">
        <v>414</v>
      </c>
      <c r="E15" s="370"/>
      <c r="F15" s="371" t="s">
        <v>727</v>
      </c>
      <c r="G15" s="930" t="s">
        <v>856</v>
      </c>
      <c r="H15" s="930" t="s">
        <v>731</v>
      </c>
    </row>
    <row r="16" spans="1:8" s="921" customFormat="1">
      <c r="A16" s="926" t="s">
        <v>500</v>
      </c>
      <c r="B16" s="927" t="s">
        <v>379</v>
      </c>
      <c r="C16" s="926" t="s">
        <v>377</v>
      </c>
      <c r="D16" s="928" t="s">
        <v>378</v>
      </c>
      <c r="E16" s="929" t="s">
        <v>380</v>
      </c>
      <c r="F16" s="371" t="s">
        <v>673</v>
      </c>
      <c r="G16" s="930" t="s">
        <v>678</v>
      </c>
      <c r="H16" s="372" t="s">
        <v>679</v>
      </c>
    </row>
    <row r="17" spans="1:8" s="921" customFormat="1">
      <c r="A17" s="926" t="s">
        <v>500</v>
      </c>
      <c r="B17" s="927" t="s">
        <v>721</v>
      </c>
      <c r="C17" s="926" t="s">
        <v>722</v>
      </c>
      <c r="D17" s="928" t="s">
        <v>723</v>
      </c>
      <c r="E17" s="929"/>
      <c r="F17" s="371" t="s">
        <v>673</v>
      </c>
      <c r="G17" s="930" t="s">
        <v>678</v>
      </c>
      <c r="H17" s="372" t="s">
        <v>679</v>
      </c>
    </row>
    <row r="18" spans="1:8" s="11" customFormat="1">
      <c r="A18" s="373" t="s">
        <v>499</v>
      </c>
      <c r="B18" s="927" t="s">
        <v>784</v>
      </c>
      <c r="C18" s="373" t="s">
        <v>417</v>
      </c>
      <c r="D18" s="373" t="s">
        <v>840</v>
      </c>
      <c r="E18" s="375" t="s">
        <v>674</v>
      </c>
      <c r="F18" s="371" t="s">
        <v>673</v>
      </c>
      <c r="G18" s="930" t="s">
        <v>678</v>
      </c>
      <c r="H18" s="372" t="s">
        <v>679</v>
      </c>
    </row>
    <row r="19" spans="1:8">
      <c r="A19" s="373" t="s">
        <v>192</v>
      </c>
      <c r="B19" s="824" t="s">
        <v>831</v>
      </c>
      <c r="C19" s="373" t="s">
        <v>418</v>
      </c>
      <c r="D19" s="373" t="s">
        <v>672</v>
      </c>
      <c r="E19" s="370"/>
      <c r="F19" s="371" t="s">
        <v>419</v>
      </c>
      <c r="G19" s="371" t="s">
        <v>420</v>
      </c>
      <c r="H19" s="372" t="s">
        <v>421</v>
      </c>
    </row>
    <row r="20" spans="1:8" s="913" customFormat="1">
      <c r="A20" s="373" t="s">
        <v>400</v>
      </c>
      <c r="B20" s="824" t="s">
        <v>830</v>
      </c>
      <c r="C20" s="373" t="s">
        <v>400</v>
      </c>
      <c r="D20" s="373" t="s">
        <v>724</v>
      </c>
      <c r="E20" s="370"/>
      <c r="F20" s="371" t="s">
        <v>726</v>
      </c>
      <c r="G20" s="924" t="s">
        <v>857</v>
      </c>
      <c r="H20" s="925" t="s">
        <v>730</v>
      </c>
    </row>
    <row r="21" spans="1:8" s="913" customFormat="1">
      <c r="A21" s="373" t="s">
        <v>400</v>
      </c>
      <c r="B21" s="824" t="s">
        <v>849</v>
      </c>
      <c r="C21" s="373" t="s">
        <v>400</v>
      </c>
      <c r="D21" s="373" t="s">
        <v>725</v>
      </c>
      <c r="E21" s="370"/>
      <c r="F21" s="371" t="s">
        <v>852</v>
      </c>
      <c r="G21" s="924" t="s">
        <v>858</v>
      </c>
      <c r="H21" s="372" t="s">
        <v>853</v>
      </c>
    </row>
    <row r="22" spans="1:8" s="11" customFormat="1">
      <c r="A22" s="373" t="s">
        <v>400</v>
      </c>
      <c r="B22" s="959" t="s">
        <v>831</v>
      </c>
      <c r="C22" s="373" t="s">
        <v>400</v>
      </c>
      <c r="D22" s="373" t="s">
        <v>647</v>
      </c>
      <c r="E22" s="374"/>
      <c r="F22" s="924" t="s">
        <v>729</v>
      </c>
      <c r="G22" s="924" t="s">
        <v>859</v>
      </c>
      <c r="H22" s="924" t="s">
        <v>728</v>
      </c>
    </row>
    <row r="23" spans="1:8" s="11" customFormat="1">
      <c r="A23" s="373" t="s">
        <v>400</v>
      </c>
      <c r="B23" s="959" t="s">
        <v>831</v>
      </c>
      <c r="C23" s="373" t="s">
        <v>400</v>
      </c>
      <c r="D23" s="960" t="s">
        <v>626</v>
      </c>
      <c r="E23" s="374"/>
      <c r="F23" s="924" t="s">
        <v>729</v>
      </c>
      <c r="G23" s="924" t="s">
        <v>859</v>
      </c>
      <c r="H23" s="925" t="s">
        <v>728</v>
      </c>
    </row>
    <row r="26" spans="1:8">
      <c r="F26" s="913"/>
    </row>
    <row r="27" spans="1:8">
      <c r="G27" s="913"/>
    </row>
  </sheetData>
  <hyperlinks>
    <hyperlink ref="H6" r:id="rId1"/>
    <hyperlink ref="E14" r:id="rId2"/>
    <hyperlink ref="H10" r:id="rId3"/>
    <hyperlink ref="H16" r:id="rId4"/>
    <hyperlink ref="H18" r:id="rId5"/>
    <hyperlink ref="H12" r:id="rId6"/>
    <hyperlink ref="H3" r:id="rId7"/>
    <hyperlink ref="E9" r:id="rId8"/>
    <hyperlink ref="H15" r:id="rId9" display="mailto:ellen.moons@vea.be"/>
    <hyperlink ref="E18" r:id="rId10"/>
    <hyperlink ref="H21" r:id="rId11"/>
  </hyperlinks>
  <pageMargins left="0.7" right="0.7" top="0.75" bottom="0.75" header="0.3" footer="0.3"/>
  <pageSetup paperSize="9" orientation="portrait" r:id="rId12"/>
  <ignoredErrors>
    <ignoredError sqref="B7 B13"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21" sqref="C21"/>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31" t="s">
        <v>611</v>
      </c>
      <c r="B1" s="931" t="s">
        <v>612</v>
      </c>
      <c r="C1" s="931" t="s">
        <v>614</v>
      </c>
      <c r="D1" s="931" t="s">
        <v>613</v>
      </c>
    </row>
    <row r="2" spans="1:4" s="914" customFormat="1">
      <c r="A2" s="1057">
        <v>2017</v>
      </c>
      <c r="B2" s="942">
        <v>43599</v>
      </c>
      <c r="C2" s="914" t="s">
        <v>793</v>
      </c>
      <c r="D2" s="956" t="s">
        <v>794</v>
      </c>
    </row>
    <row r="3" spans="1:4" s="914" customFormat="1">
      <c r="A3" s="1057">
        <v>2017</v>
      </c>
      <c r="B3" s="942">
        <v>43599</v>
      </c>
      <c r="C3" s="914" t="s">
        <v>790</v>
      </c>
      <c r="D3" s="943" t="s">
        <v>788</v>
      </c>
    </row>
    <row r="4" spans="1:4" s="914" customFormat="1">
      <c r="A4" s="1057">
        <v>2017</v>
      </c>
      <c r="B4" s="942">
        <v>43599</v>
      </c>
      <c r="C4" s="914" t="s">
        <v>791</v>
      </c>
      <c r="D4" s="1058" t="s">
        <v>789</v>
      </c>
    </row>
    <row r="5" spans="1:4" s="914" customFormat="1">
      <c r="A5" s="1057">
        <v>2017</v>
      </c>
      <c r="B5" s="942">
        <v>43599</v>
      </c>
      <c r="C5" s="914" t="s">
        <v>792</v>
      </c>
      <c r="D5" s="943" t="s">
        <v>782</v>
      </c>
    </row>
    <row r="6" spans="1:4" s="914" customFormat="1">
      <c r="A6" s="1057">
        <v>2017</v>
      </c>
      <c r="B6" s="961">
        <v>43608</v>
      </c>
      <c r="C6" s="914" t="s">
        <v>826</v>
      </c>
      <c r="D6" s="943" t="s">
        <v>828</v>
      </c>
    </row>
    <row r="7" spans="1:4" s="914" customFormat="1">
      <c r="A7" s="1057">
        <v>2017</v>
      </c>
      <c r="B7" s="961">
        <v>43608</v>
      </c>
      <c r="C7" s="914" t="s">
        <v>827</v>
      </c>
      <c r="D7" s="943" t="s">
        <v>829</v>
      </c>
    </row>
    <row r="8" spans="1:4" s="914" customFormat="1">
      <c r="A8" s="1057">
        <v>2017</v>
      </c>
      <c r="B8" s="961">
        <v>43608</v>
      </c>
      <c r="C8" s="914" t="s">
        <v>841</v>
      </c>
      <c r="D8" s="962" t="s">
        <v>842</v>
      </c>
    </row>
    <row r="9" spans="1:4" s="7" customFormat="1">
      <c r="A9" s="1057">
        <v>2017</v>
      </c>
      <c r="B9" s="961">
        <v>43608</v>
      </c>
      <c r="C9" s="914" t="s">
        <v>843</v>
      </c>
      <c r="D9" s="965" t="s">
        <v>844</v>
      </c>
    </row>
    <row r="10" spans="1:4" s="7" customFormat="1">
      <c r="A10" s="1057">
        <v>2017</v>
      </c>
      <c r="B10" s="942">
        <v>43614</v>
      </c>
      <c r="C10" s="942" t="s">
        <v>862</v>
      </c>
      <c r="D10" s="962" t="s">
        <v>868</v>
      </c>
    </row>
    <row r="11" spans="1:4" s="7" customFormat="1">
      <c r="A11" s="1057">
        <v>2017</v>
      </c>
      <c r="B11" s="942">
        <v>43614</v>
      </c>
      <c r="C11" s="942" t="s">
        <v>863</v>
      </c>
      <c r="D11" s="962" t="s">
        <v>869</v>
      </c>
    </row>
    <row r="12" spans="1:4" s="7" customFormat="1">
      <c r="A12" s="1057">
        <v>2017</v>
      </c>
      <c r="B12" s="942">
        <v>43614</v>
      </c>
      <c r="C12" s="942" t="s">
        <v>864</v>
      </c>
      <c r="D12" s="962" t="s">
        <v>870</v>
      </c>
    </row>
    <row r="13" spans="1:4" s="7" customFormat="1">
      <c r="A13" s="1057">
        <v>2017</v>
      </c>
      <c r="B13" s="942">
        <v>43614</v>
      </c>
      <c r="C13" s="942" t="s">
        <v>865</v>
      </c>
      <c r="D13" s="962" t="s">
        <v>871</v>
      </c>
    </row>
    <row r="14" spans="1:4" s="7" customFormat="1">
      <c r="A14" s="1057">
        <v>2017</v>
      </c>
      <c r="B14" s="942">
        <v>43614</v>
      </c>
      <c r="C14" s="942" t="s">
        <v>866</v>
      </c>
      <c r="D14" s="962" t="s">
        <v>872</v>
      </c>
    </row>
    <row r="15" spans="1:4" s="7" customFormat="1">
      <c r="A15" s="1057">
        <v>2017</v>
      </c>
      <c r="B15" s="942">
        <v>43614</v>
      </c>
      <c r="C15" s="942" t="s">
        <v>867</v>
      </c>
      <c r="D15" s="962" t="s">
        <v>873</v>
      </c>
    </row>
    <row r="16" spans="1:4" s="7" customFormat="1">
      <c r="A16" s="914"/>
      <c r="B16" s="942"/>
      <c r="C16" s="942"/>
      <c r="D16" s="965"/>
    </row>
    <row r="17" spans="1:4" s="7" customFormat="1">
      <c r="A17" s="914"/>
      <c r="B17" s="942"/>
      <c r="C17" s="942"/>
      <c r="D17" s="965"/>
    </row>
    <row r="18" spans="1:4" s="7" customFormat="1">
      <c r="A18" s="914"/>
      <c r="B18" s="942"/>
      <c r="C18" s="942"/>
      <c r="D18" s="965"/>
    </row>
    <row r="19" spans="1:4" s="7" customFormat="1">
      <c r="B19" s="922"/>
      <c r="C19" s="942"/>
      <c r="D19" s="962"/>
    </row>
    <row r="20" spans="1:4" s="7" customFormat="1">
      <c r="B20" s="922"/>
      <c r="D20" s="923"/>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7" workbookViewId="0">
      <selection activeCell="B17" sqref="B1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2" t="s">
        <v>544</v>
      </c>
      <c r="B1" s="1183" t="s">
        <v>540</v>
      </c>
      <c r="C1" s="1183"/>
      <c r="D1" s="1183"/>
      <c r="E1" s="1183"/>
      <c r="F1" s="1183"/>
      <c r="G1" s="1183"/>
      <c r="H1" s="1183"/>
      <c r="I1" s="1183"/>
      <c r="J1" s="1183"/>
      <c r="K1" s="1183"/>
      <c r="L1" s="1183"/>
      <c r="M1" s="1183"/>
      <c r="N1" s="1183"/>
      <c r="O1" s="1183"/>
      <c r="P1" s="1184"/>
      <c r="Q1" s="475"/>
    </row>
    <row r="2" spans="1:17">
      <c r="A2" s="1182"/>
      <c r="B2" s="1185" t="s">
        <v>20</v>
      </c>
      <c r="C2" s="1187" t="s">
        <v>195</v>
      </c>
      <c r="D2" s="1189" t="s">
        <v>196</v>
      </c>
      <c r="E2" s="1190"/>
      <c r="F2" s="1190"/>
      <c r="G2" s="1190"/>
      <c r="H2" s="1190"/>
      <c r="I2" s="1190"/>
      <c r="J2" s="1190"/>
      <c r="K2" s="1186"/>
      <c r="L2" s="1189" t="s">
        <v>197</v>
      </c>
      <c r="M2" s="1190"/>
      <c r="N2" s="1190"/>
      <c r="O2" s="1190"/>
      <c r="P2" s="1186"/>
      <c r="Q2" s="475"/>
    </row>
    <row r="3" spans="1:17" ht="45">
      <c r="A3" s="1182"/>
      <c r="B3" s="1186"/>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c r="Q3" s="475" t="s">
        <v>115</v>
      </c>
    </row>
    <row r="4" spans="1:17">
      <c r="A4" s="477" t="s">
        <v>154</v>
      </c>
      <c r="B4" s="478">
        <f>huishoudens!B8</f>
        <v>8896.8198093119972</v>
      </c>
      <c r="C4" s="478">
        <f>huishoudens!C8</f>
        <v>0</v>
      </c>
      <c r="D4" s="478">
        <f>huishoudens!D8</f>
        <v>0</v>
      </c>
      <c r="E4" s="478">
        <f>huishoudens!E8</f>
        <v>5781.752283484424</v>
      </c>
      <c r="F4" s="478">
        <f>huishoudens!F8</f>
        <v>24890.1238850263</v>
      </c>
      <c r="G4" s="478">
        <f>huishoudens!G8</f>
        <v>0</v>
      </c>
      <c r="H4" s="478">
        <f>huishoudens!H8</f>
        <v>0</v>
      </c>
      <c r="I4" s="478">
        <f>huishoudens!I8</f>
        <v>0</v>
      </c>
      <c r="J4" s="478">
        <f>huishoudens!J8</f>
        <v>1494.0818368742637</v>
      </c>
      <c r="K4" s="478">
        <f>huishoudens!K8</f>
        <v>0</v>
      </c>
      <c r="L4" s="478">
        <f>huishoudens!L8</f>
        <v>0</v>
      </c>
      <c r="M4" s="478">
        <f>huishoudens!M8</f>
        <v>0</v>
      </c>
      <c r="N4" s="478">
        <f>huishoudens!N8</f>
        <v>6061.041567756597</v>
      </c>
      <c r="O4" s="478">
        <f>huishoudens!O8</f>
        <v>124.98936782138301</v>
      </c>
      <c r="P4" s="479">
        <f>huishoudens!P8</f>
        <v>337.08669784592075</v>
      </c>
      <c r="Q4" s="480">
        <f>SUM(B4:P4)</f>
        <v>47585.895448120886</v>
      </c>
    </row>
    <row r="5" spans="1:17">
      <c r="A5" s="477" t="s">
        <v>155</v>
      </c>
      <c r="B5" s="478">
        <f ca="1">tertiair!B16</f>
        <v>3275.2426499999997</v>
      </c>
      <c r="C5" s="478">
        <f ca="1">tertiair!C16</f>
        <v>0</v>
      </c>
      <c r="D5" s="478">
        <f ca="1">tertiair!D16</f>
        <v>0</v>
      </c>
      <c r="E5" s="478">
        <f>tertiair!E16</f>
        <v>39.551790693435962</v>
      </c>
      <c r="F5" s="478">
        <f ca="1">tertiair!F16</f>
        <v>384.80673077626267</v>
      </c>
      <c r="G5" s="478">
        <f>tertiair!G16</f>
        <v>0</v>
      </c>
      <c r="H5" s="478">
        <f>tertiair!H16</f>
        <v>0</v>
      </c>
      <c r="I5" s="478">
        <f>tertiair!I16</f>
        <v>0</v>
      </c>
      <c r="J5" s="478">
        <f>tertiair!J16</f>
        <v>4.8470710206913476E-3</v>
      </c>
      <c r="K5" s="478">
        <f>tertiair!K16</f>
        <v>0</v>
      </c>
      <c r="L5" s="478">
        <f ca="1">tertiair!L16</f>
        <v>0</v>
      </c>
      <c r="M5" s="478">
        <f>tertiair!M16</f>
        <v>0</v>
      </c>
      <c r="N5" s="478">
        <f ca="1">tertiair!N16</f>
        <v>192.53599194955819</v>
      </c>
      <c r="O5" s="478">
        <f>tertiair!O16</f>
        <v>0</v>
      </c>
      <c r="P5" s="479">
        <f>tertiair!P16</f>
        <v>52.539138306495019</v>
      </c>
      <c r="Q5" s="477">
        <f t="shared" ref="Q5:Q14" ca="1" si="0">SUM(B5:P5)</f>
        <v>3944.681148796772</v>
      </c>
    </row>
    <row r="6" spans="1:17">
      <c r="A6" s="477" t="s">
        <v>193</v>
      </c>
      <c r="B6" s="478">
        <f>'openbare verlichting'!B8</f>
        <v>310.51799999999997</v>
      </c>
      <c r="C6" s="478"/>
      <c r="D6" s="478"/>
      <c r="E6" s="478"/>
      <c r="F6" s="478"/>
      <c r="G6" s="478"/>
      <c r="H6" s="478"/>
      <c r="I6" s="478"/>
      <c r="J6" s="478"/>
      <c r="K6" s="478"/>
      <c r="L6" s="478"/>
      <c r="M6" s="478"/>
      <c r="N6" s="478"/>
      <c r="O6" s="478"/>
      <c r="P6" s="479"/>
      <c r="Q6" s="477">
        <f t="shared" si="0"/>
        <v>310.51799999999997</v>
      </c>
    </row>
    <row r="7" spans="1:17">
      <c r="A7" s="477" t="s">
        <v>111</v>
      </c>
      <c r="B7" s="478">
        <f>landbouw!B8</f>
        <v>2610.8249999999998</v>
      </c>
      <c r="C7" s="478">
        <f>landbouw!C8</f>
        <v>0</v>
      </c>
      <c r="D7" s="478">
        <f>landbouw!D8</f>
        <v>0</v>
      </c>
      <c r="E7" s="478">
        <f>landbouw!E8</f>
        <v>81.482987306127825</v>
      </c>
      <c r="F7" s="478">
        <f>landbouw!F8</f>
        <v>9226.9447693915172</v>
      </c>
      <c r="G7" s="478">
        <f>landbouw!G8</f>
        <v>0</v>
      </c>
      <c r="H7" s="478">
        <f>landbouw!H8</f>
        <v>0</v>
      </c>
      <c r="I7" s="478">
        <f>landbouw!I8</f>
        <v>0</v>
      </c>
      <c r="J7" s="478">
        <f>landbouw!J8</f>
        <v>719.30039341269583</v>
      </c>
      <c r="K7" s="478">
        <f>landbouw!K8</f>
        <v>0</v>
      </c>
      <c r="L7" s="478">
        <f>landbouw!L8</f>
        <v>0</v>
      </c>
      <c r="M7" s="478">
        <f>landbouw!M8</f>
        <v>0</v>
      </c>
      <c r="N7" s="478">
        <f>landbouw!N8</f>
        <v>0</v>
      </c>
      <c r="O7" s="478">
        <f>landbouw!O8</f>
        <v>0</v>
      </c>
      <c r="P7" s="479">
        <f>landbouw!P8</f>
        <v>0</v>
      </c>
      <c r="Q7" s="477">
        <f t="shared" si="0"/>
        <v>12638.553150110341</v>
      </c>
    </row>
    <row r="8" spans="1:17">
      <c r="A8" s="477" t="s">
        <v>629</v>
      </c>
      <c r="B8" s="478">
        <f>industrie!B18</f>
        <v>641.37765000000013</v>
      </c>
      <c r="C8" s="478">
        <f>industrie!C18</f>
        <v>0</v>
      </c>
      <c r="D8" s="478">
        <f>industrie!D18</f>
        <v>0</v>
      </c>
      <c r="E8" s="478">
        <f>industrie!E18</f>
        <v>150.41651860604722</v>
      </c>
      <c r="F8" s="478">
        <f>industrie!F18</f>
        <v>455.34761772394592</v>
      </c>
      <c r="G8" s="478">
        <f>industrie!G18</f>
        <v>0</v>
      </c>
      <c r="H8" s="478">
        <f>industrie!H18</f>
        <v>0</v>
      </c>
      <c r="I8" s="478">
        <f>industrie!I18</f>
        <v>0</v>
      </c>
      <c r="J8" s="478">
        <f>industrie!J18</f>
        <v>4.7061507130423515E-2</v>
      </c>
      <c r="K8" s="478">
        <f>industrie!K18</f>
        <v>0</v>
      </c>
      <c r="L8" s="478">
        <f>industrie!L18</f>
        <v>0</v>
      </c>
      <c r="M8" s="478">
        <f>industrie!M18</f>
        <v>0</v>
      </c>
      <c r="N8" s="478">
        <f>industrie!N18</f>
        <v>43.880992040131737</v>
      </c>
      <c r="O8" s="478">
        <f>industrie!O18</f>
        <v>0</v>
      </c>
      <c r="P8" s="479">
        <f>industrie!P18</f>
        <v>0</v>
      </c>
      <c r="Q8" s="477">
        <f t="shared" si="0"/>
        <v>1291.0698398772554</v>
      </c>
    </row>
    <row r="9" spans="1:17" s="483" customFormat="1">
      <c r="A9" s="481" t="s">
        <v>555</v>
      </c>
      <c r="B9" s="482">
        <f>transport!B14</f>
        <v>20.370905043055551</v>
      </c>
      <c r="C9" s="482">
        <f>transport!C14</f>
        <v>0</v>
      </c>
      <c r="D9" s="482">
        <f>transport!D14</f>
        <v>95.989211722444438</v>
      </c>
      <c r="E9" s="482">
        <f>transport!E14</f>
        <v>73.001470174333321</v>
      </c>
      <c r="F9" s="482">
        <f>transport!F14</f>
        <v>0</v>
      </c>
      <c r="G9" s="482">
        <f>transport!G14</f>
        <v>23740.755674041513</v>
      </c>
      <c r="H9" s="482">
        <f>transport!H14</f>
        <v>7105.5044860607068</v>
      </c>
      <c r="I9" s="482">
        <f>transport!I14</f>
        <v>0</v>
      </c>
      <c r="J9" s="482">
        <f>transport!J14</f>
        <v>0</v>
      </c>
      <c r="K9" s="482">
        <f>transport!K14</f>
        <v>0</v>
      </c>
      <c r="L9" s="482">
        <f>transport!L14</f>
        <v>0</v>
      </c>
      <c r="M9" s="482">
        <f>transport!M14</f>
        <v>1836.0100132482819</v>
      </c>
      <c r="N9" s="482">
        <f>transport!N14</f>
        <v>0</v>
      </c>
      <c r="O9" s="482">
        <f>transport!O14</f>
        <v>0</v>
      </c>
      <c r="P9" s="482">
        <f>transport!P14</f>
        <v>0</v>
      </c>
      <c r="Q9" s="481">
        <f>SUM(B9:P9)</f>
        <v>32871.631760290336</v>
      </c>
    </row>
    <row r="10" spans="1:17">
      <c r="A10" s="477" t="s">
        <v>545</v>
      </c>
      <c r="B10" s="478">
        <f>transport!B54</f>
        <v>0</v>
      </c>
      <c r="C10" s="478">
        <f>transport!C54</f>
        <v>0</v>
      </c>
      <c r="D10" s="478">
        <f>transport!D54</f>
        <v>0</v>
      </c>
      <c r="E10" s="478">
        <f>transport!E54</f>
        <v>0</v>
      </c>
      <c r="F10" s="478">
        <f>transport!F54</f>
        <v>0</v>
      </c>
      <c r="G10" s="478">
        <f>transport!G54</f>
        <v>974.01347686813835</v>
      </c>
      <c r="H10" s="478">
        <f>transport!H54</f>
        <v>0</v>
      </c>
      <c r="I10" s="478">
        <f>transport!I54</f>
        <v>0</v>
      </c>
      <c r="J10" s="478">
        <f>transport!J54</f>
        <v>0</v>
      </c>
      <c r="K10" s="478">
        <f>transport!K54</f>
        <v>0</v>
      </c>
      <c r="L10" s="478">
        <f>transport!L54</f>
        <v>0</v>
      </c>
      <c r="M10" s="478">
        <f>transport!M54</f>
        <v>54.135776813002074</v>
      </c>
      <c r="N10" s="478">
        <f>transport!N54</f>
        <v>0</v>
      </c>
      <c r="O10" s="478">
        <f>transport!O54</f>
        <v>0</v>
      </c>
      <c r="P10" s="479">
        <f>transport!P54</f>
        <v>0</v>
      </c>
      <c r="Q10" s="477">
        <f t="shared" si="0"/>
        <v>1028.1492536811404</v>
      </c>
    </row>
    <row r="11" spans="1:17">
      <c r="A11" s="477" t="s">
        <v>546</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547</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548</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773</v>
      </c>
      <c r="B14" s="485">
        <f>'SEAP template'!C25</f>
        <v>465.69565</v>
      </c>
      <c r="C14" s="485"/>
      <c r="D14" s="485">
        <f>'SEAP template'!E25</f>
        <v>0</v>
      </c>
      <c r="E14" s="485"/>
      <c r="F14" s="485"/>
      <c r="G14" s="485"/>
      <c r="H14" s="485"/>
      <c r="I14" s="485"/>
      <c r="J14" s="485"/>
      <c r="K14" s="485"/>
      <c r="L14" s="485"/>
      <c r="M14" s="485"/>
      <c r="N14" s="485"/>
      <c r="O14" s="485"/>
      <c r="P14" s="486"/>
      <c r="Q14" s="477">
        <f t="shared" si="0"/>
        <v>465.69565</v>
      </c>
    </row>
    <row r="15" spans="1:17" s="489" customFormat="1">
      <c r="A15" s="487" t="s">
        <v>549</v>
      </c>
      <c r="B15" s="488">
        <f ca="1">SUM(B4:B14)</f>
        <v>16220.849664355053</v>
      </c>
      <c r="C15" s="488">
        <f t="shared" ref="C15:Q15" ca="1" si="1">SUM(C4:C14)</f>
        <v>0</v>
      </c>
      <c r="D15" s="488">
        <f t="shared" ca="1" si="1"/>
        <v>95.989211722444438</v>
      </c>
      <c r="E15" s="488">
        <f t="shared" si="1"/>
        <v>6126.2050502643679</v>
      </c>
      <c r="F15" s="488">
        <f t="shared" ca="1" si="1"/>
        <v>34957.223002918021</v>
      </c>
      <c r="G15" s="488">
        <f t="shared" si="1"/>
        <v>24714.769150909651</v>
      </c>
      <c r="H15" s="488">
        <f t="shared" si="1"/>
        <v>7105.5044860607068</v>
      </c>
      <c r="I15" s="488">
        <f t="shared" si="1"/>
        <v>0</v>
      </c>
      <c r="J15" s="488">
        <f t="shared" si="1"/>
        <v>2213.4341388651105</v>
      </c>
      <c r="K15" s="488">
        <f t="shared" si="1"/>
        <v>0</v>
      </c>
      <c r="L15" s="488">
        <f t="shared" ca="1" si="1"/>
        <v>0</v>
      </c>
      <c r="M15" s="488">
        <f t="shared" si="1"/>
        <v>1890.1457900612841</v>
      </c>
      <c r="N15" s="488">
        <f t="shared" ca="1" si="1"/>
        <v>6297.4585517462874</v>
      </c>
      <c r="O15" s="488">
        <f t="shared" si="1"/>
        <v>124.98936782138301</v>
      </c>
      <c r="P15" s="488">
        <f t="shared" si="1"/>
        <v>389.62583615241579</v>
      </c>
      <c r="Q15" s="488">
        <f t="shared" ca="1" si="1"/>
        <v>100136.19425087672</v>
      </c>
    </row>
    <row r="17" spans="1:17">
      <c r="A17" s="490" t="s">
        <v>550</v>
      </c>
      <c r="B17" s="807">
        <f ca="1">huishoudens!B10</f>
        <v>0.19379725565552808</v>
      </c>
      <c r="C17" s="807">
        <f ca="1">huishoudens!C10</f>
        <v>0</v>
      </c>
      <c r="D17" s="807">
        <f>huishoudens!D10</f>
        <v>0.20200000000000001</v>
      </c>
      <c r="E17" s="807">
        <f>huishoudens!E10</f>
        <v>0.22700000000000001</v>
      </c>
      <c r="F17" s="807">
        <f>huishoudens!F10</f>
        <v>0.26700000000000002</v>
      </c>
      <c r="G17" s="807">
        <f>huishoudens!G10</f>
        <v>0.26700000000000002</v>
      </c>
      <c r="H17" s="807">
        <f>huishoudens!H10</f>
        <v>0.249</v>
      </c>
      <c r="I17" s="807">
        <f>huishoudens!I10</f>
        <v>0.35099999999999998</v>
      </c>
      <c r="J17" s="807">
        <f>huishoudens!J10</f>
        <v>0.35399999999999998</v>
      </c>
      <c r="K17" s="807">
        <f>huishoudens!K10</f>
        <v>0.26400000000000001</v>
      </c>
      <c r="L17" s="807">
        <f>huishoudens!L10</f>
        <v>0</v>
      </c>
      <c r="M17" s="807">
        <f>huishoudens!M10</f>
        <v>0</v>
      </c>
      <c r="N17" s="807">
        <f>huishoudens!N10</f>
        <v>0</v>
      </c>
      <c r="O17" s="807">
        <f>huishoudens!O10</f>
        <v>0</v>
      </c>
      <c r="P17" s="807">
        <f>huishoudens!P10</f>
        <v>0</v>
      </c>
    </row>
    <row r="19" spans="1:17" ht="15.75">
      <c r="A19" s="1182" t="s">
        <v>552</v>
      </c>
      <c r="B19" s="1183" t="s">
        <v>551</v>
      </c>
      <c r="C19" s="1183"/>
      <c r="D19" s="1183"/>
      <c r="E19" s="1183"/>
      <c r="F19" s="1183"/>
      <c r="G19" s="1183"/>
      <c r="H19" s="1183"/>
      <c r="I19" s="1183"/>
      <c r="J19" s="1183"/>
      <c r="K19" s="1183"/>
      <c r="L19" s="1183"/>
      <c r="M19" s="1183"/>
      <c r="N19" s="1183"/>
      <c r="O19" s="1183"/>
      <c r="P19" s="1184"/>
      <c r="Q19" s="475"/>
    </row>
    <row r="20" spans="1:17" ht="15" customHeight="1">
      <c r="A20" s="1182"/>
      <c r="B20" s="1185" t="s">
        <v>20</v>
      </c>
      <c r="C20" s="1187" t="s">
        <v>195</v>
      </c>
      <c r="D20" s="1189" t="s">
        <v>196</v>
      </c>
      <c r="E20" s="1190"/>
      <c r="F20" s="1190"/>
      <c r="G20" s="1190"/>
      <c r="H20" s="1190"/>
      <c r="I20" s="1190"/>
      <c r="J20" s="1190"/>
      <c r="K20" s="1186"/>
      <c r="L20" s="1189" t="s">
        <v>197</v>
      </c>
      <c r="M20" s="1190"/>
      <c r="N20" s="1190"/>
      <c r="O20" s="1190"/>
      <c r="P20" s="1186"/>
      <c r="Q20" s="475"/>
    </row>
    <row r="21" spans="1:17" ht="45">
      <c r="A21" s="1182"/>
      <c r="B21" s="1186"/>
      <c r="C21" s="1188"/>
      <c r="D21" s="475" t="s">
        <v>198</v>
      </c>
      <c r="E21" s="475" t="s">
        <v>199</v>
      </c>
      <c r="F21" s="475" t="s">
        <v>200</v>
      </c>
      <c r="G21" s="475" t="s">
        <v>201</v>
      </c>
      <c r="H21" s="475" t="s">
        <v>119</v>
      </c>
      <c r="I21" s="475" t="s">
        <v>202</v>
      </c>
      <c r="J21" s="475" t="s">
        <v>203</v>
      </c>
      <c r="K21" s="475" t="s">
        <v>204</v>
      </c>
      <c r="L21" s="475" t="s">
        <v>205</v>
      </c>
      <c r="M21" s="475" t="s">
        <v>206</v>
      </c>
      <c r="N21" s="475" t="s">
        <v>207</v>
      </c>
      <c r="O21" s="475" t="s">
        <v>208</v>
      </c>
      <c r="P21" s="475" t="s">
        <v>209</v>
      </c>
      <c r="Q21" s="475" t="s">
        <v>115</v>
      </c>
    </row>
    <row r="22" spans="1:17">
      <c r="A22" s="477" t="s">
        <v>154</v>
      </c>
      <c r="B22" s="478">
        <f t="shared" ref="B22:B32" ca="1" si="2">B4*$B$17</f>
        <v>1724.1792631064036</v>
      </c>
      <c r="C22" s="478">
        <f t="shared" ref="C22:C32" ca="1" si="3">C4*$C$17</f>
        <v>0</v>
      </c>
      <c r="D22" s="478">
        <f t="shared" ref="D22:D32" si="4">D4*$D$17</f>
        <v>0</v>
      </c>
      <c r="E22" s="478">
        <f t="shared" ref="E22:E32" si="5">E4*$E$17</f>
        <v>1312.4577683509642</v>
      </c>
      <c r="F22" s="478">
        <f t="shared" ref="F22:F32" si="6">F4*$F$17</f>
        <v>6645.6630773020224</v>
      </c>
      <c r="G22" s="478">
        <f t="shared" ref="G22:G32" si="7">G4*$G$17</f>
        <v>0</v>
      </c>
      <c r="H22" s="478">
        <f t="shared" ref="H22:H32" si="8">H4*$H$17</f>
        <v>0</v>
      </c>
      <c r="I22" s="478">
        <f t="shared" ref="I22:I32" si="9">I4*$I$17</f>
        <v>0</v>
      </c>
      <c r="J22" s="478">
        <f t="shared" ref="J22:J32" si="10">J4*$J$17</f>
        <v>528.9049702534893</v>
      </c>
      <c r="K22" s="478">
        <f t="shared" ref="K22:K32" si="11">K4*$K$17</f>
        <v>0</v>
      </c>
      <c r="L22" s="478">
        <f t="shared" ref="L22:L32" si="12">L4*$L$17</f>
        <v>0</v>
      </c>
      <c r="M22" s="478">
        <f t="shared" ref="M22:M32" si="13">M4*$M$17</f>
        <v>0</v>
      </c>
      <c r="N22" s="478">
        <f t="shared" ref="N22:N32" si="14">N4*$N$17</f>
        <v>0</v>
      </c>
      <c r="O22" s="478">
        <f t="shared" ref="O22:O32" si="15">O4*$O$17</f>
        <v>0</v>
      </c>
      <c r="P22" s="491">
        <f t="shared" ref="P22:P32" si="16">P4*$P$17</f>
        <v>0</v>
      </c>
      <c r="Q22" s="480">
        <f ca="1">SUM(B22:P22)</f>
        <v>10211.20507901288</v>
      </c>
    </row>
    <row r="23" spans="1:17">
      <c r="A23" s="477" t="s">
        <v>155</v>
      </c>
      <c r="B23" s="478">
        <f t="shared" ca="1" si="2"/>
        <v>634.73303717593922</v>
      </c>
      <c r="C23" s="478">
        <f t="shared" ca="1" si="3"/>
        <v>0</v>
      </c>
      <c r="D23" s="478">
        <f t="shared" ca="1" si="4"/>
        <v>0</v>
      </c>
      <c r="E23" s="478">
        <f t="shared" si="5"/>
        <v>8.9782564874099631</v>
      </c>
      <c r="F23" s="478">
        <f t="shared" ca="1" si="6"/>
        <v>102.74339711726213</v>
      </c>
      <c r="G23" s="478">
        <f t="shared" si="7"/>
        <v>0</v>
      </c>
      <c r="H23" s="478">
        <f t="shared" si="8"/>
        <v>0</v>
      </c>
      <c r="I23" s="478">
        <f t="shared" si="9"/>
        <v>0</v>
      </c>
      <c r="J23" s="478">
        <f t="shared" si="10"/>
        <v>1.715863141324737E-3</v>
      </c>
      <c r="K23" s="478">
        <f t="shared" si="11"/>
        <v>0</v>
      </c>
      <c r="L23" s="478">
        <f t="shared" ca="1" si="12"/>
        <v>0</v>
      </c>
      <c r="M23" s="478">
        <f t="shared" si="13"/>
        <v>0</v>
      </c>
      <c r="N23" s="478">
        <f t="shared" ca="1" si="14"/>
        <v>0</v>
      </c>
      <c r="O23" s="478">
        <f t="shared" si="15"/>
        <v>0</v>
      </c>
      <c r="P23" s="479">
        <f t="shared" si="16"/>
        <v>0</v>
      </c>
      <c r="Q23" s="477">
        <f t="shared" ref="Q23:Q31" ca="1" si="17">SUM(B23:P23)</f>
        <v>746.45640664375253</v>
      </c>
    </row>
    <row r="24" spans="1:17">
      <c r="A24" s="477" t="s">
        <v>193</v>
      </c>
      <c r="B24" s="478">
        <f t="shared" ca="1" si="2"/>
        <v>60.177536231643259</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60.177536231643259</v>
      </c>
    </row>
    <row r="25" spans="1:17">
      <c r="A25" s="477" t="s">
        <v>111</v>
      </c>
      <c r="B25" s="478">
        <f t="shared" ca="1" si="2"/>
        <v>505.97071999684408</v>
      </c>
      <c r="C25" s="478">
        <f t="shared" ca="1" si="3"/>
        <v>0</v>
      </c>
      <c r="D25" s="478">
        <f t="shared" si="4"/>
        <v>0</v>
      </c>
      <c r="E25" s="478">
        <f t="shared" si="5"/>
        <v>18.496638118491017</v>
      </c>
      <c r="F25" s="478">
        <f t="shared" si="6"/>
        <v>2463.594253427535</v>
      </c>
      <c r="G25" s="478">
        <f t="shared" si="7"/>
        <v>0</v>
      </c>
      <c r="H25" s="478">
        <f t="shared" si="8"/>
        <v>0</v>
      </c>
      <c r="I25" s="478">
        <f t="shared" si="9"/>
        <v>0</v>
      </c>
      <c r="J25" s="478">
        <f t="shared" si="10"/>
        <v>254.63233926809431</v>
      </c>
      <c r="K25" s="478">
        <f t="shared" si="11"/>
        <v>0</v>
      </c>
      <c r="L25" s="478">
        <f t="shared" si="12"/>
        <v>0</v>
      </c>
      <c r="M25" s="478">
        <f t="shared" si="13"/>
        <v>0</v>
      </c>
      <c r="N25" s="478">
        <f t="shared" si="14"/>
        <v>0</v>
      </c>
      <c r="O25" s="478">
        <f t="shared" si="15"/>
        <v>0</v>
      </c>
      <c r="P25" s="479">
        <f t="shared" si="16"/>
        <v>0</v>
      </c>
      <c r="Q25" s="477">
        <f t="shared" ca="1" si="17"/>
        <v>3242.6939508109645</v>
      </c>
    </row>
    <row r="26" spans="1:17">
      <c r="A26" s="477" t="s">
        <v>629</v>
      </c>
      <c r="B26" s="478">
        <f t="shared" ca="1" si="2"/>
        <v>124.29722840879184</v>
      </c>
      <c r="C26" s="478">
        <f t="shared" ca="1" si="3"/>
        <v>0</v>
      </c>
      <c r="D26" s="478">
        <f t="shared" si="4"/>
        <v>0</v>
      </c>
      <c r="E26" s="478">
        <f t="shared" si="5"/>
        <v>34.144549723572723</v>
      </c>
      <c r="F26" s="478">
        <f t="shared" si="6"/>
        <v>121.57781393229357</v>
      </c>
      <c r="G26" s="478">
        <f t="shared" si="7"/>
        <v>0</v>
      </c>
      <c r="H26" s="478">
        <f t="shared" si="8"/>
        <v>0</v>
      </c>
      <c r="I26" s="478">
        <f t="shared" si="9"/>
        <v>0</v>
      </c>
      <c r="J26" s="478">
        <f t="shared" si="10"/>
        <v>1.6659773524169922E-2</v>
      </c>
      <c r="K26" s="478">
        <f t="shared" si="11"/>
        <v>0</v>
      </c>
      <c r="L26" s="478">
        <f t="shared" si="12"/>
        <v>0</v>
      </c>
      <c r="M26" s="478">
        <f t="shared" si="13"/>
        <v>0</v>
      </c>
      <c r="N26" s="478">
        <f t="shared" si="14"/>
        <v>0</v>
      </c>
      <c r="O26" s="478">
        <f t="shared" si="15"/>
        <v>0</v>
      </c>
      <c r="P26" s="479">
        <f t="shared" si="16"/>
        <v>0</v>
      </c>
      <c r="Q26" s="477">
        <f t="shared" ca="1" si="17"/>
        <v>280.0362518381823</v>
      </c>
    </row>
    <row r="27" spans="1:17" s="483" customFormat="1">
      <c r="A27" s="481" t="s">
        <v>555</v>
      </c>
      <c r="B27" s="801">
        <f t="shared" ca="1" si="2"/>
        <v>3.9478254925635228</v>
      </c>
      <c r="C27" s="482">
        <f t="shared" ca="1" si="3"/>
        <v>0</v>
      </c>
      <c r="D27" s="482">
        <f t="shared" si="4"/>
        <v>19.389820767933777</v>
      </c>
      <c r="E27" s="482">
        <f t="shared" si="5"/>
        <v>16.571333729573663</v>
      </c>
      <c r="F27" s="482">
        <f t="shared" si="6"/>
        <v>0</v>
      </c>
      <c r="G27" s="482">
        <f t="shared" si="7"/>
        <v>6338.7817649690842</v>
      </c>
      <c r="H27" s="482">
        <f t="shared" si="8"/>
        <v>1769.270617029116</v>
      </c>
      <c r="I27" s="482">
        <f t="shared" si="9"/>
        <v>0</v>
      </c>
      <c r="J27" s="482">
        <f t="shared" si="10"/>
        <v>0</v>
      </c>
      <c r="K27" s="482">
        <f t="shared" si="11"/>
        <v>0</v>
      </c>
      <c r="L27" s="482">
        <f t="shared" si="12"/>
        <v>0</v>
      </c>
      <c r="M27" s="482">
        <f t="shared" si="13"/>
        <v>0</v>
      </c>
      <c r="N27" s="482">
        <f t="shared" si="14"/>
        <v>0</v>
      </c>
      <c r="O27" s="482">
        <f t="shared" si="15"/>
        <v>0</v>
      </c>
      <c r="P27" s="492">
        <f t="shared" si="16"/>
        <v>0</v>
      </c>
      <c r="Q27" s="481">
        <f t="shared" ca="1" si="17"/>
        <v>8147.9613619882712</v>
      </c>
    </row>
    <row r="28" spans="1:17" ht="16.5" customHeight="1">
      <c r="A28" s="477" t="s">
        <v>545</v>
      </c>
      <c r="B28" s="478">
        <f t="shared" ca="1" si="2"/>
        <v>0</v>
      </c>
      <c r="C28" s="478">
        <f t="shared" ca="1" si="3"/>
        <v>0</v>
      </c>
      <c r="D28" s="478">
        <f t="shared" si="4"/>
        <v>0</v>
      </c>
      <c r="E28" s="478">
        <f t="shared" si="5"/>
        <v>0</v>
      </c>
      <c r="F28" s="478">
        <f t="shared" si="6"/>
        <v>0</v>
      </c>
      <c r="G28" s="478">
        <f t="shared" si="7"/>
        <v>260.06159832379296</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260.06159832379296</v>
      </c>
    </row>
    <row r="29" spans="1:17">
      <c r="A29" s="477" t="s">
        <v>546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547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548</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773</v>
      </c>
      <c r="B32" s="478">
        <f t="shared" ca="1" si="2"/>
        <v>90.25053894071732</v>
      </c>
      <c r="C32" s="478">
        <f t="shared" ca="1" si="3"/>
        <v>0</v>
      </c>
      <c r="D32" s="478">
        <f t="shared" si="4"/>
        <v>0</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ref="Q32" ca="1" si="18">SUM(B32:P32)</f>
        <v>90.25053894071732</v>
      </c>
    </row>
    <row r="33" spans="1:17" s="489" customFormat="1">
      <c r="A33" s="487" t="s">
        <v>549</v>
      </c>
      <c r="B33" s="488">
        <f ca="1">SUM(B22:B32)</f>
        <v>3143.5561493529026</v>
      </c>
      <c r="C33" s="488">
        <f t="shared" ref="C33:Q33" ca="1" si="19">SUM(C22:C32)</f>
        <v>0</v>
      </c>
      <c r="D33" s="488">
        <f t="shared" ca="1" si="19"/>
        <v>19.389820767933777</v>
      </c>
      <c r="E33" s="488">
        <f t="shared" si="19"/>
        <v>1390.6485464100115</v>
      </c>
      <c r="F33" s="488">
        <f t="shared" ca="1" si="19"/>
        <v>9333.5785417791139</v>
      </c>
      <c r="G33" s="488">
        <f t="shared" si="19"/>
        <v>6598.8433632928773</v>
      </c>
      <c r="H33" s="488">
        <f t="shared" si="19"/>
        <v>1769.270617029116</v>
      </c>
      <c r="I33" s="488">
        <f t="shared" si="19"/>
        <v>0</v>
      </c>
      <c r="J33" s="488">
        <f t="shared" si="19"/>
        <v>783.55568515824916</v>
      </c>
      <c r="K33" s="488">
        <f t="shared" si="19"/>
        <v>0</v>
      </c>
      <c r="L33" s="488">
        <f t="shared" ca="1" si="19"/>
        <v>0</v>
      </c>
      <c r="M33" s="488">
        <f t="shared" si="19"/>
        <v>0</v>
      </c>
      <c r="N33" s="488">
        <f t="shared" ca="1" si="19"/>
        <v>0</v>
      </c>
      <c r="O33" s="488">
        <f t="shared" si="19"/>
        <v>0</v>
      </c>
      <c r="P33" s="488">
        <f t="shared" si="19"/>
        <v>0</v>
      </c>
      <c r="Q33" s="488">
        <f t="shared" ca="1" si="19"/>
        <v>23038.842723790203</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0" customFormat="1" ht="21">
      <c r="A1" s="1191" t="s">
        <v>544</v>
      </c>
      <c r="B1" s="1192" t="s">
        <v>742</v>
      </c>
      <c r="C1" s="1192"/>
      <c r="D1" s="1192"/>
      <c r="E1" s="1192"/>
      <c r="F1" s="1192"/>
      <c r="G1" s="1192"/>
      <c r="H1" s="1192"/>
      <c r="I1" s="1192"/>
      <c r="J1" s="1192"/>
      <c r="K1" s="1192"/>
      <c r="L1" s="1192"/>
      <c r="M1" s="1192"/>
      <c r="N1" s="1192"/>
      <c r="O1" s="1192"/>
      <c r="P1" s="1193"/>
      <c r="Q1" s="1009"/>
    </row>
    <row r="2" spans="1:17" s="1010" customFormat="1" ht="21">
      <c r="A2" s="1191"/>
      <c r="B2" s="1194" t="s">
        <v>20</v>
      </c>
      <c r="C2" s="1196" t="s">
        <v>195</v>
      </c>
      <c r="D2" s="1198" t="s">
        <v>196</v>
      </c>
      <c r="E2" s="1199"/>
      <c r="F2" s="1199"/>
      <c r="G2" s="1199"/>
      <c r="H2" s="1199"/>
      <c r="I2" s="1199"/>
      <c r="J2" s="1199"/>
      <c r="K2" s="1195"/>
      <c r="L2" s="1198" t="s">
        <v>197</v>
      </c>
      <c r="M2" s="1199"/>
      <c r="N2" s="1199"/>
      <c r="O2" s="1199"/>
      <c r="P2" s="1195"/>
      <c r="Q2" s="1009"/>
    </row>
    <row r="3" spans="1:17" s="1010" customFormat="1" ht="42">
      <c r="A3" s="1191"/>
      <c r="B3" s="1195"/>
      <c r="C3" s="1197"/>
      <c r="D3" s="1011" t="s">
        <v>198</v>
      </c>
      <c r="E3" s="1011" t="s">
        <v>199</v>
      </c>
      <c r="F3" s="1011" t="s">
        <v>200</v>
      </c>
      <c r="G3" s="1011" t="s">
        <v>201</v>
      </c>
      <c r="H3" s="1011" t="s">
        <v>119</v>
      </c>
      <c r="I3" s="1011" t="s">
        <v>202</v>
      </c>
      <c r="J3" s="1011" t="s">
        <v>203</v>
      </c>
      <c r="K3" s="1011" t="s">
        <v>204</v>
      </c>
      <c r="L3" s="1011" t="s">
        <v>205</v>
      </c>
      <c r="M3" s="1011" t="s">
        <v>206</v>
      </c>
      <c r="N3" s="1011" t="s">
        <v>207</v>
      </c>
      <c r="O3" s="1011" t="s">
        <v>208</v>
      </c>
      <c r="P3" s="1011" t="s">
        <v>209</v>
      </c>
      <c r="Q3" s="1009" t="s">
        <v>115</v>
      </c>
    </row>
    <row r="4" spans="1:17" ht="195">
      <c r="A4" s="1012" t="s">
        <v>154</v>
      </c>
      <c r="B4" s="1013" t="s">
        <v>743</v>
      </c>
      <c r="C4" s="1014" t="s">
        <v>744</v>
      </c>
      <c r="D4" s="1015" t="s">
        <v>745</v>
      </c>
      <c r="E4" s="1016" t="s">
        <v>746</v>
      </c>
      <c r="F4" s="1016" t="s">
        <v>747</v>
      </c>
      <c r="G4" s="1017" t="s">
        <v>748</v>
      </c>
      <c r="H4" s="1017" t="s">
        <v>748</v>
      </c>
      <c r="I4" s="1017" t="s">
        <v>748</v>
      </c>
      <c r="J4" s="1016" t="s">
        <v>749</v>
      </c>
      <c r="K4" s="1017" t="s">
        <v>748</v>
      </c>
      <c r="L4" s="1017" t="s">
        <v>748</v>
      </c>
      <c r="M4" s="1017" t="s">
        <v>748</v>
      </c>
      <c r="N4" s="1016" t="s">
        <v>750</v>
      </c>
      <c r="O4" s="1018" t="s">
        <v>751</v>
      </c>
      <c r="P4" s="1019" t="s">
        <v>752</v>
      </c>
      <c r="Q4" s="1020"/>
    </row>
    <row r="5" spans="1:17" ht="150">
      <c r="A5" s="1021" t="s">
        <v>155</v>
      </c>
      <c r="B5" s="1022" t="s">
        <v>753</v>
      </c>
      <c r="C5" s="1023" t="s">
        <v>754</v>
      </c>
      <c r="D5" s="1023" t="s">
        <v>755</v>
      </c>
      <c r="E5" s="1024" t="s">
        <v>756</v>
      </c>
      <c r="F5" s="1024" t="s">
        <v>757</v>
      </c>
      <c r="G5" s="1025" t="s">
        <v>748</v>
      </c>
      <c r="H5" s="1025" t="s">
        <v>748</v>
      </c>
      <c r="I5" s="1025" t="s">
        <v>748</v>
      </c>
      <c r="J5" s="1024" t="s">
        <v>758</v>
      </c>
      <c r="K5" s="1022" t="s">
        <v>759</v>
      </c>
      <c r="L5" s="1025" t="s">
        <v>748</v>
      </c>
      <c r="M5" s="1025" t="s">
        <v>748</v>
      </c>
      <c r="N5" s="1024" t="s">
        <v>760</v>
      </c>
      <c r="O5" s="1026" t="s">
        <v>751</v>
      </c>
      <c r="P5" s="1027" t="s">
        <v>752</v>
      </c>
      <c r="Q5" s="1028"/>
    </row>
    <row r="6" spans="1:17" ht="30">
      <c r="A6" s="1021" t="s">
        <v>193</v>
      </c>
      <c r="B6" s="1029" t="s">
        <v>761</v>
      </c>
      <c r="C6" s="1030" t="s">
        <v>762</v>
      </c>
      <c r="D6" s="1025" t="s">
        <v>762</v>
      </c>
      <c r="E6" s="1025" t="s">
        <v>762</v>
      </c>
      <c r="F6" s="1025" t="s">
        <v>762</v>
      </c>
      <c r="G6" s="1025" t="s">
        <v>762</v>
      </c>
      <c r="H6" s="1025" t="s">
        <v>762</v>
      </c>
      <c r="I6" s="1025" t="s">
        <v>762</v>
      </c>
      <c r="J6" s="1025" t="s">
        <v>762</v>
      </c>
      <c r="K6" s="1025" t="s">
        <v>762</v>
      </c>
      <c r="L6" s="1025" t="s">
        <v>762</v>
      </c>
      <c r="M6" s="1025" t="s">
        <v>762</v>
      </c>
      <c r="N6" s="1025" t="s">
        <v>762</v>
      </c>
      <c r="O6" s="1031" t="s">
        <v>762</v>
      </c>
      <c r="P6" s="1032" t="s">
        <v>762</v>
      </c>
      <c r="Q6" s="1033"/>
    </row>
    <row r="7" spans="1:17" ht="150">
      <c r="A7" s="1021" t="s">
        <v>111</v>
      </c>
      <c r="B7" s="1029" t="s">
        <v>761</v>
      </c>
      <c r="C7" s="1023" t="s">
        <v>754</v>
      </c>
      <c r="D7" s="1023" t="s">
        <v>755</v>
      </c>
      <c r="E7" s="1024" t="s">
        <v>756</v>
      </c>
      <c r="F7" s="1024" t="s">
        <v>757</v>
      </c>
      <c r="G7" s="1025" t="s">
        <v>748</v>
      </c>
      <c r="H7" s="1025" t="s">
        <v>748</v>
      </c>
      <c r="I7" s="1025" t="s">
        <v>748</v>
      </c>
      <c r="J7" s="1024" t="s">
        <v>758</v>
      </c>
      <c r="K7" s="1025" t="s">
        <v>748</v>
      </c>
      <c r="L7" s="1025" t="s">
        <v>748</v>
      </c>
      <c r="M7" s="1025" t="s">
        <v>748</v>
      </c>
      <c r="N7" s="1034" t="s">
        <v>748</v>
      </c>
      <c r="O7" s="1030" t="s">
        <v>748</v>
      </c>
      <c r="P7" s="1035" t="s">
        <v>748</v>
      </c>
      <c r="Q7" s="1028"/>
    </row>
    <row r="8" spans="1:17" ht="270">
      <c r="A8" s="1021" t="s">
        <v>629</v>
      </c>
      <c r="B8" s="1022" t="s">
        <v>763</v>
      </c>
      <c r="C8" s="1023" t="s">
        <v>754</v>
      </c>
      <c r="D8" s="1023" t="s">
        <v>755</v>
      </c>
      <c r="E8" s="1024" t="s">
        <v>756</v>
      </c>
      <c r="F8" s="1024" t="s">
        <v>757</v>
      </c>
      <c r="G8" s="1025" t="s">
        <v>748</v>
      </c>
      <c r="H8" s="1025" t="s">
        <v>748</v>
      </c>
      <c r="I8" s="1025" t="s">
        <v>748</v>
      </c>
      <c r="J8" s="1024" t="s">
        <v>758</v>
      </c>
      <c r="K8" s="1022" t="s">
        <v>759</v>
      </c>
      <c r="L8" s="1025" t="s">
        <v>748</v>
      </c>
      <c r="M8" s="1025" t="s">
        <v>748</v>
      </c>
      <c r="N8" s="1024" t="s">
        <v>760</v>
      </c>
      <c r="O8" s="1026" t="s">
        <v>751</v>
      </c>
      <c r="P8" s="1027" t="s">
        <v>752</v>
      </c>
      <c r="Q8" s="1028"/>
    </row>
    <row r="9" spans="1:17" s="483" customFormat="1" ht="390">
      <c r="A9" s="1036" t="s">
        <v>555</v>
      </c>
      <c r="B9" s="1024" t="s">
        <v>764</v>
      </c>
      <c r="C9" s="1031" t="s">
        <v>762</v>
      </c>
      <c r="D9" s="1024" t="s">
        <v>765</v>
      </c>
      <c r="E9" s="1024" t="s">
        <v>766</v>
      </c>
      <c r="F9" s="1025" t="s">
        <v>762</v>
      </c>
      <c r="G9" s="1024" t="s">
        <v>767</v>
      </c>
      <c r="H9" s="1024" t="s">
        <v>768</v>
      </c>
      <c r="I9" s="1025" t="s">
        <v>762</v>
      </c>
      <c r="J9" s="1025" t="s">
        <v>762</v>
      </c>
      <c r="K9" s="1025" t="s">
        <v>762</v>
      </c>
      <c r="L9" s="1025" t="s">
        <v>762</v>
      </c>
      <c r="M9" s="1024" t="s">
        <v>764</v>
      </c>
      <c r="N9" s="1025" t="s">
        <v>762</v>
      </c>
      <c r="O9" s="1025" t="s">
        <v>762</v>
      </c>
      <c r="P9" s="1037" t="s">
        <v>762</v>
      </c>
      <c r="Q9" s="1038"/>
    </row>
    <row r="10" spans="1:17" ht="360">
      <c r="A10" s="1021" t="s">
        <v>545</v>
      </c>
      <c r="B10" s="1022" t="s">
        <v>769</v>
      </c>
      <c r="C10" s="1031" t="s">
        <v>762</v>
      </c>
      <c r="D10" s="1031" t="s">
        <v>762</v>
      </c>
      <c r="E10" s="1031" t="s">
        <v>762</v>
      </c>
      <c r="F10" s="1025" t="s">
        <v>762</v>
      </c>
      <c r="G10" s="1022" t="s">
        <v>770</v>
      </c>
      <c r="H10" s="1025" t="s">
        <v>762</v>
      </c>
      <c r="I10" s="1025" t="s">
        <v>762</v>
      </c>
      <c r="J10" s="1025" t="s">
        <v>762</v>
      </c>
      <c r="K10" s="1025" t="s">
        <v>762</v>
      </c>
      <c r="L10" s="1025" t="s">
        <v>762</v>
      </c>
      <c r="M10" s="1022" t="s">
        <v>771</v>
      </c>
      <c r="N10" s="1025" t="s">
        <v>762</v>
      </c>
      <c r="O10" s="1025" t="s">
        <v>762</v>
      </c>
      <c r="P10" s="1037" t="s">
        <v>762</v>
      </c>
      <c r="Q10" s="1028"/>
    </row>
    <row r="11" spans="1:17" ht="21">
      <c r="A11" s="1021" t="s">
        <v>546</v>
      </c>
      <c r="B11" s="1039" t="s">
        <v>772</v>
      </c>
      <c r="C11" s="1039" t="s">
        <v>772</v>
      </c>
      <c r="D11" s="1039" t="s">
        <v>772</v>
      </c>
      <c r="E11" s="1039" t="s">
        <v>772</v>
      </c>
      <c r="F11" s="1039" t="s">
        <v>772</v>
      </c>
      <c r="G11" s="1039" t="s">
        <v>772</v>
      </c>
      <c r="H11" s="1039" t="s">
        <v>772</v>
      </c>
      <c r="I11" s="1039" t="s">
        <v>772</v>
      </c>
      <c r="J11" s="1039" t="s">
        <v>772</v>
      </c>
      <c r="K11" s="1039" t="s">
        <v>772</v>
      </c>
      <c r="L11" s="1039" t="s">
        <v>772</v>
      </c>
      <c r="M11" s="1039" t="s">
        <v>772</v>
      </c>
      <c r="N11" s="1039" t="s">
        <v>772</v>
      </c>
      <c r="O11" s="1039" t="s">
        <v>772</v>
      </c>
      <c r="P11" s="1040" t="s">
        <v>772</v>
      </c>
      <c r="Q11" s="1041"/>
    </row>
    <row r="12" spans="1:17" ht="21">
      <c r="A12" s="1021" t="s">
        <v>547</v>
      </c>
      <c r="B12" s="1039" t="s">
        <v>772</v>
      </c>
      <c r="C12" s="1039" t="s">
        <v>762</v>
      </c>
      <c r="D12" s="1039" t="s">
        <v>762</v>
      </c>
      <c r="E12" s="1039" t="s">
        <v>762</v>
      </c>
      <c r="F12" s="1039" t="s">
        <v>762</v>
      </c>
      <c r="G12" s="1039" t="s">
        <v>762</v>
      </c>
      <c r="H12" s="1039" t="s">
        <v>762</v>
      </c>
      <c r="I12" s="1039" t="s">
        <v>762</v>
      </c>
      <c r="J12" s="1039" t="s">
        <v>762</v>
      </c>
      <c r="K12" s="1039" t="s">
        <v>762</v>
      </c>
      <c r="L12" s="1039" t="s">
        <v>762</v>
      </c>
      <c r="M12" s="1039" t="s">
        <v>762</v>
      </c>
      <c r="N12" s="1039" t="s">
        <v>762</v>
      </c>
      <c r="O12" s="1039" t="s">
        <v>762</v>
      </c>
      <c r="P12" s="1042" t="s">
        <v>762</v>
      </c>
      <c r="Q12" s="479"/>
    </row>
    <row r="13" spans="1:17" ht="21">
      <c r="A13" s="1021" t="s">
        <v>548</v>
      </c>
      <c r="B13" s="1039" t="s">
        <v>772</v>
      </c>
      <c r="C13" s="1039" t="s">
        <v>762</v>
      </c>
      <c r="D13" s="1039" t="s">
        <v>772</v>
      </c>
      <c r="E13" s="1039" t="s">
        <v>772</v>
      </c>
      <c r="F13" s="1039" t="s">
        <v>762</v>
      </c>
      <c r="G13" s="1039" t="s">
        <v>772</v>
      </c>
      <c r="H13" s="1039" t="s">
        <v>772</v>
      </c>
      <c r="I13" s="1039" t="s">
        <v>762</v>
      </c>
      <c r="J13" s="1039" t="s">
        <v>762</v>
      </c>
      <c r="K13" s="1039" t="s">
        <v>762</v>
      </c>
      <c r="L13" s="1039" t="s">
        <v>762</v>
      </c>
      <c r="M13" s="1039" t="s">
        <v>772</v>
      </c>
      <c r="N13" s="1039" t="s">
        <v>762</v>
      </c>
      <c r="O13" s="1039" t="s">
        <v>762</v>
      </c>
      <c r="P13" s="1042" t="s">
        <v>762</v>
      </c>
      <c r="Q13" s="479"/>
    </row>
    <row r="14" spans="1:17" ht="30">
      <c r="A14" s="1043" t="s">
        <v>773</v>
      </c>
      <c r="B14" s="1029" t="s">
        <v>761</v>
      </c>
      <c r="C14" s="1039" t="s">
        <v>762</v>
      </c>
      <c r="D14" s="1029" t="s">
        <v>761</v>
      </c>
      <c r="E14" s="1039" t="s">
        <v>762</v>
      </c>
      <c r="F14" s="1039" t="s">
        <v>762</v>
      </c>
      <c r="G14" s="1039" t="s">
        <v>762</v>
      </c>
      <c r="H14" s="1039" t="s">
        <v>762</v>
      </c>
      <c r="I14" s="1039" t="s">
        <v>762</v>
      </c>
      <c r="J14" s="1039" t="s">
        <v>762</v>
      </c>
      <c r="K14" s="1039" t="s">
        <v>762</v>
      </c>
      <c r="L14" s="1039" t="s">
        <v>762</v>
      </c>
      <c r="M14" s="1039" t="s">
        <v>762</v>
      </c>
      <c r="N14" s="1039" t="s">
        <v>762</v>
      </c>
      <c r="O14" s="1039" t="s">
        <v>762</v>
      </c>
      <c r="P14" s="1040" t="s">
        <v>762</v>
      </c>
      <c r="Q14" s="1044"/>
    </row>
    <row r="15" spans="1:17" s="489" customFormat="1" ht="21">
      <c r="A15" s="1045" t="s">
        <v>549</v>
      </c>
      <c r="B15" s="488"/>
      <c r="C15" s="488"/>
      <c r="D15" s="488"/>
      <c r="E15" s="488"/>
      <c r="F15" s="488"/>
      <c r="G15" s="488"/>
      <c r="H15" s="488"/>
      <c r="I15" s="488"/>
      <c r="J15" s="488"/>
      <c r="K15" s="488"/>
      <c r="L15" s="488"/>
      <c r="M15" s="1046"/>
      <c r="N15" s="488"/>
      <c r="O15" s="488"/>
      <c r="P15" s="1047"/>
      <c r="Q15" s="1048"/>
    </row>
    <row r="16" spans="1:17">
      <c r="M16" s="1049"/>
    </row>
    <row r="17" spans="1:4">
      <c r="B17" s="1050">
        <v>1</v>
      </c>
      <c r="C17" s="1051">
        <v>2</v>
      </c>
      <c r="D17" s="1052">
        <v>3</v>
      </c>
    </row>
    <row r="18" spans="1:4" ht="252">
      <c r="A18" s="1053" t="s">
        <v>774</v>
      </c>
      <c r="B18" s="1054" t="s">
        <v>775</v>
      </c>
      <c r="C18" s="1055" t="s">
        <v>776</v>
      </c>
      <c r="D18" s="1056" t="s">
        <v>777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202" t="s">
        <v>240</v>
      </c>
      <c r="B1" s="1200" t="s">
        <v>350</v>
      </c>
      <c r="C1" s="1200"/>
      <c r="D1" s="1203" t="s">
        <v>351</v>
      </c>
      <c r="E1" s="1203"/>
      <c r="F1" s="1203"/>
      <c r="G1" s="1203"/>
      <c r="H1" s="1203"/>
      <c r="I1" s="1203"/>
      <c r="J1" s="1203"/>
      <c r="K1" s="1203"/>
      <c r="L1" s="1203"/>
      <c r="M1" s="1203"/>
      <c r="N1" s="1203"/>
      <c r="O1" s="1203"/>
      <c r="P1" s="1200" t="s">
        <v>800</v>
      </c>
    </row>
    <row r="2" spans="1:16" ht="60">
      <c r="A2" s="1202"/>
      <c r="B2" s="1200"/>
      <c r="C2" s="1200"/>
      <c r="D2" s="1203" t="s">
        <v>196</v>
      </c>
      <c r="E2" s="1203"/>
      <c r="F2" s="1203"/>
      <c r="G2" s="1203"/>
      <c r="H2" s="1203"/>
      <c r="I2" s="1061" t="s">
        <v>808</v>
      </c>
      <c r="J2" s="1061" t="s">
        <v>233</v>
      </c>
      <c r="K2" s="1061" t="s">
        <v>807</v>
      </c>
      <c r="L2" s="1061" t="s">
        <v>737</v>
      </c>
      <c r="M2" s="1061" t="s">
        <v>244</v>
      </c>
      <c r="N2" s="1061" t="s">
        <v>805</v>
      </c>
      <c r="O2" s="1061" t="s">
        <v>126</v>
      </c>
      <c r="P2" s="1200"/>
    </row>
    <row r="3" spans="1:16" ht="30">
      <c r="A3" s="1202"/>
      <c r="B3" s="1061" t="s">
        <v>811</v>
      </c>
      <c r="C3" s="1061" t="s">
        <v>812</v>
      </c>
      <c r="D3" s="1061" t="s">
        <v>198</v>
      </c>
      <c r="E3" s="1061" t="s">
        <v>199</v>
      </c>
      <c r="F3" s="1061" t="s">
        <v>200</v>
      </c>
      <c r="G3" s="1061" t="s">
        <v>202</v>
      </c>
      <c r="H3" s="1061" t="s">
        <v>203</v>
      </c>
      <c r="I3" s="1061"/>
      <c r="J3" s="1061"/>
      <c r="K3" s="1061"/>
      <c r="L3" s="1061"/>
      <c r="M3" s="1061"/>
      <c r="N3" s="1061"/>
      <c r="O3" s="1061"/>
      <c r="P3" s="1200"/>
    </row>
    <row r="4" spans="1:16">
      <c r="A4" s="1066" t="s">
        <v>248</v>
      </c>
      <c r="B4" s="1062">
        <f>'SEAP template'!B72</f>
        <v>0</v>
      </c>
      <c r="C4" s="1062"/>
      <c r="D4" s="1062"/>
      <c r="E4" s="1062"/>
      <c r="F4" s="1062"/>
      <c r="G4" s="1062"/>
      <c r="H4" s="1062"/>
      <c r="I4" s="1062"/>
      <c r="J4" s="1062"/>
      <c r="K4" s="1062"/>
      <c r="L4" s="1062"/>
      <c r="M4" s="1062"/>
      <c r="N4" s="1062"/>
      <c r="O4" s="1062"/>
      <c r="P4" s="1063">
        <f>'SEAP template'!Q72</f>
        <v>0</v>
      </c>
    </row>
    <row r="5" spans="1:16">
      <c r="A5" s="1067" t="s">
        <v>249</v>
      </c>
      <c r="B5" s="1062">
        <f>'SEAP template'!B73</f>
        <v>0</v>
      </c>
      <c r="C5" s="1062"/>
      <c r="D5" s="1062"/>
      <c r="E5" s="1062"/>
      <c r="F5" s="1062"/>
      <c r="G5" s="1062"/>
      <c r="H5" s="1062"/>
      <c r="I5" s="1062"/>
      <c r="J5" s="1062"/>
      <c r="K5" s="1062"/>
      <c r="L5" s="1062"/>
      <c r="M5" s="1062"/>
      <c r="N5" s="1062"/>
      <c r="O5" s="1062"/>
      <c r="P5" s="1063">
        <f>'SEAP template'!Q73</f>
        <v>0</v>
      </c>
    </row>
    <row r="6" spans="1:16">
      <c r="A6" s="1067" t="s">
        <v>250</v>
      </c>
      <c r="B6" s="1062">
        <f>'SEAP template'!B74</f>
        <v>1996.6136944324153</v>
      </c>
      <c r="C6" s="1062"/>
      <c r="D6" s="1062"/>
      <c r="E6" s="1062"/>
      <c r="F6" s="1062"/>
      <c r="G6" s="1062"/>
      <c r="H6" s="1062"/>
      <c r="I6" s="1062"/>
      <c r="J6" s="1062"/>
      <c r="K6" s="1062"/>
      <c r="L6" s="1062"/>
      <c r="M6" s="1062"/>
      <c r="N6" s="1062"/>
      <c r="O6" s="1062"/>
      <c r="P6" s="1063">
        <f>'SEAP template'!Q74</f>
        <v>0</v>
      </c>
    </row>
    <row r="7" spans="1:16">
      <c r="A7" s="1067" t="s">
        <v>737</v>
      </c>
      <c r="B7" s="1062">
        <f>'SEAP template'!B75</f>
        <v>0</v>
      </c>
      <c r="C7" s="1062"/>
      <c r="D7" s="1062"/>
      <c r="E7" s="1062"/>
      <c r="F7" s="1062"/>
      <c r="G7" s="1062"/>
      <c r="H7" s="1062"/>
      <c r="I7" s="1062"/>
      <c r="J7" s="1062"/>
      <c r="K7" s="1062"/>
      <c r="L7" s="1062"/>
      <c r="M7" s="1062"/>
      <c r="N7" s="1062"/>
      <c r="O7" s="1062"/>
      <c r="P7" s="1063">
        <f>'SEAP template'!Q75</f>
        <v>0</v>
      </c>
    </row>
    <row r="8" spans="1:16">
      <c r="A8" s="1066" t="s">
        <v>251</v>
      </c>
      <c r="B8" s="1062">
        <f>'SEAP template'!B76</f>
        <v>0</v>
      </c>
      <c r="C8" s="1062">
        <f>'SEAP template'!C76</f>
        <v>0</v>
      </c>
      <c r="D8" s="1062">
        <f>'SEAP template'!D76</f>
        <v>0</v>
      </c>
      <c r="E8" s="1062">
        <f>'SEAP template'!E76</f>
        <v>0</v>
      </c>
      <c r="F8" s="1062">
        <f>'SEAP template'!F76</f>
        <v>0</v>
      </c>
      <c r="G8" s="1062">
        <f>'SEAP template'!G76</f>
        <v>0</v>
      </c>
      <c r="H8" s="1062">
        <f>'SEAP template'!H76</f>
        <v>0</v>
      </c>
      <c r="I8" s="1062">
        <f>'SEAP template'!I76</f>
        <v>0</v>
      </c>
      <c r="J8" s="1062">
        <f>'SEAP template'!J76</f>
        <v>0</v>
      </c>
      <c r="K8" s="1062">
        <f>'SEAP template'!K76</f>
        <v>0</v>
      </c>
      <c r="L8" s="1062">
        <f>'SEAP template'!L76</f>
        <v>0</v>
      </c>
      <c r="M8" s="1062">
        <f>'SEAP template'!M76</f>
        <v>0</v>
      </c>
      <c r="N8" s="1062">
        <f>'SEAP template'!N76</f>
        <v>0</v>
      </c>
      <c r="O8" s="1062">
        <f>'SEAP template'!O76</f>
        <v>0</v>
      </c>
      <c r="P8" s="1063">
        <f>'SEAP template'!Q76</f>
        <v>0</v>
      </c>
    </row>
    <row r="9" spans="1:16">
      <c r="A9" s="1068" t="s">
        <v>803</v>
      </c>
      <c r="B9" s="1062">
        <f>'SEAP template'!B77</f>
        <v>0</v>
      </c>
      <c r="C9" s="1062">
        <f>'SEAP template'!C77</f>
        <v>0</v>
      </c>
      <c r="D9" s="1062">
        <f>'SEAP template'!D77</f>
        <v>0</v>
      </c>
      <c r="E9" s="1062">
        <f>'SEAP template'!E77</f>
        <v>0</v>
      </c>
      <c r="F9" s="1062">
        <f>'SEAP template'!F77</f>
        <v>0</v>
      </c>
      <c r="G9" s="1062">
        <f>'SEAP template'!G77</f>
        <v>0</v>
      </c>
      <c r="H9" s="1062">
        <f>'SEAP template'!H77</f>
        <v>0</v>
      </c>
      <c r="I9" s="1062">
        <f>'SEAP template'!I77</f>
        <v>0</v>
      </c>
      <c r="J9" s="1062">
        <f>'SEAP template'!J77</f>
        <v>0</v>
      </c>
      <c r="K9" s="1062">
        <f>'SEAP template'!K77</f>
        <v>0</v>
      </c>
      <c r="L9" s="1062">
        <f>'SEAP template'!L77</f>
        <v>0</v>
      </c>
      <c r="M9" s="1062">
        <f>'SEAP template'!M77</f>
        <v>0</v>
      </c>
      <c r="N9" s="1062">
        <f>'SEAP template'!N77</f>
        <v>0</v>
      </c>
      <c r="O9" s="1062">
        <f>'SEAP template'!O77</f>
        <v>0</v>
      </c>
      <c r="P9" s="1063">
        <f>'SEAP template'!Q77</f>
        <v>0</v>
      </c>
    </row>
    <row r="10" spans="1:16">
      <c r="A10" s="1067" t="s">
        <v>115</v>
      </c>
      <c r="B10" s="1064">
        <f>SUM(B4:B9)</f>
        <v>1996.6136944324153</v>
      </c>
      <c r="C10" s="1064">
        <f>SUM(C4:C9)</f>
        <v>0</v>
      </c>
      <c r="D10" s="1064">
        <f t="shared" ref="D10:H10" si="0">SUM(D8:D9)</f>
        <v>0</v>
      </c>
      <c r="E10" s="1064">
        <f t="shared" si="0"/>
        <v>0</v>
      </c>
      <c r="F10" s="1064">
        <f t="shared" si="0"/>
        <v>0</v>
      </c>
      <c r="G10" s="1064">
        <f t="shared" si="0"/>
        <v>0</v>
      </c>
      <c r="H10" s="1064">
        <f t="shared" si="0"/>
        <v>0</v>
      </c>
      <c r="I10" s="1064">
        <f>SUM(I8:I9)</f>
        <v>0</v>
      </c>
      <c r="J10" s="1064">
        <f>SUM(J8:J9)</f>
        <v>0</v>
      </c>
      <c r="K10" s="1064">
        <f t="shared" ref="K10:L10" si="1">SUM(K8:K9)</f>
        <v>0</v>
      </c>
      <c r="L10" s="1064">
        <f t="shared" si="1"/>
        <v>0</v>
      </c>
      <c r="M10" s="1064">
        <f>SUM(M8:M9)</f>
        <v>0</v>
      </c>
      <c r="N10" s="1064">
        <f>SUM(N8:N9)</f>
        <v>0</v>
      </c>
      <c r="O10" s="1064">
        <f>SUM(O8:O9)</f>
        <v>0</v>
      </c>
      <c r="P10" s="1064">
        <f>SUM(P8:P9)</f>
        <v>0</v>
      </c>
    </row>
    <row r="11" spans="1:16">
      <c r="A11" s="921"/>
      <c r="B11" s="921"/>
      <c r="C11" s="921"/>
      <c r="D11" s="921"/>
      <c r="E11" s="921"/>
      <c r="F11" s="921"/>
      <c r="G11" s="921"/>
      <c r="H11" s="921"/>
      <c r="I11" s="921"/>
      <c r="J11" s="921"/>
      <c r="K11" s="921"/>
      <c r="L11" s="921"/>
      <c r="M11" s="921"/>
      <c r="N11" s="921"/>
      <c r="O11" s="921"/>
      <c r="P11" s="921"/>
    </row>
    <row r="12" spans="1:16">
      <c r="A12" s="490" t="s">
        <v>814</v>
      </c>
      <c r="B12" s="807" t="s">
        <v>813</v>
      </c>
      <c r="C12" s="807">
        <f ca="1">'EF ele_warmte'!B12</f>
        <v>0.19379725565552808</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7.25" customHeight="1">
      <c r="A14" s="1202" t="s">
        <v>252</v>
      </c>
      <c r="B14" s="1200" t="s">
        <v>354</v>
      </c>
      <c r="C14" s="1200"/>
      <c r="D14" s="1203" t="s">
        <v>355</v>
      </c>
      <c r="E14" s="1203"/>
      <c r="F14" s="1203"/>
      <c r="G14" s="1203"/>
      <c r="H14" s="1203"/>
      <c r="I14" s="1203"/>
      <c r="J14" s="1203"/>
      <c r="K14" s="1203"/>
      <c r="L14" s="1203"/>
      <c r="M14" s="1203"/>
      <c r="N14" s="1203"/>
      <c r="O14" s="1203"/>
      <c r="P14" s="1200" t="s">
        <v>801</v>
      </c>
    </row>
    <row r="15" spans="1:16">
      <c r="A15" s="1202"/>
      <c r="B15" s="1200"/>
      <c r="C15" s="1200"/>
      <c r="D15" s="1204" t="s">
        <v>196</v>
      </c>
      <c r="E15" s="1204"/>
      <c r="F15" s="1204"/>
      <c r="G15" s="1204"/>
      <c r="H15" s="1204"/>
      <c r="I15" s="1200" t="s">
        <v>808</v>
      </c>
      <c r="J15" s="1200" t="s">
        <v>233</v>
      </c>
      <c r="K15" s="1200" t="s">
        <v>807</v>
      </c>
      <c r="L15" s="1200" t="s">
        <v>737</v>
      </c>
      <c r="M15" s="1200" t="s">
        <v>244</v>
      </c>
      <c r="N15" s="1200" t="s">
        <v>806</v>
      </c>
      <c r="O15" s="1200" t="s">
        <v>126</v>
      </c>
      <c r="P15" s="1200"/>
    </row>
    <row r="16" spans="1:16" ht="30">
      <c r="A16" s="1202"/>
      <c r="B16" s="1061" t="s">
        <v>809</v>
      </c>
      <c r="C16" s="1061" t="s">
        <v>810</v>
      </c>
      <c r="D16" s="1061" t="s">
        <v>198</v>
      </c>
      <c r="E16" s="1061" t="s">
        <v>199</v>
      </c>
      <c r="F16" s="1061" t="s">
        <v>200</v>
      </c>
      <c r="G16" s="1061" t="s">
        <v>202</v>
      </c>
      <c r="H16" s="1061" t="s">
        <v>203</v>
      </c>
      <c r="I16" s="1200"/>
      <c r="J16" s="1200"/>
      <c r="K16" s="1200"/>
      <c r="L16" s="1200"/>
      <c r="M16" s="1200"/>
      <c r="N16" s="1200"/>
      <c r="O16" s="1201"/>
      <c r="P16" s="1200"/>
    </row>
    <row r="17" spans="1:16">
      <c r="A17" s="1069" t="s">
        <v>251</v>
      </c>
      <c r="B17" s="1065">
        <f>'SEAP template'!B87</f>
        <v>0</v>
      </c>
      <c r="C17" s="1065">
        <f>'SEAP template'!C87</f>
        <v>0</v>
      </c>
      <c r="D17" s="1063">
        <f>'SEAP template'!D87</f>
        <v>0</v>
      </c>
      <c r="E17" s="1063">
        <f>'SEAP template'!E87</f>
        <v>0</v>
      </c>
      <c r="F17" s="1063">
        <f>'SEAP template'!F87</f>
        <v>0</v>
      </c>
      <c r="G17" s="1063">
        <f>'SEAP template'!G87</f>
        <v>0</v>
      </c>
      <c r="H17" s="1063">
        <f>'SEAP template'!H87</f>
        <v>0</v>
      </c>
      <c r="I17" s="1063">
        <f>'SEAP template'!I87</f>
        <v>0</v>
      </c>
      <c r="J17" s="1063">
        <f>'SEAP template'!J87</f>
        <v>0</v>
      </c>
      <c r="K17" s="1063">
        <f>'SEAP template'!K87</f>
        <v>0</v>
      </c>
      <c r="L17" s="1063">
        <f>'SEAP template'!L87</f>
        <v>0</v>
      </c>
      <c r="M17" s="1063">
        <f>'SEAP template'!M87</f>
        <v>0</v>
      </c>
      <c r="N17" s="1063">
        <f>'SEAP template'!N87</f>
        <v>0</v>
      </c>
      <c r="O17" s="1063">
        <f>'SEAP template'!O87</f>
        <v>0</v>
      </c>
      <c r="P17" s="1063">
        <f>'SEAP template'!Q87</f>
        <v>0</v>
      </c>
    </row>
    <row r="18" spans="1:16">
      <c r="A18" s="1070" t="s">
        <v>257</v>
      </c>
      <c r="B18" s="1065">
        <f>'SEAP template'!B88</f>
        <v>0</v>
      </c>
      <c r="C18" s="1065">
        <f>'SEAP template'!C88</f>
        <v>0</v>
      </c>
      <c r="D18" s="1063">
        <f>'SEAP template'!D88</f>
        <v>0</v>
      </c>
      <c r="E18" s="1063">
        <f>'SEAP template'!E88</f>
        <v>0</v>
      </c>
      <c r="F18" s="1063">
        <f>'SEAP template'!F88</f>
        <v>0</v>
      </c>
      <c r="G18" s="1063">
        <f>'SEAP template'!G88</f>
        <v>0</v>
      </c>
      <c r="H18" s="1063">
        <f>'SEAP template'!H88</f>
        <v>0</v>
      </c>
      <c r="I18" s="1063">
        <f>'SEAP template'!I88</f>
        <v>0</v>
      </c>
      <c r="J18" s="1063">
        <f>'SEAP template'!J88</f>
        <v>0</v>
      </c>
      <c r="K18" s="1063">
        <f>'SEAP template'!K88</f>
        <v>0</v>
      </c>
      <c r="L18" s="1063">
        <f>'SEAP template'!L88</f>
        <v>0</v>
      </c>
      <c r="M18" s="1063">
        <f>'SEAP template'!M88</f>
        <v>0</v>
      </c>
      <c r="N18" s="1063">
        <f>'SEAP template'!N88</f>
        <v>0</v>
      </c>
      <c r="O18" s="1063">
        <f>'SEAP template'!O88</f>
        <v>0</v>
      </c>
      <c r="P18" s="1063">
        <f>'SEAP template'!Q88</f>
        <v>0</v>
      </c>
    </row>
    <row r="19" spans="1:16">
      <c r="A19" s="1068" t="s">
        <v>804</v>
      </c>
      <c r="B19" s="1065">
        <f>'SEAP template'!B89</f>
        <v>0</v>
      </c>
      <c r="C19" s="1065">
        <f>'SEAP template'!C89</f>
        <v>0</v>
      </c>
      <c r="D19" s="1063">
        <f>'SEAP template'!D89</f>
        <v>0</v>
      </c>
      <c r="E19" s="1063">
        <f>'SEAP template'!E89</f>
        <v>0</v>
      </c>
      <c r="F19" s="1063">
        <f>'SEAP template'!F89</f>
        <v>0</v>
      </c>
      <c r="G19" s="1063">
        <f>'SEAP template'!G89</f>
        <v>0</v>
      </c>
      <c r="H19" s="1063">
        <f>'SEAP template'!H89</f>
        <v>0</v>
      </c>
      <c r="I19" s="1063">
        <f>'SEAP template'!I89</f>
        <v>0</v>
      </c>
      <c r="J19" s="1063">
        <f>'SEAP template'!J89</f>
        <v>0</v>
      </c>
      <c r="K19" s="1063">
        <f>'SEAP template'!K89</f>
        <v>0</v>
      </c>
      <c r="L19" s="1063">
        <f>'SEAP template'!L89</f>
        <v>0</v>
      </c>
      <c r="M19" s="1063">
        <f>'SEAP template'!M89</f>
        <v>0</v>
      </c>
      <c r="N19" s="1063">
        <f>'SEAP template'!N89</f>
        <v>0</v>
      </c>
      <c r="O19" s="1063">
        <f>'SEAP template'!O89</f>
        <v>0</v>
      </c>
      <c r="P19" s="1063">
        <f>'SEAP template'!Q89</f>
        <v>0</v>
      </c>
    </row>
    <row r="20" spans="1:16">
      <c r="A20" s="1071" t="s">
        <v>115</v>
      </c>
      <c r="B20" s="1064">
        <f>SUM(B17:B19)</f>
        <v>0</v>
      </c>
      <c r="C20" s="1064">
        <f>SUM(C17:C19)</f>
        <v>0</v>
      </c>
      <c r="D20" s="1064">
        <f t="shared" ref="D20:H20" si="2">SUM(D17:D19)</f>
        <v>0</v>
      </c>
      <c r="E20" s="1064">
        <f t="shared" si="2"/>
        <v>0</v>
      </c>
      <c r="F20" s="1064">
        <f t="shared" si="2"/>
        <v>0</v>
      </c>
      <c r="G20" s="1064">
        <f t="shared" si="2"/>
        <v>0</v>
      </c>
      <c r="H20" s="1064">
        <f t="shared" si="2"/>
        <v>0</v>
      </c>
      <c r="I20" s="1064">
        <f>SUM(I17:I19)</f>
        <v>0</v>
      </c>
      <c r="J20" s="1064">
        <f>SUM(J17:J19)</f>
        <v>0</v>
      </c>
      <c r="K20" s="1064">
        <f t="shared" ref="K20:L20" si="3">SUM(K17:K19)</f>
        <v>0</v>
      </c>
      <c r="L20" s="1064">
        <f t="shared" si="3"/>
        <v>0</v>
      </c>
      <c r="M20" s="1064">
        <f>SUM(M17:M19)</f>
        <v>0</v>
      </c>
      <c r="N20" s="1064">
        <f>SUM(N17:N19)</f>
        <v>0</v>
      </c>
      <c r="O20" s="1064">
        <f>SUM(O17:O19)</f>
        <v>0</v>
      </c>
      <c r="P20" s="1064">
        <f>SUM(P17:P19)</f>
        <v>0</v>
      </c>
    </row>
    <row r="21" spans="1:16">
      <c r="B21" s="913"/>
    </row>
    <row r="22" spans="1:16">
      <c r="A22" s="490" t="s">
        <v>815</v>
      </c>
      <c r="B22" s="807" t="s">
        <v>813</v>
      </c>
      <c r="C22" s="807">
        <f ca="1">'EF ele_warmte'!B22</f>
        <v>0</v>
      </c>
    </row>
  </sheetData>
  <mergeCells count="17">
    <mergeCell ref="N15:N16"/>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202" t="s">
        <v>240</v>
      </c>
      <c r="B1" s="1200" t="s">
        <v>350</v>
      </c>
      <c r="C1" s="1200"/>
      <c r="D1" s="1203" t="s">
        <v>351</v>
      </c>
      <c r="E1" s="1203"/>
      <c r="F1" s="1203"/>
      <c r="G1" s="1203"/>
      <c r="H1" s="1203"/>
      <c r="I1" s="1203"/>
      <c r="J1" s="1203"/>
      <c r="K1" s="1203"/>
      <c r="L1" s="1203"/>
      <c r="M1" s="1203"/>
      <c r="N1" s="1203"/>
      <c r="O1" s="1203"/>
      <c r="P1" s="1200" t="s">
        <v>800</v>
      </c>
    </row>
    <row r="2" spans="1:16" ht="15.75">
      <c r="A2" s="1202"/>
      <c r="B2" s="1200"/>
      <c r="C2" s="1200"/>
      <c r="D2" s="1203" t="s">
        <v>196</v>
      </c>
      <c r="E2" s="1203"/>
      <c r="F2" s="1203"/>
      <c r="G2" s="1203"/>
      <c r="H2" s="1203"/>
      <c r="I2" s="1061" t="s">
        <v>808</v>
      </c>
      <c r="J2" s="1061" t="s">
        <v>233</v>
      </c>
      <c r="K2" s="1061" t="s">
        <v>807</v>
      </c>
      <c r="L2" s="1061" t="s">
        <v>737</v>
      </c>
      <c r="M2" s="1061" t="s">
        <v>244</v>
      </c>
      <c r="N2" s="1061" t="s">
        <v>805</v>
      </c>
      <c r="O2" s="1061" t="s">
        <v>126</v>
      </c>
      <c r="P2" s="1200"/>
    </row>
    <row r="3" spans="1:16" ht="30">
      <c r="A3" s="1202"/>
      <c r="B3" s="1061" t="s">
        <v>811</v>
      </c>
      <c r="C3" s="1061" t="s">
        <v>812</v>
      </c>
      <c r="D3" s="1061" t="s">
        <v>198</v>
      </c>
      <c r="E3" s="1061" t="s">
        <v>199</v>
      </c>
      <c r="F3" s="1061" t="s">
        <v>200</v>
      </c>
      <c r="G3" s="1061" t="s">
        <v>202</v>
      </c>
      <c r="H3" s="1061" t="s">
        <v>203</v>
      </c>
      <c r="I3" s="1061"/>
      <c r="J3" s="1061"/>
      <c r="K3" s="1061"/>
      <c r="L3" s="1061"/>
      <c r="M3" s="1061"/>
      <c r="N3" s="1061"/>
      <c r="O3" s="1061"/>
      <c r="P3" s="1200"/>
    </row>
    <row r="4" spans="1:16" ht="110.25" customHeight="1">
      <c r="A4" s="1075" t="s">
        <v>248</v>
      </c>
      <c r="B4" s="1073" t="s">
        <v>846</v>
      </c>
      <c r="C4" s="1078" t="s">
        <v>762</v>
      </c>
      <c r="D4" s="1078" t="s">
        <v>762</v>
      </c>
      <c r="E4" s="1078" t="s">
        <v>762</v>
      </c>
      <c r="F4" s="1078" t="s">
        <v>762</v>
      </c>
      <c r="G4" s="1078" t="s">
        <v>762</v>
      </c>
      <c r="H4" s="1078" t="s">
        <v>762</v>
      </c>
      <c r="I4" s="1078" t="s">
        <v>762</v>
      </c>
      <c r="J4" s="1078" t="s">
        <v>762</v>
      </c>
      <c r="K4" s="1078" t="s">
        <v>762</v>
      </c>
      <c r="L4" s="1078" t="s">
        <v>762</v>
      </c>
      <c r="M4" s="1078" t="s">
        <v>762</v>
      </c>
      <c r="N4" s="1078" t="s">
        <v>762</v>
      </c>
      <c r="O4" s="1078" t="s">
        <v>762</v>
      </c>
      <c r="P4" s="1074" t="s">
        <v>816</v>
      </c>
    </row>
    <row r="5" spans="1:16" ht="135">
      <c r="A5" s="1076" t="s">
        <v>249</v>
      </c>
      <c r="B5" s="1073" t="s">
        <v>846</v>
      </c>
      <c r="C5" s="1078" t="s">
        <v>762</v>
      </c>
      <c r="D5" s="1078" t="s">
        <v>762</v>
      </c>
      <c r="E5" s="1078" t="s">
        <v>762</v>
      </c>
      <c r="F5" s="1078" t="s">
        <v>762</v>
      </c>
      <c r="G5" s="1078" t="s">
        <v>762</v>
      </c>
      <c r="H5" s="1078" t="s">
        <v>762</v>
      </c>
      <c r="I5" s="1078" t="s">
        <v>762</v>
      </c>
      <c r="J5" s="1078" t="s">
        <v>762</v>
      </c>
      <c r="K5" s="1078" t="s">
        <v>762</v>
      </c>
      <c r="L5" s="1078" t="s">
        <v>762</v>
      </c>
      <c r="M5" s="1078" t="s">
        <v>762</v>
      </c>
      <c r="N5" s="1078" t="s">
        <v>762</v>
      </c>
      <c r="O5" s="1078" t="s">
        <v>762</v>
      </c>
      <c r="P5" s="1074" t="s">
        <v>816</v>
      </c>
    </row>
    <row r="6" spans="1:16" ht="135">
      <c r="A6" s="1076" t="s">
        <v>250</v>
      </c>
      <c r="B6" s="1073" t="s">
        <v>846</v>
      </c>
      <c r="C6" s="1078" t="s">
        <v>762</v>
      </c>
      <c r="D6" s="1078" t="s">
        <v>762</v>
      </c>
      <c r="E6" s="1078" t="s">
        <v>762</v>
      </c>
      <c r="F6" s="1078" t="s">
        <v>762</v>
      </c>
      <c r="G6" s="1078" t="s">
        <v>762</v>
      </c>
      <c r="H6" s="1078" t="s">
        <v>762</v>
      </c>
      <c r="I6" s="1078" t="s">
        <v>762</v>
      </c>
      <c r="J6" s="1078" t="s">
        <v>762</v>
      </c>
      <c r="K6" s="1078" t="s">
        <v>762</v>
      </c>
      <c r="L6" s="1078" t="s">
        <v>762</v>
      </c>
      <c r="M6" s="1078" t="s">
        <v>762</v>
      </c>
      <c r="N6" s="1078" t="s">
        <v>762</v>
      </c>
      <c r="O6" s="1078" t="s">
        <v>762</v>
      </c>
      <c r="P6" s="1074" t="s">
        <v>816</v>
      </c>
    </row>
    <row r="7" spans="1:16" ht="135">
      <c r="A7" s="1076" t="s">
        <v>737</v>
      </c>
      <c r="B7" s="1078" t="s">
        <v>762</v>
      </c>
      <c r="C7" s="1078" t="s">
        <v>762</v>
      </c>
      <c r="D7" s="1078" t="s">
        <v>762</v>
      </c>
      <c r="E7" s="1078" t="s">
        <v>762</v>
      </c>
      <c r="F7" s="1078" t="s">
        <v>762</v>
      </c>
      <c r="G7" s="1078" t="s">
        <v>762</v>
      </c>
      <c r="H7" s="1078" t="s">
        <v>762</v>
      </c>
      <c r="I7" s="1078" t="s">
        <v>762</v>
      </c>
      <c r="J7" s="1078" t="s">
        <v>762</v>
      </c>
      <c r="K7" s="1078" t="s">
        <v>762</v>
      </c>
      <c r="L7" s="1078" t="s">
        <v>762</v>
      </c>
      <c r="M7" s="1078" t="s">
        <v>762</v>
      </c>
      <c r="N7" s="1078" t="s">
        <v>762</v>
      </c>
      <c r="O7" s="1078" t="s">
        <v>762</v>
      </c>
      <c r="P7" s="1074" t="s">
        <v>816</v>
      </c>
    </row>
    <row r="8" spans="1:16" ht="210">
      <c r="A8" s="1075" t="s">
        <v>251</v>
      </c>
      <c r="B8" s="1073" t="s">
        <v>817</v>
      </c>
      <c r="C8" s="1073" t="s">
        <v>817</v>
      </c>
      <c r="D8" s="1073" t="s">
        <v>817</v>
      </c>
      <c r="E8" s="1073" t="s">
        <v>817</v>
      </c>
      <c r="F8" s="1073" t="s">
        <v>817</v>
      </c>
      <c r="G8" s="1073" t="s">
        <v>817</v>
      </c>
      <c r="H8" s="1073" t="s">
        <v>817</v>
      </c>
      <c r="I8" s="1073" t="s">
        <v>817</v>
      </c>
      <c r="J8" s="1073" t="s">
        <v>817</v>
      </c>
      <c r="K8" s="1078" t="s">
        <v>762</v>
      </c>
      <c r="L8" s="1078" t="s">
        <v>762</v>
      </c>
      <c r="M8" s="1078" t="s">
        <v>762</v>
      </c>
      <c r="N8" s="1073" t="s">
        <v>818</v>
      </c>
      <c r="O8" s="1073" t="s">
        <v>818</v>
      </c>
      <c r="P8" s="1079"/>
    </row>
    <row r="9" spans="1:16" ht="210">
      <c r="A9" s="1077" t="s">
        <v>803</v>
      </c>
      <c r="B9" s="1073" t="s">
        <v>818</v>
      </c>
      <c r="C9" s="1073" t="s">
        <v>818</v>
      </c>
      <c r="D9" s="1073" t="s">
        <v>818</v>
      </c>
      <c r="E9" s="1073" t="s">
        <v>818</v>
      </c>
      <c r="F9" s="1073" t="s">
        <v>818</v>
      </c>
      <c r="G9" s="1073" t="s">
        <v>818</v>
      </c>
      <c r="H9" s="1073" t="s">
        <v>818</v>
      </c>
      <c r="I9" s="1073" t="s">
        <v>818</v>
      </c>
      <c r="J9" s="1073" t="s">
        <v>818</v>
      </c>
      <c r="K9" s="1078" t="s">
        <v>762</v>
      </c>
      <c r="L9" s="1073" t="s">
        <v>818</v>
      </c>
      <c r="M9" s="1073" t="s">
        <v>818</v>
      </c>
      <c r="N9" s="1073" t="s">
        <v>818</v>
      </c>
      <c r="O9" s="1073" t="s">
        <v>818</v>
      </c>
      <c r="P9" s="1079"/>
    </row>
    <row r="10" spans="1:16">
      <c r="A10" s="1076" t="s">
        <v>115</v>
      </c>
      <c r="B10" s="1080"/>
      <c r="C10" s="1080"/>
      <c r="D10" s="1080"/>
      <c r="E10" s="1080"/>
      <c r="F10" s="1080"/>
      <c r="G10" s="1080"/>
      <c r="H10" s="1080"/>
      <c r="I10" s="1080"/>
      <c r="J10" s="1080"/>
      <c r="K10" s="1080"/>
      <c r="L10" s="1080"/>
      <c r="M10" s="1080"/>
      <c r="N10" s="1080"/>
      <c r="O10" s="1080"/>
      <c r="P10" s="1080"/>
    </row>
    <row r="11" spans="1:16">
      <c r="A11" s="921"/>
      <c r="B11" s="921"/>
      <c r="C11" s="921"/>
      <c r="D11" s="921"/>
      <c r="E11" s="921"/>
      <c r="F11" s="921"/>
      <c r="G11" s="921"/>
      <c r="H11" s="921"/>
      <c r="I11" s="921"/>
      <c r="J11" s="921"/>
      <c r="K11" s="921"/>
      <c r="L11" s="921"/>
      <c r="M11" s="921"/>
      <c r="N11" s="921"/>
      <c r="O11" s="921"/>
      <c r="P11" s="921"/>
    </row>
    <row r="12" spans="1:16" ht="150">
      <c r="A12" s="490" t="s">
        <v>814</v>
      </c>
      <c r="B12" s="807" t="s">
        <v>813</v>
      </c>
      <c r="C12" s="1081" t="s">
        <v>819</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5.75">
      <c r="A14" s="1202" t="s">
        <v>252</v>
      </c>
      <c r="B14" s="1200" t="s">
        <v>354</v>
      </c>
      <c r="C14" s="1200"/>
      <c r="D14" s="1203" t="s">
        <v>355</v>
      </c>
      <c r="E14" s="1203"/>
      <c r="F14" s="1203"/>
      <c r="G14" s="1203"/>
      <c r="H14" s="1203"/>
      <c r="I14" s="1203"/>
      <c r="J14" s="1203"/>
      <c r="K14" s="1203"/>
      <c r="L14" s="1203"/>
      <c r="M14" s="1203"/>
      <c r="N14" s="1203"/>
      <c r="O14" s="1203"/>
      <c r="P14" s="1200" t="s">
        <v>801</v>
      </c>
    </row>
    <row r="15" spans="1:16">
      <c r="A15" s="1202"/>
      <c r="B15" s="1200"/>
      <c r="C15" s="1200"/>
      <c r="D15" s="1204" t="s">
        <v>196</v>
      </c>
      <c r="E15" s="1204"/>
      <c r="F15" s="1204"/>
      <c r="G15" s="1204"/>
      <c r="H15" s="1204"/>
      <c r="I15" s="1200" t="s">
        <v>808</v>
      </c>
      <c r="J15" s="1200" t="s">
        <v>233</v>
      </c>
      <c r="K15" s="1200" t="s">
        <v>807</v>
      </c>
      <c r="L15" s="1200" t="s">
        <v>737</v>
      </c>
      <c r="M15" s="1200" t="s">
        <v>244</v>
      </c>
      <c r="N15" s="1200" t="s">
        <v>806</v>
      </c>
      <c r="O15" s="1200" t="s">
        <v>126</v>
      </c>
      <c r="P15" s="1200"/>
    </row>
    <row r="16" spans="1:16" ht="30">
      <c r="A16" s="1202"/>
      <c r="B16" s="1061" t="s">
        <v>809</v>
      </c>
      <c r="C16" s="1061" t="s">
        <v>810</v>
      </c>
      <c r="D16" s="1061" t="s">
        <v>198</v>
      </c>
      <c r="E16" s="1061" t="s">
        <v>199</v>
      </c>
      <c r="F16" s="1061" t="s">
        <v>200</v>
      </c>
      <c r="G16" s="1061" t="s">
        <v>202</v>
      </c>
      <c r="H16" s="1061" t="s">
        <v>203</v>
      </c>
      <c r="I16" s="1200"/>
      <c r="J16" s="1200"/>
      <c r="K16" s="1200"/>
      <c r="L16" s="1200"/>
      <c r="M16" s="1200"/>
      <c r="N16" s="1200"/>
      <c r="O16" s="1201"/>
      <c r="P16" s="1200"/>
    </row>
    <row r="17" spans="1:16" ht="210">
      <c r="A17" s="1069" t="s">
        <v>251</v>
      </c>
      <c r="B17" s="1073" t="s">
        <v>818</v>
      </c>
      <c r="C17" s="1073" t="s">
        <v>818</v>
      </c>
      <c r="D17" s="1073" t="s">
        <v>818</v>
      </c>
      <c r="E17" s="1073" t="s">
        <v>818</v>
      </c>
      <c r="F17" s="1073" t="s">
        <v>818</v>
      </c>
      <c r="G17" s="1073" t="s">
        <v>818</v>
      </c>
      <c r="H17" s="1073" t="s">
        <v>818</v>
      </c>
      <c r="I17" s="1073" t="s">
        <v>818</v>
      </c>
      <c r="J17" s="1073" t="s">
        <v>818</v>
      </c>
      <c r="K17" s="1078" t="s">
        <v>762</v>
      </c>
      <c r="L17" s="1078" t="s">
        <v>762</v>
      </c>
      <c r="M17" s="1078" t="s">
        <v>762</v>
      </c>
      <c r="N17" s="1073" t="s">
        <v>818</v>
      </c>
      <c r="O17" s="1073" t="s">
        <v>818</v>
      </c>
      <c r="P17" s="1072"/>
    </row>
    <row r="18" spans="1:16" ht="45">
      <c r="A18" s="1070" t="s">
        <v>257</v>
      </c>
      <c r="B18" s="1074" t="s">
        <v>772</v>
      </c>
      <c r="C18" s="1074" t="s">
        <v>772</v>
      </c>
      <c r="D18" s="1074" t="s">
        <v>772</v>
      </c>
      <c r="E18" s="1074" t="s">
        <v>772</v>
      </c>
      <c r="F18" s="1074" t="s">
        <v>772</v>
      </c>
      <c r="G18" s="1074" t="s">
        <v>772</v>
      </c>
      <c r="H18" s="1074" t="s">
        <v>772</v>
      </c>
      <c r="I18" s="1074" t="s">
        <v>772</v>
      </c>
      <c r="J18" s="1074" t="s">
        <v>772</v>
      </c>
      <c r="K18" s="1074" t="s">
        <v>772</v>
      </c>
      <c r="L18" s="1074" t="s">
        <v>772</v>
      </c>
      <c r="M18" s="1074" t="s">
        <v>772</v>
      </c>
      <c r="N18" s="1074" t="s">
        <v>772</v>
      </c>
      <c r="O18" s="1074" t="s">
        <v>772</v>
      </c>
      <c r="P18" s="1074" t="s">
        <v>772</v>
      </c>
    </row>
    <row r="19" spans="1:16" ht="45">
      <c r="A19" s="1068" t="s">
        <v>804</v>
      </c>
      <c r="B19" s="1074" t="s">
        <v>772</v>
      </c>
      <c r="C19" s="1074" t="s">
        <v>772</v>
      </c>
      <c r="D19" s="1074" t="s">
        <v>772</v>
      </c>
      <c r="E19" s="1074" t="s">
        <v>772</v>
      </c>
      <c r="F19" s="1074" t="s">
        <v>772</v>
      </c>
      <c r="G19" s="1074" t="s">
        <v>772</v>
      </c>
      <c r="H19" s="1074" t="s">
        <v>772</v>
      </c>
      <c r="I19" s="1074" t="s">
        <v>772</v>
      </c>
      <c r="J19" s="1074" t="s">
        <v>772</v>
      </c>
      <c r="K19" s="1074" t="s">
        <v>772</v>
      </c>
      <c r="L19" s="1074" t="s">
        <v>772</v>
      </c>
      <c r="M19" s="1074" t="s">
        <v>772</v>
      </c>
      <c r="N19" s="1074" t="s">
        <v>772</v>
      </c>
      <c r="O19" s="1074" t="s">
        <v>772</v>
      </c>
      <c r="P19" s="1074" t="s">
        <v>772</v>
      </c>
    </row>
    <row r="20" spans="1:16">
      <c r="A20" s="1071" t="s">
        <v>115</v>
      </c>
      <c r="B20" s="1064"/>
      <c r="C20" s="1064"/>
      <c r="D20" s="1064"/>
      <c r="E20" s="1064"/>
      <c r="F20" s="1064"/>
      <c r="G20" s="1064"/>
      <c r="H20" s="1064"/>
      <c r="I20" s="1064"/>
      <c r="J20" s="1064"/>
      <c r="K20" s="1064"/>
      <c r="L20" s="1064"/>
      <c r="M20" s="1064"/>
      <c r="N20" s="1064"/>
      <c r="O20" s="1064"/>
      <c r="P20" s="1064"/>
    </row>
    <row r="21" spans="1:16">
      <c r="A21" s="913"/>
      <c r="B21" s="913"/>
      <c r="C21" s="913"/>
      <c r="D21" s="913"/>
      <c r="E21" s="913"/>
      <c r="F21" s="913"/>
      <c r="G21" s="913"/>
      <c r="H21" s="913"/>
      <c r="I21" s="913"/>
      <c r="J21" s="913"/>
      <c r="K21" s="913"/>
      <c r="L21" s="913"/>
      <c r="M21" s="913"/>
      <c r="N21" s="913"/>
      <c r="O21" s="913"/>
      <c r="P21" s="913"/>
    </row>
    <row r="22" spans="1:16" ht="90">
      <c r="A22" s="490" t="s">
        <v>815</v>
      </c>
      <c r="B22" s="807" t="s">
        <v>813</v>
      </c>
      <c r="C22" s="1081" t="s">
        <v>820</v>
      </c>
      <c r="D22" s="913"/>
      <c r="E22" s="913"/>
      <c r="F22" s="913"/>
      <c r="G22" s="913"/>
      <c r="H22" s="913"/>
      <c r="I22" s="913"/>
      <c r="J22" s="913"/>
      <c r="K22" s="913"/>
      <c r="L22" s="913"/>
      <c r="M22" s="913"/>
      <c r="N22" s="913"/>
      <c r="O22" s="913"/>
      <c r="P22" s="913"/>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572</v>
      </c>
      <c r="B6" s="75" t="s">
        <v>573</v>
      </c>
      <c r="C6" s="460" t="s">
        <v>556</v>
      </c>
    </row>
    <row r="7" spans="1:3">
      <c r="A7" s="125"/>
      <c r="B7" s="129"/>
      <c r="C7" s="122"/>
    </row>
    <row r="8" spans="1:3">
      <c r="A8" s="113" t="s">
        <v>575</v>
      </c>
      <c r="B8" s="75" t="s">
        <v>574</v>
      </c>
      <c r="C8" s="460" t="s">
        <v>386</v>
      </c>
    </row>
    <row r="9" spans="1:3">
      <c r="A9" s="125"/>
      <c r="B9" s="129"/>
      <c r="C9" s="122"/>
    </row>
    <row r="10" spans="1:3">
      <c r="A10" s="113" t="s">
        <v>327</v>
      </c>
      <c r="B10" s="75" t="s">
        <v>384</v>
      </c>
      <c r="C10" s="114" t="s">
        <v>386</v>
      </c>
    </row>
    <row r="11" spans="1:3">
      <c r="A11" s="125"/>
      <c r="B11" s="129"/>
      <c r="C11" s="122"/>
    </row>
    <row r="12" spans="1:3" ht="30">
      <c r="A12" s="113" t="s">
        <v>402</v>
      </c>
      <c r="B12" s="75" t="s">
        <v>515</v>
      </c>
      <c r="C12" s="314" t="s">
        <v>609</v>
      </c>
    </row>
    <row r="13" spans="1:3">
      <c r="A13" s="140"/>
      <c r="B13" s="124"/>
      <c r="C13" s="302"/>
    </row>
    <row r="14" spans="1:3" s="11" customFormat="1">
      <c r="A14" s="113" t="s">
        <v>592</v>
      </c>
      <c r="B14" s="130" t="s">
        <v>593</v>
      </c>
      <c r="C14" s="131" t="s">
        <v>594</v>
      </c>
    </row>
    <row r="15" spans="1:3" s="11" customFormat="1">
      <c r="A15" s="140"/>
      <c r="B15" s="158"/>
      <c r="C15" s="159"/>
    </row>
    <row r="16" spans="1:3" ht="21">
      <c r="A16" s="126" t="s">
        <v>464</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707" t="s">
        <v>604</v>
      </c>
      <c r="B4" s="493"/>
      <c r="C4" s="493"/>
      <c r="D4" s="493"/>
      <c r="E4" s="493"/>
      <c r="F4" s="493"/>
      <c r="G4" s="525"/>
      <c r="H4" s="525"/>
      <c r="I4" s="493"/>
      <c r="J4" s="493"/>
      <c r="K4" s="493"/>
      <c r="L4" s="493"/>
      <c r="M4" s="493"/>
      <c r="N4" s="493"/>
      <c r="O4" s="493"/>
      <c r="P4" s="493"/>
    </row>
    <row r="5" spans="1:16" outlineLevel="1">
      <c r="A5" s="707" t="s">
        <v>605</v>
      </c>
      <c r="B5" s="493"/>
      <c r="C5" s="493"/>
      <c r="D5" s="493"/>
      <c r="E5" s="493"/>
      <c r="F5" s="493"/>
      <c r="G5" s="525"/>
      <c r="H5" s="525"/>
      <c r="I5" s="493"/>
      <c r="J5" s="493"/>
      <c r="K5" s="493"/>
      <c r="L5" s="493"/>
      <c r="M5" s="493"/>
      <c r="N5" s="493"/>
      <c r="O5" s="493"/>
      <c r="P5" s="493"/>
    </row>
    <row r="6" spans="1:16" outlineLevel="1">
      <c r="A6" s="707" t="s">
        <v>606</v>
      </c>
      <c r="B6" s="493"/>
      <c r="C6" s="493"/>
      <c r="D6" s="493"/>
      <c r="E6" s="493"/>
      <c r="F6" s="493"/>
      <c r="G6" s="525"/>
      <c r="H6" s="525"/>
      <c r="I6" s="493"/>
      <c r="J6" s="493"/>
      <c r="K6" s="493"/>
      <c r="L6" s="493"/>
      <c r="M6" s="493"/>
      <c r="N6" s="493"/>
      <c r="O6" s="493"/>
      <c r="P6" s="493"/>
    </row>
    <row r="7" spans="1:16" outlineLevel="1">
      <c r="A7" s="495"/>
      <c r="B7" s="493"/>
      <c r="C7" s="493"/>
      <c r="D7" s="493"/>
      <c r="E7" s="493"/>
      <c r="F7" s="493"/>
      <c r="G7" s="525"/>
      <c r="H7" s="525"/>
      <c r="I7" s="493"/>
      <c r="J7" s="493"/>
      <c r="K7" s="493"/>
      <c r="L7" s="493"/>
      <c r="M7" s="493"/>
      <c r="N7" s="493"/>
      <c r="O7" s="493"/>
      <c r="P7" s="493"/>
    </row>
    <row r="8" spans="1:16" outlineLevel="1">
      <c r="A8" s="708" t="s">
        <v>607</v>
      </c>
      <c r="B8" s="493"/>
      <c r="C8" s="493"/>
      <c r="D8" s="493"/>
      <c r="E8" s="493"/>
      <c r="F8" s="493"/>
      <c r="G8" s="525"/>
      <c r="H8" s="525"/>
      <c r="I8" s="493"/>
      <c r="J8" s="493"/>
      <c r="K8" s="493"/>
      <c r="L8" s="493"/>
      <c r="M8" s="493"/>
      <c r="N8" s="493"/>
      <c r="O8" s="493"/>
      <c r="P8" s="493"/>
    </row>
    <row r="9" spans="1:16" outlineLevel="1">
      <c r="A9" s="495"/>
      <c r="B9" s="493"/>
      <c r="C9" s="493"/>
      <c r="D9" s="493"/>
      <c r="E9" s="493"/>
      <c r="F9" s="493"/>
      <c r="G9" s="525"/>
      <c r="H9" s="525"/>
      <c r="I9" s="493"/>
      <c r="J9" s="493"/>
      <c r="K9" s="493"/>
      <c r="L9" s="493"/>
      <c r="M9" s="493"/>
      <c r="N9" s="493"/>
      <c r="O9" s="493"/>
      <c r="P9" s="493"/>
    </row>
    <row r="10" spans="1:16" outlineLevel="1">
      <c r="A10" s="495" t="s">
        <v>608</v>
      </c>
      <c r="B10" s="493"/>
      <c r="C10" s="493"/>
      <c r="D10" s="493"/>
      <c r="E10" s="493"/>
      <c r="F10" s="493"/>
      <c r="G10" s="525"/>
      <c r="H10" s="525"/>
      <c r="I10" s="493"/>
      <c r="J10" s="493"/>
      <c r="K10" s="493"/>
      <c r="L10" s="493"/>
      <c r="M10" s="493"/>
      <c r="N10" s="493"/>
      <c r="O10" s="493"/>
      <c r="P10" s="493"/>
    </row>
    <row r="11" spans="1:16" outlineLevel="1">
      <c r="A11" s="495"/>
      <c r="B11" s="493"/>
      <c r="C11" s="493"/>
      <c r="D11" s="493"/>
      <c r="E11" s="493"/>
      <c r="F11" s="493"/>
      <c r="G11" s="525"/>
      <c r="H11" s="525"/>
      <c r="I11" s="493"/>
      <c r="J11" s="493"/>
      <c r="K11" s="493"/>
      <c r="L11" s="493"/>
      <c r="M11" s="493"/>
      <c r="N11" s="493"/>
      <c r="O11" s="493"/>
      <c r="P11" s="493"/>
    </row>
    <row r="12" spans="1:16" ht="15.75" outlineLevel="1" thickBot="1">
      <c r="B12" s="493"/>
      <c r="C12" s="493"/>
      <c r="D12" s="493"/>
      <c r="E12" s="493"/>
      <c r="F12" s="493"/>
      <c r="G12" s="525"/>
      <c r="H12" s="525"/>
      <c r="I12" s="493"/>
      <c r="J12" s="493"/>
      <c r="K12" s="493"/>
      <c r="L12" s="493"/>
      <c r="M12" s="493"/>
      <c r="N12" s="493"/>
      <c r="O12" s="493"/>
      <c r="P12" s="493"/>
    </row>
    <row r="13" spans="1:16" ht="25.5" customHeight="1" outlineLevel="1" thickBot="1">
      <c r="A13" s="496" t="s">
        <v>570</v>
      </c>
      <c r="B13" s="478"/>
      <c r="C13" s="497"/>
      <c r="D13" s="497"/>
      <c r="E13" s="497"/>
      <c r="F13" s="497"/>
      <c r="G13" s="497"/>
      <c r="H13" s="497"/>
      <c r="I13" s="497"/>
      <c r="J13" s="497"/>
      <c r="K13" s="497"/>
      <c r="L13" s="497"/>
      <c r="M13" s="497"/>
      <c r="N13" s="497"/>
      <c r="O13" s="808" t="s">
        <v>625</v>
      </c>
      <c r="P13" s="808" t="s">
        <v>624</v>
      </c>
    </row>
    <row r="14" spans="1:16" outlineLevel="1"/>
    <row r="15" spans="1:16" s="489" customFormat="1" outlineLevel="1">
      <c r="A15" s="498" t="s">
        <v>304</v>
      </c>
      <c r="B15" s="499">
        <f>SUM(B4:B12)</f>
        <v>0</v>
      </c>
      <c r="C15" s="499">
        <f t="shared" ref="C15:P15" si="0">SUM(C4:C13)</f>
        <v>0</v>
      </c>
      <c r="D15" s="499">
        <f t="shared" si="0"/>
        <v>0</v>
      </c>
      <c r="E15" s="499">
        <f t="shared" si="0"/>
        <v>0</v>
      </c>
      <c r="F15" s="499">
        <f t="shared" si="0"/>
        <v>0</v>
      </c>
      <c r="G15" s="499"/>
      <c r="H15" s="499"/>
      <c r="I15" s="499">
        <f t="shared" si="0"/>
        <v>0</v>
      </c>
      <c r="J15" s="499">
        <f t="shared" si="0"/>
        <v>0</v>
      </c>
      <c r="K15" s="499">
        <f t="shared" si="0"/>
        <v>0</v>
      </c>
      <c r="L15" s="499">
        <f t="shared" si="0"/>
        <v>0</v>
      </c>
      <c r="M15" s="499">
        <f>SUM(M4:M13)</f>
        <v>0</v>
      </c>
      <c r="N15" s="499">
        <f t="shared" si="0"/>
        <v>0</v>
      </c>
      <c r="O15" s="499">
        <f>SUM(O4:O13)</f>
        <v>0</v>
      </c>
      <c r="P15" s="499">
        <f t="shared" si="0"/>
        <v>0</v>
      </c>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0.19379725565552808</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f ca="1">C15*C17</f>
        <v>0</v>
      </c>
      <c r="D19" s="504">
        <f>D15*D17</f>
        <v>0</v>
      </c>
      <c r="E19" s="504">
        <f>E15*E17</f>
        <v>0</v>
      </c>
      <c r="F19" s="504">
        <f>F15*F17</f>
        <v>0</v>
      </c>
      <c r="G19" s="504"/>
      <c r="H19" s="504"/>
      <c r="I19" s="504">
        <f t="shared" ref="I19:P19" si="1">I15*I17</f>
        <v>0</v>
      </c>
      <c r="J19" s="504">
        <f t="shared" si="1"/>
        <v>0</v>
      </c>
      <c r="K19" s="504">
        <f t="shared" si="1"/>
        <v>0</v>
      </c>
      <c r="L19" s="504">
        <f t="shared" si="1"/>
        <v>0</v>
      </c>
      <c r="M19" s="504">
        <f t="shared" si="1"/>
        <v>0</v>
      </c>
      <c r="N19" s="504">
        <f t="shared" si="1"/>
        <v>0</v>
      </c>
      <c r="O19" s="504">
        <f t="shared" si="1"/>
        <v>0</v>
      </c>
      <c r="P19" s="504">
        <f t="shared" si="1"/>
        <v>0</v>
      </c>
    </row>
    <row r="22" spans="1:16" s="478" customFormat="1" ht="15" customHeight="1" outlineLevel="1">
      <c r="A22" s="505" t="s">
        <v>477</v>
      </c>
      <c r="B22" s="506"/>
      <c r="C22" s="507"/>
      <c r="D22" s="508"/>
      <c r="E22" s="509"/>
    </row>
    <row r="23" spans="1:16" s="48" customFormat="1" ht="15" customHeight="1" outlineLevel="1">
      <c r="A23" s="510"/>
      <c r="B23" s="511"/>
      <c r="C23" s="512" t="s">
        <v>376</v>
      </c>
      <c r="D23" s="512" t="s">
        <v>181</v>
      </c>
      <c r="E23" s="513"/>
    </row>
    <row r="24" spans="1:16" s="478" customFormat="1" ht="15" customHeight="1" outlineLevel="1">
      <c r="A24" s="514" t="s">
        <v>265</v>
      </c>
      <c r="B24" s="47">
        <f>EigenZB</f>
        <v>0</v>
      </c>
      <c r="C24" s="515"/>
      <c r="D24" s="919" t="s">
        <v>646</v>
      </c>
      <c r="E24" s="479"/>
    </row>
    <row r="25" spans="1:16" s="478" customFormat="1" outlineLevel="1">
      <c r="A25" s="514" t="s">
        <v>444</v>
      </c>
      <c r="B25" s="48">
        <v>4.2</v>
      </c>
      <c r="C25" s="515"/>
      <c r="D25" s="516" t="s">
        <v>501</v>
      </c>
      <c r="E25" s="492"/>
    </row>
    <row r="26" spans="1:16" s="478" customFormat="1" outlineLevel="1">
      <c r="A26" s="812" t="s">
        <v>445</v>
      </c>
      <c r="B26" s="813">
        <f>1.34/3.6</f>
        <v>0.37222222222222223</v>
      </c>
      <c r="C26" s="515" t="s">
        <v>217</v>
      </c>
      <c r="D26" s="516" t="s">
        <v>501</v>
      </c>
      <c r="E26" s="492"/>
    </row>
    <row r="27" spans="1:16" s="478" customFormat="1" outlineLevel="1">
      <c r="A27" s="517" t="s">
        <v>616</v>
      </c>
      <c r="B27" s="815">
        <f>B24*B25*B26</f>
        <v>0</v>
      </c>
      <c r="C27" s="518" t="s">
        <v>617</v>
      </c>
      <c r="D27" s="519"/>
      <c r="E27" s="520"/>
    </row>
    <row r="28" spans="1:16" s="478" customFormat="1" outlineLevel="1">
      <c r="A28" s="48"/>
      <c r="B28" s="48"/>
      <c r="C28" s="521"/>
      <c r="D28" s="515"/>
    </row>
    <row r="29" spans="1:16" s="478" customFormat="1" outlineLevel="1">
      <c r="A29" s="522" t="s">
        <v>478</v>
      </c>
      <c r="B29" s="506"/>
      <c r="C29" s="507"/>
      <c r="D29" s="508"/>
      <c r="E29" s="509"/>
    </row>
    <row r="30" spans="1:16" s="48" customFormat="1" outlineLevel="1">
      <c r="A30" s="523"/>
      <c r="B30" s="511"/>
      <c r="C30" s="512" t="s">
        <v>376</v>
      </c>
      <c r="D30" s="512" t="s">
        <v>181</v>
      </c>
      <c r="E30" s="513"/>
    </row>
    <row r="31" spans="1:16" s="478" customFormat="1" outlineLevel="1">
      <c r="A31" s="514" t="s">
        <v>443</v>
      </c>
      <c r="B31" s="47">
        <f>EigenWP</f>
        <v>0</v>
      </c>
      <c r="C31" s="515"/>
      <c r="D31" s="919" t="s">
        <v>646</v>
      </c>
      <c r="E31" s="479"/>
    </row>
    <row r="32" spans="1:16" s="478" customFormat="1" outlineLevel="1">
      <c r="A32" s="514" t="s">
        <v>441</v>
      </c>
      <c r="B32" s="48">
        <v>13</v>
      </c>
      <c r="C32" s="521" t="s">
        <v>262</v>
      </c>
      <c r="D32" s="516" t="s">
        <v>501</v>
      </c>
      <c r="E32" s="479"/>
    </row>
    <row r="33" spans="1:5" s="478" customFormat="1" outlineLevel="1">
      <c r="A33" s="514" t="s">
        <v>442</v>
      </c>
      <c r="B33" s="48">
        <v>2000</v>
      </c>
      <c r="C33" s="521" t="s">
        <v>264</v>
      </c>
      <c r="D33" s="516" t="s">
        <v>501</v>
      </c>
      <c r="E33" s="479"/>
    </row>
    <row r="34" spans="1:5" s="478" customFormat="1" outlineLevel="1">
      <c r="A34" s="812" t="s">
        <v>381</v>
      </c>
      <c r="B34" s="48">
        <v>3.75</v>
      </c>
      <c r="C34" s="521"/>
      <c r="D34" s="516" t="s">
        <v>501</v>
      </c>
      <c r="E34" s="479"/>
    </row>
    <row r="35" spans="1:5" s="478" customFormat="1" outlineLevel="1">
      <c r="A35" s="517" t="s">
        <v>616</v>
      </c>
      <c r="B35" s="814">
        <f>B31*B32*B33/1000-B31*B32*B33/1000/B34</f>
        <v>0</v>
      </c>
      <c r="C35" s="524" t="s">
        <v>617</v>
      </c>
      <c r="D35" s="519"/>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2019-06-29T17:12:04Z</dcterms:modified>
</cp:coreProperties>
</file>