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N20" i="59"/>
  <c r="E20"/>
  <c r="B13" i="15"/>
  <c r="F6" i="17"/>
  <c r="D16" i="16"/>
  <c r="O20" i="59"/>
  <c r="F30" i="48"/>
  <c r="F32"/>
  <c r="N30"/>
  <c r="N32"/>
  <c r="F16" i="16"/>
  <c r="G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G78" i="14"/>
  <c r="G9" i="59"/>
  <c r="G10" s="1"/>
  <c r="I33" i="48"/>
  <c r="J16" i="14"/>
  <c r="I20" i="15"/>
  <c r="J40" i="14" s="1"/>
  <c r="J27"/>
  <c r="I15" i="48"/>
  <c r="N78" i="14"/>
  <c r="N9" i="59"/>
  <c r="N10" s="1"/>
  <c r="M24" i="48"/>
  <c r="M32"/>
  <c r="E78" i="14"/>
  <c r="E9" i="59"/>
  <c r="E10" s="1"/>
  <c r="O78" i="14"/>
  <c r="O9" i="59"/>
  <c r="O10" s="1"/>
  <c r="Q13" i="14"/>
  <c r="K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P17" i="59"/>
  <c r="P20" s="1"/>
  <c r="B22" i="6"/>
  <c r="C10" i="17" s="1"/>
  <c r="C12" s="1"/>
  <c r="D54" i="14" s="1"/>
  <c r="D56" s="1"/>
  <c r="G33" i="48"/>
  <c r="Q9"/>
  <c r="H15"/>
  <c r="F22" i="16"/>
  <c r="G43" i="14" s="1"/>
  <c r="G46" s="1"/>
  <c r="G61" s="1"/>
  <c r="G63" s="1"/>
  <c r="Q78" s="1"/>
  <c r="B9" i="6" s="1"/>
  <c r="F8" i="48"/>
  <c r="F15" s="1"/>
  <c r="O13" i="14"/>
  <c r="O16" s="1"/>
  <c r="O27" s="1"/>
  <c r="C56" i="22"/>
  <c r="C58" s="1"/>
  <c r="D49" i="14" s="1"/>
  <c r="D52"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0" i="13"/>
  <c r="C12" s="1"/>
  <c r="C18" i="15"/>
  <c r="C20" s="1"/>
  <c r="D40" i="14" s="1"/>
  <c r="C29" i="20"/>
  <c r="C22" i="59"/>
  <c r="C17" i="19"/>
  <c r="C19" s="1"/>
  <c r="D39" i="14" s="1"/>
  <c r="C16" i="22"/>
  <c r="C20" i="16"/>
  <c r="C22" s="1"/>
  <c r="D43" i="14"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<sst xmlns="http://schemas.openxmlformats.org/spreadsheetml/2006/main" count="2376" uniqueCount="888">
  <si>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</si>
  <si>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</si>
  <si>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</si>
  <si>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</si>
  <si>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</si>
  <si>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</si>
  <si>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</si>
  <si>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</si>
  <si>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</si>
  <si>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</si>
  <si>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</si>
  <si>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</si>
  <si>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</si>
  <si>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</si>
  <si>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</si>
  <si>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</si>
  <si>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</si>
  <si>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</si>
  <si>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</si>
  <si>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</si>
  <si>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</si>
  <si>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</si>
  <si>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</si>
  <si>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</si>
  <si>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</si>
  <si>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</si>
  <si>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</si>
  <si>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</si>
  <si>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</si>
  <si>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</si>
  <si>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</si>
  <si>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</si>
  <si>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</si>
  <si>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</si>
  <si>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</si>
  <si>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</si>
  <si>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</si>
  <si>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</si>
  <si>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</si>
  <si>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</si>
  <si>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</si>
  <si>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</si>
  <si>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</si>
  <si>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</si>
  <si>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</si>
  <si>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</si>
  <si>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</si>
  <si>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</si>
  <si>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</si>
  <si>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</si>
  <si>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</si>
  <si>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</si>
  <si>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</si>
  <si>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</si>
  <si>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</si>
  <si>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</si>
  <si>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</si>
  <si>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</si>
  <si>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</si>
  <si>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</si>
  <si>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</si>
  <si>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</si>
  <si>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</si>
  <si>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</si>
  <si>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</si>
  <si>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</si>
  <si>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</si>
  <si>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</si>
  <si>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</si>
  <si>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</si>
  <si>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</si>
  <si>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</si>
  <si>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</si>
  <si>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</si>
  <si>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</si>
  <si>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</si>
  <si>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</si>
  <si>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</si>
  <si>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</si>
  <si>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</si>
  <si>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</si>
  <si>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</si>
  <si>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</si>
  <si>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</si>
  <si>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</si>
  <si>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</si>
  <si>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</si>
  <si>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</si>
  <si>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</si>
  <si>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</si>
  <si>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</si>
  <si>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</si>
  <si>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</si>
  <si>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</si>
  <si>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</si>
  <si>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</si>
  <si>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</si>
  <si>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</si>
  <si>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</si>
  <si>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</si>
  <si>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</si>
  <si>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</si>
  <si>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</si>
  <si>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</si>
  <si>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</si>
  <si>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</si>
  <si>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</si>
  <si>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</si>
  <si>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</si>
  <si>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</si>
  <si>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</si>
  <si>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</si>
  <si>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</si>
  <si>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</si>
  <si>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</si>
  <si>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</si>
  <si>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</si>
  <si>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</si>
  <si>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</si>
  <si>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</si>
  <si>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</si>
  <si>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</si>
  <si>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</si>
  <si>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</si>
  <si>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</si>
  <si>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</si>
  <si>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</si>
  <si>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</si>
  <si>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</si>
  <si>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</si>
  <si>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</si>
  <si>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</si>
  <si>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</si>
  <si>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</si>
  <si>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</si>
  <si>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</si>
  <si>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</si>
  <si>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</si>
  <si>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</si>
  <si>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</si>
  <si>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</si>
  <si>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</si>
  <si>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</si>
  <si>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</si>
  <si>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</si>
  <si>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</si>
  <si>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</si>
  <si>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</si>
  <si>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</si>
  <si>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</si>
  <si>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</si>
  <si>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</si>
  <si>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</si>
  <si>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</si>
  <si>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</si>
  <si>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</si>
  <si>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</si>
  <si>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</si>
  <si>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</si>
  <si>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</si>
  <si>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</si>
  <si>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</si>
  <si>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</si>
  <si>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</si>
  <si>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</si>
  <si>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</si>
  <si>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</si>
  <si>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</si>
  <si>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</si>
  <si>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</si>
  <si>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</si>
  <si>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</si>
  <si>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</si>
  <si>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</si>
  <si>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</si>
  <si>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</si>
  <si>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</si>
  <si>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</si>
  <si>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</si>
  <si>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</si>
  <si>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</si>
  <si>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</si>
  <si>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</si>
  <si>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</si>
  <si>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</si>
  <si>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</si>
  <si>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</si>
  <si>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</si>
  <si>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</si>
  <si>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</si>
  <si>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</si>
  <si>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</si>
  <si>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</si>
  <si>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</si>
  <si>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</si>
  <si>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</si>
  <si>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</si>
  <si>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</si>
  <si>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</si>
  <si>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</si>
  <si>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</si>
  <si>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</si>
  <si>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</si>
  <si>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</si>
  <si>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</si>
  <si>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</si>
  <si>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</si>
  <si>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</si>
  <si>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</si>
  <si>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</si>
  <si>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</si>
  <si>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</si>
  <si>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</si>
  <si>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</si>
  <si>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</si>
  <si>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</si>
  <si>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</si>
  <si>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</si>
  <si>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</si>
  <si>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</si>
  <si>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</si>
  <si>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</si>
  <si>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</si>
  <si>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</si>
  <si>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</si>
  <si>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</si>
  <si>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</si>
  <si>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</si>
  <si>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</si>
  <si>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</si>
  <si>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</si>
  <si>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</si>
  <si>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</si>
  <si>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</si>
  <si>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</si>
  <si>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</si>
  <si>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</si>
  <si>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</si>
  <si>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</si>
  <si>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</si>
  <si>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</si>
  <si>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</si>
  <si>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</si>
  <si>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</si>
  <si>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</si>
  <si>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</si>
  <si>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</si>
  <si>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</si>
  <si>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</si>
  <si>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</si>
  <si>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</si>
  <si>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</si>
  <si>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</si>
  <si>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</si>
  <si>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</si>
  <si>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</si>
  <si>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</si>
  <si>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</si>
  <si>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</si>
  <si>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</si>
  <si>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</si>
  <si>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</si>
  <si>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</si>
  <si>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</si>
  <si>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</si>
  <si>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</si>
  <si>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</si>
  <si>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</si>
  <si>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</si>
  <si>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</si>
  <si>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</si>
  <si>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</si>
  <si>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</si>
  <si>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</si>
  <si>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</si>
  <si>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</si>
  <si>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</si>
  <si>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</si>
  <si>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</si>
  <si>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</si>
  <si>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</si>
  <si>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</si>
  <si>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</si>
  <si>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</si>
  <si>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</si>
  <si>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</si>
  <si>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</si>
  <si>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</si>
  <si>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</si>
  <si>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</si>
  <si>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</si>
  <si>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</si>
  <si>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</si>
  <si>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</si>
  <si>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</si>
  <si>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</si>
  <si>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</si>
  <si>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</si>
  <si>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</si>
  <si>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</si>
  <si>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</si>
  <si>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</si>
  <si>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</si>
  <si>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</si>
  <si>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</si>
  <si>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</si>
  <si>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</si>
  <si>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</si>
  <si>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</si>
  <si>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</si>
  <si>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</si>
  <si>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</si>
  <si>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</si>
  <si>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</si>
  <si>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</si>
  <si>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</si>
  <si>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</si>
  <si>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</si>
  <si>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</si>
  <si>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</si>
  <si>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</si>
  <si>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</si>
  <si>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</si>
  <si>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</si>
  <si>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</si>
  <si>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</si>
  <si>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</si>
  <si>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</si>
  <si>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</si>
  <si>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</si>
  <si>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</si>
  <si>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</si>
  <si>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</si>
  <si>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</si>
  <si>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</si>
  <si>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</si>
  <si>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</si>
  <si>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</si>
  <si>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</si>
  <si>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</si>
  <si>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</si>
  <si>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</si>
  <si>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</si>
  <si>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</si>
  <si>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</si>
  <si>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</si>
  <si>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</si>
  <si>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</si>
  <si>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</si>
  <si>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</si>
  <si>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</si>
  <si>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</si>
  <si>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</si>
  <si>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</si>
  <si>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</si>
  <si>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</si>
  <si>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</si>
  <si>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</si>
  <si>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</si>
  <si>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</si>
  <si>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</si>
  <si>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</si>
  <si>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</si>
  <si>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</si>
  <si>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</si>
  <si>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</si>
  <si>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</si>
  <si>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</si>
  <si>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</si>
  <si>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</si>
  <si>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</si>
  <si>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</si>
  <si>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</si>
  <si>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</si>
  <si>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</si>
  <si>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</si>
  <si>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</si>
  <si>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</si>
  <si>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</si>
  <si>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</si>
  <si>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</si>
  <si>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</si>
  <si>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</si>
  <si>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</si>
  <si>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</si>
  <si>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</si>
  <si>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</si>
  <si>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</si>
  <si>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</si>
  <si>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</si>
  <si>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</si>
  <si>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</si>
  <si>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</si>
  <si>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</si>
  <si>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</si>
  <si>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</si>
  <si>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</si>
  <si>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</si>
  <si>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</si>
  <si>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</si>
  <si>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</si>
  <si>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</si>
  <si>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</si>
  <si>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</si>
  <si>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</si>
  <si>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</si>
  <si>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</si>
  <si>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</si>
  <si>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</si>
  <si>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</si>
  <si>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</si>
  <si>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</si>
  <si>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</si>
  <si>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</si>
  <si>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</si>
  <si>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</si>
  <si>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</si>
  <si>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</si>
  <si>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</si>
  <si>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</si>
  <si>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</si>
  <si>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</si>
  <si>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</si>
  <si>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</si>
  <si>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</si>
  <si>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</si>
  <si>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</si>
  <si>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</si>
  <si>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</si>
  <si>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</si>
  <si>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</si>
  <si>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</si>
  <si>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</si>
  <si>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</si>
  <si>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</si>
  <si>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</si>
  <si>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</si>
  <si>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</si>
  <si>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</si>
  <si>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</si>
  <si>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</si>
  <si>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</si>
  <si>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</si>
  <si>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</si>
  <si>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</si>
  <si>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</si>
  <si>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</si>
  <si>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</si>
  <si>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</si>
  <si>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</si>
  <si>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</si>
  <si>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</si>
  <si>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</si>
  <si>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</si>
  <si>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</si>
  <si>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</si>
  <si>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</si>
  <si>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</si>
  <si>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</si>
  <si>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</si>
  <si>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</si>
  <si>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</si>
  <si>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</si>
  <si>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</si>
  <si>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</si>
  <si>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</si>
  <si>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</si>
  <si>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</si>
  <si>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</si>
  <si>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</si>
  <si>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</si>
  <si>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</si>
  <si>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</si>
  <si>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</si>
  <si>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</si>
  <si>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</si>
  <si>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</si>
  <si>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</si>
  <si>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</si>
  <si>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</si>
  <si>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</si>
  <si>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</si>
  <si>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</si>
  <si>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</si>
  <si>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</si>
  <si>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</si>
  <si>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</si>
  <si>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</si>
  <si>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</si>
  <si>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</si>
  <si>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</si>
  <si>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</si>
  <si>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</si>
  <si>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</si>
  <si>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</si>
  <si>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</si>
  <si>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</si>
  <si>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</si>
  <si>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</si>
  <si>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</si>
  <si>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</si>
  <si>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</si>
  <si>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</si>
  <si>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</si>
  <si>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</si>
  <si>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</si>
  <si>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</si>
  <si>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</si>
  <si>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</si>
  <si>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</si>
  <si>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</si>
  <si>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</si>
  <si>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</si>
  <si>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</si>
  <si>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</si>
  <si>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</si>
  <si>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</si>
  <si>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</si>
  <si>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</si>
  <si>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</si>
  <si>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</si>
  <si>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</si>
  <si>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</si>
  <si>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</si>
  <si>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</si>
  <si>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</si>
  <si>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</si>
  <si>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</si>
  <si>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</si>
  <si>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</si>
  <si>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</si>
  <si>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</si>
  <si>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</si>
  <si>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</si>
  <si>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</si>
  <si>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</si>
  <si>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</si>
  <si>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</si>
  <si>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</si>
  <si>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</si>
  <si>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</si>
  <si>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</si>
  <si>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</si>
  <si>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</si>
  <si>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</si>
  <si>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</si>
  <si>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</si>
  <si>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</si>
  <si>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</si>
  <si>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</si>
  <si>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</si>
  <si>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</si>
  <si>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</si>
  <si>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</si>
  <si>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</si>
  <si>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</si>
  <si>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</si>
  <si>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</si>
  <si>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</si>
  <si>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</si>
  <si>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</si>
  <si>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</si>
  <si>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</si>
  <si>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</si>
  <si>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</si>
  <si>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</si>
  <si>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</si>
  <si>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</si>
  <si>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</si>
  <si>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</si>
  <si>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</si>
  <si>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</si>
  <si>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</si>
  <si>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</si>
  <si>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</si>
  <si>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</si>
  <si>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</si>
  <si>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</si>
  <si>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</si>
  <si>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</si>
  <si>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</si>
  <si>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</si>
  <si>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</si>
  <si>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</si>
  <si>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</si>
  <si>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</si>
  <si>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</si>
  <si>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</si>
  <si>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</si>
  <si>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</si>
  <si>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</si>
  <si>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</si>
  <si>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</si>
  <si>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</si>
  <si>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</si>
  <si>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</si>
  <si>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</si>
  <si>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</si>
  <si>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</si>
  <si>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</si>
  <si>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</si>
  <si>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</si>
  <si>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</si>
  <si>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</si>
  <si>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</si>
  <si>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</si>
  <si>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</si>
  <si>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</si>
  <si>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</si>
  <si>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</si>
  <si>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</si>
  <si>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</si>
  <si>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</si>
  <si>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</si>
  <si>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</si>
  <si>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</si>
  <si>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</si>
  <si>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</si>
  <si>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</si>
  <si>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</si>
  <si>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</si>
  <si>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</si>
  <si>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</si>
  <si>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</si>
  <si>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</si>
  <si>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</si>
  <si>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</si>
  <si>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</si>
  <si>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</si>
  <si>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</si>
  <si>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</si>
  <si>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</si>
  <si>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</si>
  <si>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</si>
  <si>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</si>
  <si>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</si>
  <si>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</si>
  <si>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</si>
  <si>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</si>
  <si>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</si>
  <si>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</si>
  <si>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</si>
  <si>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</si>
  <si>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</si>
  <si>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</si>
  <si>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</si>
  <si>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</si>
  <si>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</si>
  <si>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</si>
  <si>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</si>
  <si>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</si>
  <si>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</si>
  <si>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</si>
  <si>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</si>
  <si>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</si>
  <si>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</si>
  <si>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</si>
  <si>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</si>
  <si>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</si>
  <si>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</si>
  <si>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</si>
  <si>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</si>
  <si>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</si>
  <si>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</si>
  <si>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</si>
  <si>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</si>
  <si>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</si>
  <si>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</si>
  <si>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</si>
  <si>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</si>
  <si>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</si>
  <si>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</si>
  <si>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</si>
  <si>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</si>
  <si>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</si>
  <si>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</si>
  <si>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</si>
  <si>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</si>
  <si>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</si>
  <si>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</si>
  <si>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</si>
  <si>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</si>
  <si>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</si>
  <si>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</si>
  <si>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</si>
  <si>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</si>
  <si>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</si>
  <si>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</si>
  <si>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</si>
  <si>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</si>
  <si>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</si>
  <si>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</si>
  <si>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</si>
  <si>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</si>
  <si>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</si>
  <si>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</si>
  <si>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</si>
  <si>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</si>
  <si>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</si>
  <si>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</si>
  <si>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</si>
  <si>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</si>
  <si>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</si>
  <si>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</si>
  <si>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</si>
  <si>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</si>
  <si>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</si>
  <si>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</si>
  <si>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</si>
  <si>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</si>
  <si>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</si>
  <si>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</si>
  <si>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</si>
  <si>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</si>
  <si>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</si>
  <si>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</si>
  <si>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</si>
  <si>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</si>
  <si>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</si>
  <si>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</si>
  <si>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</si>
  <si>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</si>
  <si>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</si>
  <si>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</si>
  <si>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</si>
  <si>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</si>
  <si>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</si>
  <si>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</si>
  <si>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</si>
  <si>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</si>
  <si>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</si>
  <si>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</si>
  <si>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</si>
  <si>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</si>
  <si>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</si>
  <si>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</si>
  <si>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</si>
  <si>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</si>
  <si>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</si>
  <si>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</si>
  <si>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</si>
  <si>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</si>
  <si>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</si>
  <si>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</si>
  <si>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</si>
  <si>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</si>
  <si>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</si>
  <si>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</si>
  <si>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</si>
  <si>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</si>
  <si>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</si>
  <si>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</si>
  <si>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</si>
  <si>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</si>
  <si>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</si>
  <si>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</si>
  <si>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</si>
  <si>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</si>
  <si>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</si>
  <si>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</si>
  <si>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</si>
  <si>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</si>
  <si>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</si>
  <si>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</si>
  <si>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</si>
  <si>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</si>
  <si>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</si>
  <si>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</si>
  <si>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</si>
  <si>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</si>
  <si>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</si>
  <si>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</si>
  <si>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</si>
  <si>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</si>
  <si>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</si>
  <si>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</si>
  <si>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</si>
  <si>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</si>
  <si>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</si>
  <si>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</si>
  <si>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</si>
  <si>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</si>
  <si>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</si>
  <si>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</si>
  <si>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</si>
  <si>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</si>
  <si>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</si>
  <si>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</si>
  <si>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</si>
  <si>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</si>
  <si>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</si>
  <si>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</si>
  <si>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</si>
  <si>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</si>
  <si>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</si>
  <si>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</si>
  <si>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</si>
  <si>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</si>
  <si>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</si>
  <si>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</si>
  <si>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</si>
  <si>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</si>
  <si>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</si>
  <si>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</si>
  <si>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</si>
  <si>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</si>
  <si>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</si>
  <si>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</si>
  <si>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</si>
  <si>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</si>
  <si>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</si>
  <si>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</si>
  <si>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</si>
  <si>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</si>
  <si>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</si>
  <si>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</si>
  <si>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</si>
  <si>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</si>
  <si>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</si>
  <si>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</si>
  <si>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</si>
  <si>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</si>
  <si>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</si>
  <si>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</si>
  <si>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</si>
  <si>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</si>
  <si>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</si>
  <si>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</si>
  <si>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</si>
  <si>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</si>
  <si>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</si>
  <si>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</si>
  <si>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</si>
  <si>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</si>
  <si>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</si>
  <si>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</si>
  <si>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</si>
  <si>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</si>
  <si>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</si>
  <si>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</si>
  <si>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</si>
  <si>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</si>
  <si>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</si>
  <si>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</si>
  <si>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</si>
  <si>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</si>
  <si>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</si>
  <si>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</si>
  <si>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</si>
  <si>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</si>
  <si>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</si>
  <si>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</si>
  <si>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</si>
  <si>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</si>
  <si>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</si>
  <si>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</si>
  <si>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</si>
  <si>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</si>
  <si>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</si>
  <si>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</si>
  <si>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</si>
  <si>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</si>
  <si>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</si>
  <si>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</si>
  <si>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</si>
  <si>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</si>
  <si>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</si>
  <si>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</si>
  <si>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</si>
  <si>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</si>
  <si>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</si>
  <si>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</si>
  <si>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</si>
  <si>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</si>
  <si>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73066</t>
  </si>
  <si>
    <t>RIEMST</t>
  </si>
  <si>
    <t>Mestbank (maart 2019)</t>
  </si>
  <si>
    <t>Fluvius (februari 2019)</t>
  </si>
  <si>
    <t>referentietaak LNE (2017); Jaarverslag De Lijn (2018)</t>
  </si>
  <si>
    <t>VEA (30 april 2019)</t>
  </si>
  <si>
    <t>VEA (mei 2018)</t>
  </si>
  <si>
    <t>VEA (mei 2019)</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</si>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</sst>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148704.39337331531</c:v>
                </c:pt>
                <c:pt idx="1">
                  <c:v>22993.25318823387</c:v>
                </c:pt>
                <c:pt idx="2">
                  <c:v>1074.607</c:v>
                </c:pt>
                <c:pt idx="3">
                  <c:v>54727.705740467332</c:v>
                </c:pt>
                <c:pt idx="4">
                  <c:v>12239.462486793809</c:v>
                </c:pt>
                <c:pt idx="5">
                  <c:v>132138.63691218849</c:v>
                </c:pt>
                <c:pt idx="6">
                  <c:v>1629.6550642339851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148704.39337331531</c:v>
                </c:pt>
                <c:pt idx="1">
                  <c:v>22993.25318823387</c:v>
                </c:pt>
                <c:pt idx="2">
                  <c:v>1074.607</c:v>
                </c:pt>
                <c:pt idx="3">
                  <c:v>54727.705740467332</c:v>
                </c:pt>
                <c:pt idx="4">
                  <c:v>12239.462486793809</c:v>
                </c:pt>
                <c:pt idx="5">
                  <c:v>132138.63691218849</c:v>
                </c:pt>
                <c:pt idx="6">
                  <c:v>1629.6550642339851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26872.080944796569</c:v>
                </c:pt>
                <c:pt idx="1">
                  <c:v>2676.3683972162876</c:v>
                </c:pt>
                <c:pt idx="2">
                  <c:v>41.506997128135339</c:v>
                </c:pt>
                <c:pt idx="3">
                  <c:v>12188.699536599006</c:v>
                </c:pt>
                <c:pt idx="4">
                  <c:v>2077.4944990906019</c:v>
                </c:pt>
                <c:pt idx="5">
                  <c:v>32856.363800330932</c:v>
                </c:pt>
                <c:pt idx="6">
                  <c:v>412.20737086931729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46208"/>
      </c:barChart>
      <c:catAx>
        <c:axId val="76840320"/>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26872.080944796569</c:v>
                </c:pt>
                <c:pt idx="1">
                  <c:v>2676.3683972162876</c:v>
                </c:pt>
                <c:pt idx="2">
                  <c:v>41.506997128135339</c:v>
                </c:pt>
                <c:pt idx="3">
                  <c:v>12188.699536599006</c:v>
                </c:pt>
                <c:pt idx="4">
                  <c:v>2077.4944990906019</c:v>
                </c:pt>
                <c:pt idx="5">
                  <c:v>32856.363800330932</c:v>
                </c:pt>
                <c:pt idx="6">
                  <c:v>412.20737086931729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12573.132105000001</v>
      </c>
      <c r="D10" s="712">
        <f ca="1">tertiair!C16</f>
        <v>0</v>
      </c>
      <c r="E10" s="712">
        <f ca="1">tertiair!D16</f>
        <v>9168.1879951859992</v>
      </c>
      <c r="F10" s="712">
        <f>tertiair!E16</f>
        <v>180.33291182756057</v>
      </c>
      <c r="G10" s="712">
        <f ca="1">tertiair!F16</f>
        <v>1270.8533725401198</v>
      </c>
      <c r="H10" s="712">
        <f>tertiair!G16</f>
        <v>0</v>
      </c>
      <c r="I10" s="712">
        <f>tertiair!H16</f>
        <v>0</v>
      </c>
      <c r="J10" s="712">
        <f>tertiair!I16</f>
        <v>0</v>
      </c>
      <c r="K10" s="712">
        <f>tertiair!J16</f>
        <v>2.0451219864137268E-2</v>
      </c>
      <c r="L10" s="712">
        <f>tertiair!K16</f>
        <v>0</v>
      </c>
      <c r="M10" s="712">
        <f ca="1">tertiair!L16</f>
        <v>0</v>
      </c>
      <c r="N10" s="712">
        <f>tertiair!M16</f>
        <v>0</v>
      </c>
      <c r="O10" s="712">
        <f ca="1">tertiair!N16</f>
        <v>808.10243185630225</v>
      </c>
      <c r="P10" s="712">
        <f>tertiair!O16</f>
        <v>14.691782297523464</v>
      </c>
      <c r="Q10" s="713">
        <f>tertiair!P16</f>
        <v>52.539138306495019</v>
      </c>
      <c r="R10" s="715">
        <f ca="1">SUM(C10:Q10)</f>
        <v>24067.86018823387</v>
      </c>
      <c r="S10" s="67"/>
    </row>
    <row r="11" spans="1:19" s="474" customFormat="1">
      <c r="A11" s="834" t="s">
        <v>224</v>
      </c>
      <c r="B11" s="839"/>
      <c r="C11" s="712">
        <f>huishoudens!B8</f>
        <v>28196.877911706157</v>
      </c>
      <c r="D11" s="712">
        <f>huishoudens!C8</f>
        <v>0</v>
      </c>
      <c r="E11" s="712">
        <f>huishoudens!D8</f>
        <v>42530.618453399999</v>
      </c>
      <c r="F11" s="712">
        <f>huishoudens!E8</f>
        <v>9821.4338449659826</v>
      </c>
      <c r="G11" s="712">
        <f>huishoudens!F8</f>
        <v>56038.644971115929</v>
      </c>
      <c r="H11" s="712">
        <f>huishoudens!G8</f>
        <v>0</v>
      </c>
      <c r="I11" s="712">
        <f>huishoudens!H8</f>
        <v>0</v>
      </c>
      <c r="J11" s="712">
        <f>huishoudens!I8</f>
        <v>0</v>
      </c>
      <c r="K11" s="712">
        <f>huishoudens!J8</f>
        <v>0</v>
      </c>
      <c r="L11" s="712">
        <f>huishoudens!K8</f>
        <v>0</v>
      </c>
      <c r="M11" s="712">
        <f>huishoudens!L8</f>
        <v>0</v>
      </c>
      <c r="N11" s="712">
        <f>huishoudens!M8</f>
        <v>0</v>
      </c>
      <c r="O11" s="712">
        <f>huishoudens!N8</f>
        <v>10946.796695175823</v>
      </c>
      <c r="P11" s="712">
        <f>huishoudens!O8</f>
        <v>464.24622333656549</v>
      </c>
      <c r="Q11" s="713">
        <f>huishoudens!P8</f>
        <v>705.77527361489661</v>
      </c>
      <c r="R11" s="715">
        <f>SUM(C11:Q11)</f>
        <v>148704.39337331531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2572.195678</v>
      </c>
      <c r="D13" s="712">
        <f>industrie!C18</f>
        <v>0</v>
      </c>
      <c r="E13" s="712">
        <f>industrie!D18</f>
        <v>8036.9300178420008</v>
      </c>
      <c r="F13" s="712">
        <f>industrie!E18</f>
        <v>287.990919191854</v>
      </c>
      <c r="G13" s="712">
        <f>industrie!F18</f>
        <v>1077.1510219933857</v>
      </c>
      <c r="H13" s="712">
        <f>industrie!G18</f>
        <v>0</v>
      </c>
      <c r="I13" s="712">
        <f>industrie!H18</f>
        <v>0</v>
      </c>
      <c r="J13" s="712">
        <f>industrie!I18</f>
        <v>0</v>
      </c>
      <c r="K13" s="712">
        <f>industrie!J18</f>
        <v>4.8293604917610002</v>
      </c>
      <c r="L13" s="712">
        <f>industrie!K18</f>
        <v>0</v>
      </c>
      <c r="M13" s="712">
        <f>industrie!L18</f>
        <v>0</v>
      </c>
      <c r="N13" s="712">
        <f>industrie!M18</f>
        <v>0</v>
      </c>
      <c r="O13" s="712">
        <f>industrie!N18</f>
        <v>260.3654892748059</v>
      </c>
      <c r="P13" s="712">
        <f>industrie!O18</f>
        <v>0</v>
      </c>
      <c r="Q13" s="713">
        <f>industrie!P18</f>
        <v>0</v>
      </c>
      <c r="R13" s="715">
        <f>SUM(C13:Q13)</f>
        <v>12239.462486793809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43342.205694706165</v>
      </c>
      <c r="D16" s="748">
        <f t="shared" ref="D16:R16" ca="1" si="0">SUM(D9:D15)</f>
        <v>0</v>
      </c>
      <c r="E16" s="748">
        <f t="shared" ca="1" si="0"/>
        <v>59735.736466427996</v>
      </c>
      <c r="F16" s="748">
        <f t="shared" si="0"/>
        <v>10289.757675985396</v>
      </c>
      <c r="G16" s="748">
        <f t="shared" ca="1" si="0"/>
        <v>58386.649365649435</v>
      </c>
      <c r="H16" s="748">
        <f t="shared" si="0"/>
        <v>0</v>
      </c>
      <c r="I16" s="748">
        <f t="shared" si="0"/>
        <v>0</v>
      </c>
      <c r="J16" s="748">
        <f t="shared" si="0"/>
        <v>0</v>
      </c>
      <c r="K16" s="748">
        <f t="shared" si="0"/>
        <v>4.8498117116251374</v>
      </c>
      <c r="L16" s="748">
        <f t="shared" si="0"/>
        <v>0</v>
      </c>
      <c r="M16" s="748">
        <f t="shared" ca="1" si="0"/>
        <v>0</v>
      </c>
      <c r="N16" s="748">
        <f t="shared" si="0"/>
        <v>0</v>
      </c>
      <c r="O16" s="748">
        <f t="shared" ca="1" si="0"/>
        <v>12015.264616306929</v>
      </c>
      <c r="P16" s="748">
        <f t="shared" si="0"/>
        <v>478.93800563408894</v>
      </c>
      <c r="Q16" s="748">
        <f t="shared" si="0"/>
        <v>758.31441192139164</v>
      </c>
      <c r="R16" s="748">
        <f t="shared" ca="1" si="0"/>
        <v>185011.71604834299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1543.8478309712257</v>
      </c>
      <c r="I19" s="712">
        <f>transport!H54</f>
        <v>0</v>
      </c>
      <c r="J19" s="712">
        <f>transport!I54</f>
        <v>0</v>
      </c>
      <c r="K19" s="712">
        <f>transport!J54</f>
        <v>0</v>
      </c>
      <c r="L19" s="712">
        <f>transport!K54</f>
        <v>0</v>
      </c>
      <c r="M19" s="712">
        <f>transport!L54</f>
        <v>0</v>
      </c>
      <c r="N19" s="712">
        <f>transport!M54</f>
        <v>85.807233262759368</v>
      </c>
      <c r="O19" s="712">
        <f>transport!N54</f>
        <v>0</v>
      </c>
      <c r="P19" s="712">
        <f>transport!O54</f>
        <v>0</v>
      </c>
      <c r="Q19" s="713">
        <f>transport!P54</f>
        <v>0</v>
      </c>
      <c r="R19" s="715">
        <f>SUM(C19:Q19)</f>
        <v>1629.6550642339851</v>
      </c>
      <c r="S19" s="67"/>
    </row>
    <row r="20" spans="1:19" s="474" customFormat="1">
      <c r="A20" s="834" t="s">
        <v>306</v>
      </c>
      <c r="B20" s="839"/>
      <c r="C20" s="712">
        <f>transport!B14</f>
        <v>76.063582516666656</v>
      </c>
      <c r="D20" s="712">
        <f>transport!C14</f>
        <v>0</v>
      </c>
      <c r="E20" s="712">
        <f>transport!D14</f>
        <v>306.95566826697109</v>
      </c>
      <c r="F20" s="712">
        <f>transport!E14</f>
        <v>251.48306868554167</v>
      </c>
      <c r="G20" s="712">
        <f>transport!F14</f>
        <v>0</v>
      </c>
      <c r="H20" s="712">
        <f>transport!G14</f>
        <v>101045.41051430246</v>
      </c>
      <c r="I20" s="712">
        <f>transport!H14</f>
        <v>23113.291221674754</v>
      </c>
      <c r="J20" s="712">
        <f>transport!I14</f>
        <v>0</v>
      </c>
      <c r="K20" s="712">
        <f>transport!J14</f>
        <v>0</v>
      </c>
      <c r="L20" s="712">
        <f>transport!K14</f>
        <v>0</v>
      </c>
      <c r="M20" s="712">
        <f>transport!L14</f>
        <v>0</v>
      </c>
      <c r="N20" s="712">
        <f>transport!M14</f>
        <v>7345.4328567421016</v>
      </c>
      <c r="O20" s="712">
        <f>transport!N14</f>
        <v>0</v>
      </c>
      <c r="P20" s="712">
        <f>transport!O14</f>
        <v>0</v>
      </c>
      <c r="Q20" s="713">
        <f>transport!P14</f>
        <v>0</v>
      </c>
      <c r="R20" s="715">
        <f>SUM(C20:Q20)</f>
        <v>132138.63691218849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76.063582516666656</v>
      </c>
      <c r="D22" s="837">
        <f t="shared" ref="D22:R22" si="1">SUM(D18:D21)</f>
        <v>0</v>
      </c>
      <c r="E22" s="837">
        <f t="shared" si="1"/>
        <v>306.95566826697109</v>
      </c>
      <c r="F22" s="837">
        <f t="shared" si="1"/>
        <v>251.48306868554167</v>
      </c>
      <c r="G22" s="837">
        <f t="shared" si="1"/>
        <v>0</v>
      </c>
      <c r="H22" s="837">
        <f t="shared" si="1"/>
        <v>102589.25834527369</v>
      </c>
      <c r="I22" s="837">
        <f t="shared" si="1"/>
        <v>23113.291221674754</v>
      </c>
      <c r="J22" s="837">
        <f t="shared" si="1"/>
        <v>0</v>
      </c>
      <c r="K22" s="837">
        <f t="shared" si="1"/>
        <v>0</v>
      </c>
      <c r="L22" s="837">
        <f t="shared" si="1"/>
        <v>0</v>
      </c>
      <c r="M22" s="837">
        <f t="shared" si="1"/>
        <v>0</v>
      </c>
      <c r="N22" s="837">
        <f t="shared" si="1"/>
        <v>7431.2400900048606</v>
      </c>
      <c r="O22" s="837">
        <f t="shared" si="1"/>
        <v>0</v>
      </c>
      <c r="P22" s="837">
        <f t="shared" si="1"/>
        <v>0</v>
      </c>
      <c r="Q22" s="837">
        <f t="shared" si="1"/>
        <v>0</v>
      </c>
      <c r="R22" s="837">
        <f t="shared" si="1"/>
        <v>133768.29197642248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10543.92829</v>
      </c>
      <c r="D24" s="712">
        <f>+landbouw!C8</f>
        <v>77.142857142857139</v>
      </c>
      <c r="E24" s="712">
        <f>+landbouw!D8</f>
        <v>3609.2261012280001</v>
      </c>
      <c r="F24" s="712">
        <f>+landbouw!E8</f>
        <v>329.07252497229501</v>
      </c>
      <c r="G24" s="712">
        <f>+landbouw!F8</f>
        <v>37263.410601727323</v>
      </c>
      <c r="H24" s="712">
        <f>+landbouw!G8</f>
        <v>0</v>
      </c>
      <c r="I24" s="712">
        <f>+landbouw!H8</f>
        <v>0</v>
      </c>
      <c r="J24" s="712">
        <f>+landbouw!I8</f>
        <v>0</v>
      </c>
      <c r="K24" s="712">
        <f>+landbouw!J8</f>
        <v>2904.9253653968585</v>
      </c>
      <c r="L24" s="712">
        <f>+landbouw!K8</f>
        <v>0</v>
      </c>
      <c r="M24" s="712">
        <f>+landbouw!L8</f>
        <v>0</v>
      </c>
      <c r="N24" s="712">
        <f>+landbouw!M8</f>
        <v>0</v>
      </c>
      <c r="O24" s="712">
        <f>+landbouw!N8</f>
        <v>0</v>
      </c>
      <c r="P24" s="712">
        <f>+landbouw!O8</f>
        <v>0</v>
      </c>
      <c r="Q24" s="713">
        <f>+landbouw!P8</f>
        <v>0</v>
      </c>
      <c r="R24" s="715">
        <f>SUM(C24:Q24)</f>
        <v>54727.705740467332</v>
      </c>
      <c r="S24" s="67"/>
    </row>
    <row r="25" spans="1:19" s="474" customFormat="1" ht="15" thickBot="1">
      <c r="A25" s="856" t="s">
        <v>734</v>
      </c>
      <c r="B25" s="982"/>
      <c r="C25" s="983">
        <f>IF(Onbekend_ele_kWh="---",0,Onbekend_ele_kWh)/1000+IF(REST_rest_ele_kWh="---",0,REST_rest_ele_kWh)/1000</f>
        <v>467.42430000000002</v>
      </c>
      <c r="D25" s="983"/>
      <c r="E25" s="983">
        <f>IF(onbekend_gas_kWh="---",0,onbekend_gas_kWh)/1000+IF(REST_rest_gas_kWh="---",0,REST_rest_gas_kWh)/1000</f>
        <v>1263.5838719999999</v>
      </c>
      <c r="F25" s="983"/>
      <c r="G25" s="983"/>
      <c r="H25" s="983"/>
      <c r="I25" s="983"/>
      <c r="J25" s="983"/>
      <c r="K25" s="983"/>
      <c r="L25" s="983"/>
      <c r="M25" s="983"/>
      <c r="N25" s="983"/>
      <c r="O25" s="983"/>
      <c r="P25" s="983"/>
      <c r="Q25" s="984"/>
      <c r="R25" s="715">
        <f>SUM(C25:Q25)</f>
        <v>1731.0081719999998</v>
      </c>
      <c r="S25" s="67"/>
    </row>
    <row r="26" spans="1:19" s="474" customFormat="1" ht="15.75" thickBot="1">
      <c r="A26" s="720" t="s">
        <v>735</v>
      </c>
      <c r="B26" s="842"/>
      <c r="C26" s="837">
        <f>SUM(C24:C25)</f>
        <v>11011.35259</v>
      </c>
      <c r="D26" s="837">
        <f t="shared" ref="D26:R26" si="2">SUM(D24:D25)</f>
        <v>77.142857142857139</v>
      </c>
      <c r="E26" s="837">
        <f t="shared" si="2"/>
        <v>4872.8099732279998</v>
      </c>
      <c r="F26" s="837">
        <f t="shared" si="2"/>
        <v>329.07252497229501</v>
      </c>
      <c r="G26" s="837">
        <f t="shared" si="2"/>
        <v>37263.410601727323</v>
      </c>
      <c r="H26" s="837">
        <f t="shared" si="2"/>
        <v>0</v>
      </c>
      <c r="I26" s="837">
        <f t="shared" si="2"/>
        <v>0</v>
      </c>
      <c r="J26" s="837">
        <f t="shared" si="2"/>
        <v>0</v>
      </c>
      <c r="K26" s="837">
        <f t="shared" si="2"/>
        <v>2904.9253653968585</v>
      </c>
      <c r="L26" s="837">
        <f t="shared" si="2"/>
        <v>0</v>
      </c>
      <c r="M26" s="837">
        <f t="shared" si="2"/>
        <v>0</v>
      </c>
      <c r="N26" s="837">
        <f t="shared" si="2"/>
        <v>0</v>
      </c>
      <c r="O26" s="837">
        <f t="shared" si="2"/>
        <v>0</v>
      </c>
      <c r="P26" s="837">
        <f t="shared" si="2"/>
        <v>0</v>
      </c>
      <c r="Q26" s="837">
        <f t="shared" si="2"/>
        <v>0</v>
      </c>
      <c r="R26" s="837">
        <f t="shared" si="2"/>
        <v>56458.713912467334</v>
      </c>
      <c r="S26" s="67"/>
    </row>
    <row r="27" spans="1:19" s="474" customFormat="1" ht="17.25" thickTop="1" thickBot="1">
      <c r="A27" s="721" t="s">
        <v>115</v>
      </c>
      <c r="B27" s="829"/>
      <c r="C27" s="722">
        <f ca="1">C22+C16+C26</f>
        <v>54429.621867222835</v>
      </c>
      <c r="D27" s="722">
        <f t="shared" ref="D27:R27" ca="1" si="3">D22+D16+D26</f>
        <v>77.142857142857139</v>
      </c>
      <c r="E27" s="722">
        <f t="shared" ca="1" si="3"/>
        <v>64915.50210792297</v>
      </c>
      <c r="F27" s="722">
        <f t="shared" si="3"/>
        <v>10870.313269643233</v>
      </c>
      <c r="G27" s="722">
        <f t="shared" ca="1" si="3"/>
        <v>95650.059967376757</v>
      </c>
      <c r="H27" s="722">
        <f t="shared" si="3"/>
        <v>102589.25834527369</v>
      </c>
      <c r="I27" s="722">
        <f t="shared" si="3"/>
        <v>23113.291221674754</v>
      </c>
      <c r="J27" s="722">
        <f t="shared" si="3"/>
        <v>0</v>
      </c>
      <c r="K27" s="722">
        <f t="shared" si="3"/>
        <v>2909.7751771084836</v>
      </c>
      <c r="L27" s="722">
        <f t="shared" si="3"/>
        <v>0</v>
      </c>
      <c r="M27" s="722">
        <f t="shared" ca="1" si="3"/>
        <v>0</v>
      </c>
      <c r="N27" s="722">
        <f t="shared" si="3"/>
        <v>7431.2400900048606</v>
      </c>
      <c r="O27" s="722">
        <f t="shared" ca="1" si="3"/>
        <v>12015.264616306929</v>
      </c>
      <c r="P27" s="722">
        <f t="shared" si="3"/>
        <v>478.93800563408894</v>
      </c>
      <c r="Q27" s="722">
        <f t="shared" si="3"/>
        <v>758.31441192139164</v>
      </c>
      <c r="R27" s="722">
        <f t="shared" ca="1" si="3"/>
        <v>375238.72193723283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485.64075813195086</v>
      </c>
      <c r="D40" s="712">
        <f ca="1">tertiair!C20</f>
        <v>0</v>
      </c>
      <c r="E40" s="712">
        <f ca="1">tertiair!D20</f>
        <v>1851.9739750275719</v>
      </c>
      <c r="F40" s="712">
        <f>tertiair!E20</f>
        <v>40.935570984856248</v>
      </c>
      <c r="G40" s="712">
        <f ca="1">tertiair!F20</f>
        <v>339.31785046821204</v>
      </c>
      <c r="H40" s="712">
        <f>tertiair!G20</f>
        <v>0</v>
      </c>
      <c r="I40" s="712">
        <f>tertiair!H20</f>
        <v>0</v>
      </c>
      <c r="J40" s="712">
        <f>tertiair!I20</f>
        <v>0</v>
      </c>
      <c r="K40" s="712">
        <f>tertiair!J20</f>
        <v>7.2397318319045922E-3</v>
      </c>
      <c r="L40" s="712">
        <f>tertiair!K20</f>
        <v>0</v>
      </c>
      <c r="M40" s="712">
        <f ca="1">tertiair!L20</f>
        <v>0</v>
      </c>
      <c r="N40" s="712">
        <f>tertiair!M20</f>
        <v>0</v>
      </c>
      <c r="O40" s="712">
        <f ca="1">tertiair!N20</f>
        <v>0</v>
      </c>
      <c r="P40" s="712">
        <f>tertiair!O20</f>
        <v>0</v>
      </c>
      <c r="Q40" s="795">
        <f>tertiair!P20</f>
        <v>0</v>
      </c>
      <c r="R40" s="875">
        <f t="shared" ca="1" si="4"/>
        <v>2717.8753943444231</v>
      </c>
    </row>
    <row r="41" spans="1:18">
      <c r="A41" s="847" t="s">
        <v>224</v>
      </c>
      <c r="B41" s="854"/>
      <c r="C41" s="712">
        <f ca="1">huishoudens!B12</f>
        <v>1089.1123271145361</v>
      </c>
      <c r="D41" s="712">
        <f ca="1">huishoudens!C12</f>
        <v>0</v>
      </c>
      <c r="E41" s="712">
        <f>huishoudens!D12</f>
        <v>8591.1849275868008</v>
      </c>
      <c r="F41" s="712">
        <f>huishoudens!E12</f>
        <v>2229.465482807278</v>
      </c>
      <c r="G41" s="712">
        <f>huishoudens!F12</f>
        <v>14962.318207287954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26872.080944796569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99.35178034364948</v>
      </c>
      <c r="D43" s="712">
        <f ca="1">industrie!C22</f>
        <v>0</v>
      </c>
      <c r="E43" s="712">
        <f>industrie!D22</f>
        <v>1623.4598636040841</v>
      </c>
      <c r="F43" s="712">
        <f>industrie!E22</f>
        <v>65.373938656550862</v>
      </c>
      <c r="G43" s="712">
        <f>industrie!F22</f>
        <v>287.59932287223398</v>
      </c>
      <c r="H43" s="712">
        <f>industrie!G22</f>
        <v>0</v>
      </c>
      <c r="I43" s="712">
        <f>industrie!H22</f>
        <v>0</v>
      </c>
      <c r="J43" s="712">
        <f>industrie!I22</f>
        <v>0</v>
      </c>
      <c r="K43" s="712">
        <f>industrie!J22</f>
        <v>1.7095936140833941</v>
      </c>
      <c r="L43" s="712">
        <f>industrie!K22</f>
        <v>0</v>
      </c>
      <c r="M43" s="712">
        <f>industrie!L22</f>
        <v>0</v>
      </c>
      <c r="N43" s="712">
        <f>industrie!M22</f>
        <v>0</v>
      </c>
      <c r="O43" s="712">
        <f>industrie!N22</f>
        <v>0</v>
      </c>
      <c r="P43" s="712">
        <f>industrie!O22</f>
        <v>0</v>
      </c>
      <c r="Q43" s="795">
        <f>industrie!P22</f>
        <v>0</v>
      </c>
      <c r="R43" s="874">
        <f t="shared" ca="1" si="4"/>
        <v>2077.4944990906019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1674.1048655901366</v>
      </c>
      <c r="D46" s="748">
        <f t="shared" ref="D46:Q46" ca="1" si="5">SUM(D39:D45)</f>
        <v>0</v>
      </c>
      <c r="E46" s="748">
        <f t="shared" ca="1" si="5"/>
        <v>12066.618766218457</v>
      </c>
      <c r="F46" s="748">
        <f t="shared" si="5"/>
        <v>2335.7749924486852</v>
      </c>
      <c r="G46" s="748">
        <f t="shared" ca="1" si="5"/>
        <v>15589.235380628401</v>
      </c>
      <c r="H46" s="748">
        <f t="shared" si="5"/>
        <v>0</v>
      </c>
      <c r="I46" s="748">
        <f t="shared" si="5"/>
        <v>0</v>
      </c>
      <c r="J46" s="748">
        <f t="shared" si="5"/>
        <v>0</v>
      </c>
      <c r="K46" s="748">
        <f t="shared" si="5"/>
        <v>1.7168333459152987</v>
      </c>
      <c r="L46" s="748">
        <f t="shared" si="5"/>
        <v>0</v>
      </c>
      <c r="M46" s="748">
        <f t="shared" ca="1" si="5"/>
        <v>0</v>
      </c>
      <c r="N46" s="748">
        <f t="shared" si="5"/>
        <v>0</v>
      </c>
      <c r="O46" s="748">
        <f t="shared" ca="1" si="5"/>
        <v>0</v>
      </c>
      <c r="P46" s="748">
        <f t="shared" si="5"/>
        <v>0</v>
      </c>
      <c r="Q46" s="748">
        <f t="shared" si="5"/>
        <v>0</v>
      </c>
      <c r="R46" s="748">
        <f ca="1">SUM(R39:R45)</f>
        <v>31667.450838231594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412.20737086931729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412.20737086931729</v>
      </c>
    </row>
    <row r="50" spans="1:18">
      <c r="A50" s="850" t="s">
        <v>306</v>
      </c>
      <c r="B50" s="860"/>
      <c r="C50" s="718">
        <f ca="1">transport!B18</f>
        <v>2.9379772336072336</v>
      </c>
      <c r="D50" s="718">
        <f>transport!C18</f>
        <v>0</v>
      </c>
      <c r="E50" s="718">
        <f>transport!D18</f>
        <v>62.005044989928166</v>
      </c>
      <c r="F50" s="718">
        <f>transport!E18</f>
        <v>57.08665659161796</v>
      </c>
      <c r="G50" s="718">
        <f>transport!F18</f>
        <v>0</v>
      </c>
      <c r="H50" s="718">
        <f>transport!G18</f>
        <v>26979.124607318761</v>
      </c>
      <c r="I50" s="718">
        <f>transport!H18</f>
        <v>5755.209514197014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32856.363800330932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2.9379772336072336</v>
      </c>
      <c r="D52" s="748">
        <f t="shared" ref="D52:Q52" ca="1" si="6">SUM(D48:D51)</f>
        <v>0</v>
      </c>
      <c r="E52" s="748">
        <f t="shared" si="6"/>
        <v>62.005044989928166</v>
      </c>
      <c r="F52" s="748">
        <f t="shared" si="6"/>
        <v>57.08665659161796</v>
      </c>
      <c r="G52" s="748">
        <f t="shared" si="6"/>
        <v>0</v>
      </c>
      <c r="H52" s="748">
        <f t="shared" si="6"/>
        <v>27391.331978188078</v>
      </c>
      <c r="I52" s="748">
        <f t="shared" si="6"/>
        <v>5755.209514197014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33268.571171200252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407.2621909705548</v>
      </c>
      <c r="D54" s="718">
        <f ca="1">+landbouw!C12</f>
        <v>0</v>
      </c>
      <c r="E54" s="718">
        <f>+landbouw!D12</f>
        <v>729.06367244805608</v>
      </c>
      <c r="F54" s="718">
        <f>+landbouw!E12</f>
        <v>74.699463168710977</v>
      </c>
      <c r="G54" s="718">
        <f>+landbouw!F12</f>
        <v>9949.3306306611958</v>
      </c>
      <c r="H54" s="718">
        <f>+landbouw!G12</f>
        <v>0</v>
      </c>
      <c r="I54" s="718">
        <f>+landbouw!H12</f>
        <v>0</v>
      </c>
      <c r="J54" s="718">
        <f>+landbouw!I12</f>
        <v>0</v>
      </c>
      <c r="K54" s="718">
        <f>+landbouw!J12</f>
        <v>1028.343579350488</v>
      </c>
      <c r="L54" s="718">
        <f>+landbouw!K12</f>
        <v>0</v>
      </c>
      <c r="M54" s="718">
        <f>+landbouw!L12</f>
        <v>0</v>
      </c>
      <c r="N54" s="718">
        <f>+landbouw!M12</f>
        <v>0</v>
      </c>
      <c r="O54" s="718">
        <f>+landbouw!N12</f>
        <v>0</v>
      </c>
      <c r="P54" s="718">
        <f>+landbouw!O12</f>
        <v>0</v>
      </c>
      <c r="Q54" s="719">
        <f>+landbouw!P12</f>
        <v>0</v>
      </c>
      <c r="R54" s="747">
        <f ca="1">SUM(C54:Q54)</f>
        <v>12188.699536599006</v>
      </c>
    </row>
    <row r="55" spans="1:18" ht="15" thickBot="1">
      <c r="A55" s="850" t="s">
        <v>734</v>
      </c>
      <c r="B55" s="860"/>
      <c r="C55" s="718">
        <f ca="1">C25*'EF ele_warmte'!B12</f>
        <v>18.054394841761383</v>
      </c>
      <c r="D55" s="718"/>
      <c r="E55" s="718">
        <f>E25*EF_CO2_aardgas</f>
        <v>255.24394214400002</v>
      </c>
      <c r="F55" s="718"/>
      <c r="G55" s="718"/>
      <c r="H55" s="718"/>
      <c r="I55" s="718"/>
      <c r="J55" s="718"/>
      <c r="K55" s="718"/>
      <c r="L55" s="718"/>
      <c r="M55" s="718"/>
      <c r="N55" s="718"/>
      <c r="O55" s="718"/>
      <c r="P55" s="718"/>
      <c r="Q55" s="719"/>
      <c r="R55" s="747">
        <f ca="1">SUM(C55:Q55)</f>
        <v>273.29833698576141</v>
      </c>
    </row>
    <row r="56" spans="1:18" ht="15.75" thickBot="1">
      <c r="A56" s="848" t="s">
        <v>735</v>
      </c>
      <c r="B56" s="861"/>
      <c r="C56" s="748">
        <f ca="1">SUM(C54:C55)</f>
        <v>425.31658581231619</v>
      </c>
      <c r="D56" s="748">
        <f t="shared" ref="D56:Q56" ca="1" si="7">SUM(D54:D55)</f>
        <v>0</v>
      </c>
      <c r="E56" s="748">
        <f t="shared" si="7"/>
        <v>984.3076145920561</v>
      </c>
      <c r="F56" s="748">
        <f t="shared" si="7"/>
        <v>74.699463168710977</v>
      </c>
      <c r="G56" s="748">
        <f t="shared" si="7"/>
        <v>9949.3306306611958</v>
      </c>
      <c r="H56" s="748">
        <f t="shared" si="7"/>
        <v>0</v>
      </c>
      <c r="I56" s="748">
        <f t="shared" si="7"/>
        <v>0</v>
      </c>
      <c r="J56" s="748">
        <f t="shared" si="7"/>
        <v>0</v>
      </c>
      <c r="K56" s="748">
        <f t="shared" si="7"/>
        <v>1028.343579350488</v>
      </c>
      <c r="L56" s="748">
        <f t="shared" si="7"/>
        <v>0</v>
      </c>
      <c r="M56" s="748">
        <f t="shared" si="7"/>
        <v>0</v>
      </c>
      <c r="N56" s="748">
        <f t="shared" si="7"/>
        <v>0</v>
      </c>
      <c r="O56" s="748">
        <f t="shared" si="7"/>
        <v>0</v>
      </c>
      <c r="P56" s="748">
        <f t="shared" si="7"/>
        <v>0</v>
      </c>
      <c r="Q56" s="749">
        <f t="shared" si="7"/>
        <v>0</v>
      </c>
      <c r="R56" s="750">
        <f ca="1">SUM(R54:R55)</f>
        <v>12461.997873584767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2102.3594286360599</v>
      </c>
      <c r="D61" s="756">
        <f t="shared" ref="D61:Q61" ca="1" si="8">D46+D52+D56</f>
        <v>0</v>
      </c>
      <c r="E61" s="756">
        <f t="shared" ca="1" si="8"/>
        <v>13112.931425800442</v>
      </c>
      <c r="F61" s="756">
        <f t="shared" si="8"/>
        <v>2467.5611122090145</v>
      </c>
      <c r="G61" s="756">
        <f t="shared" ca="1" si="8"/>
        <v>25538.566011289597</v>
      </c>
      <c r="H61" s="756">
        <f t="shared" si="8"/>
        <v>27391.331978188078</v>
      </c>
      <c r="I61" s="756">
        <f t="shared" si="8"/>
        <v>5755.209514197014</v>
      </c>
      <c r="J61" s="756">
        <f t="shared" si="8"/>
        <v>0</v>
      </c>
      <c r="K61" s="756">
        <f t="shared" si="8"/>
        <v>1030.0604126964033</v>
      </c>
      <c r="L61" s="756">
        <f t="shared" si="8"/>
        <v>0</v>
      </c>
      <c r="M61" s="756">
        <f t="shared" ca="1" si="8"/>
        <v>0</v>
      </c>
      <c r="N61" s="756">
        <f t="shared" si="8"/>
        <v>0</v>
      </c>
      <c r="O61" s="756">
        <f t="shared" ca="1" si="8"/>
        <v>0</v>
      </c>
      <c r="P61" s="756">
        <f t="shared" si="8"/>
        <v>0</v>
      </c>
      <c r="Q61" s="756">
        <f t="shared" si="8"/>
        <v>0</v>
      </c>
      <c r="R61" s="756">
        <f ca="1">R46+R52+R56</f>
        <v>77398.019883016619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3.8625280803247453E-2</v>
      </c>
      <c r="D63" s="802">
        <f t="shared" ca="1" si="9"/>
        <v>0</v>
      </c>
      <c r="E63" s="1008">
        <f t="shared" ca="1" si="9"/>
        <v>0.20200000000000001</v>
      </c>
      <c r="F63" s="802">
        <f t="shared" si="9"/>
        <v>0.22700000000000006</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36325.377163281846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8537.3061128275931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54</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63.529411764705898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44916.683276109441</v>
      </c>
      <c r="C78" s="774">
        <f>SUM(C72:C77)</f>
        <v>0</v>
      </c>
      <c r="D78" s="775">
        <f t="shared" ref="D78:H78" si="10">SUM(D76:D77)</f>
        <v>0</v>
      </c>
      <c r="E78" s="775">
        <f t="shared" si="10"/>
        <v>0</v>
      </c>
      <c r="F78" s="775">
        <f t="shared" si="10"/>
        <v>0</v>
      </c>
      <c r="G78" s="775">
        <f t="shared" si="10"/>
        <v>0</v>
      </c>
      <c r="H78" s="775">
        <f t="shared" si="10"/>
        <v>0</v>
      </c>
      <c r="I78" s="775">
        <f>SUM(I76:I77)</f>
        <v>0</v>
      </c>
      <c r="J78" s="775">
        <f>SUM(J76:J77)</f>
        <v>63.529411764705898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77.142857142857139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90.756302521008422</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77.142857142857139</v>
      </c>
      <c r="C90" s="774">
        <f>SUM(C87:C89)</f>
        <v>0</v>
      </c>
      <c r="D90" s="774">
        <f t="shared" ref="D90:H90" si="12">SUM(D87:D89)</f>
        <v>0</v>
      </c>
      <c r="E90" s="774">
        <f t="shared" si="12"/>
        <v>0</v>
      </c>
      <c r="F90" s="774">
        <f t="shared" si="12"/>
        <v>0</v>
      </c>
      <c r="G90" s="774">
        <f t="shared" si="12"/>
        <v>0</v>
      </c>
      <c r="H90" s="774">
        <f t="shared" si="12"/>
        <v>0</v>
      </c>
      <c r="I90" s="774">
        <f>SUM(I87:I89)</f>
        <v>0</v>
      </c>
      <c r="J90" s="774">
        <f>SUM(J87:J89)</f>
        <v>90.756302521008422</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28196.877911706157</v>
      </c>
      <c r="C4" s="478">
        <f>huishoudens!C8</f>
        <v>0</v>
      </c>
      <c r="D4" s="478">
        <f>huishoudens!D8</f>
        <v>42530.618453399999</v>
      </c>
      <c r="E4" s="478">
        <f>huishoudens!E8</f>
        <v>9821.4338449659826</v>
      </c>
      <c r="F4" s="478">
        <f>huishoudens!F8</f>
        <v>56038.644971115929</v>
      </c>
      <c r="G4" s="478">
        <f>huishoudens!G8</f>
        <v>0</v>
      </c>
      <c r="H4" s="478">
        <f>huishoudens!H8</f>
        <v>0</v>
      </c>
      <c r="I4" s="478">
        <f>huishoudens!I8</f>
        <v>0</v>
      </c>
      <c r="J4" s="478">
        <f>huishoudens!J8</f>
        <v>0</v>
      </c>
      <c r="K4" s="478">
        <f>huishoudens!K8</f>
        <v>0</v>
      </c>
      <c r="L4" s="478">
        <f>huishoudens!L8</f>
        <v>0</v>
      </c>
      <c r="M4" s="478">
        <f>huishoudens!M8</f>
        <v>0</v>
      </c>
      <c r="N4" s="478">
        <f>huishoudens!N8</f>
        <v>10946.796695175823</v>
      </c>
      <c r="O4" s="478">
        <f>huishoudens!O8</f>
        <v>464.24622333656549</v>
      </c>
      <c r="P4" s="479">
        <f>huishoudens!P8</f>
        <v>705.77527361489661</v>
      </c>
      <c r="Q4" s="480">
        <f>SUM(B4:P4)</f>
        <v>148704.39337331531</v>
      </c>
    </row>
    <row r="5" spans="1:17">
      <c r="A5" s="477" t="s">
        <v>155</v>
      </c>
      <c r="B5" s="478">
        <f ca="1">tertiair!B16</f>
        <v>11498.525105000001</v>
      </c>
      <c r="C5" s="478">
        <f ca="1">tertiair!C16</f>
        <v>0</v>
      </c>
      <c r="D5" s="478">
        <f ca="1">tertiair!D16</f>
        <v>9168.1879951859992</v>
      </c>
      <c r="E5" s="478">
        <f>tertiair!E16</f>
        <v>180.33291182756057</v>
      </c>
      <c r="F5" s="478">
        <f ca="1">tertiair!F16</f>
        <v>1270.8533725401198</v>
      </c>
      <c r="G5" s="478">
        <f>tertiair!G16</f>
        <v>0</v>
      </c>
      <c r="H5" s="478">
        <f>tertiair!H16</f>
        <v>0</v>
      </c>
      <c r="I5" s="478">
        <f>tertiair!I16</f>
        <v>0</v>
      </c>
      <c r="J5" s="478">
        <f>tertiair!J16</f>
        <v>2.0451219864137268E-2</v>
      </c>
      <c r="K5" s="478">
        <f>tertiair!K16</f>
        <v>0</v>
      </c>
      <c r="L5" s="478">
        <f ca="1">tertiair!L16</f>
        <v>0</v>
      </c>
      <c r="M5" s="478">
        <f>tertiair!M16</f>
        <v>0</v>
      </c>
      <c r="N5" s="478">
        <f ca="1">tertiair!N16</f>
        <v>808.10243185630225</v>
      </c>
      <c r="O5" s="478">
        <f>tertiair!O16</f>
        <v>14.691782297523464</v>
      </c>
      <c r="P5" s="479">
        <f>tertiair!P16</f>
        <v>52.539138306495019</v>
      </c>
      <c r="Q5" s="477">
        <f t="shared" ref="Q5:Q14" ca="1" si="0">SUM(B5:P5)</f>
        <v>22993.25318823387</v>
      </c>
    </row>
    <row r="6" spans="1:17">
      <c r="A6" s="477" t="s">
        <v>193</v>
      </c>
      <c r="B6" s="478">
        <f>'openbare verlichting'!B8</f>
        <v>1074.607</v>
      </c>
      <c r="C6" s="478"/>
      <c r="D6" s="478"/>
      <c r="E6" s="478"/>
      <c r="F6" s="478"/>
      <c r="G6" s="478"/>
      <c r="H6" s="478"/>
      <c r="I6" s="478"/>
      <c r="J6" s="478"/>
      <c r="K6" s="478"/>
      <c r="L6" s="478"/>
      <c r="M6" s="478"/>
      <c r="N6" s="478"/>
      <c r="O6" s="478"/>
      <c r="P6" s="479"/>
      <c r="Q6" s="477">
        <f t="shared" si="0"/>
        <v>1074.607</v>
      </c>
    </row>
    <row r="7" spans="1:17">
      <c r="A7" s="477" t="s">
        <v>111</v>
      </c>
      <c r="B7" s="478">
        <f>landbouw!B8</f>
        <v>10543.92829</v>
      </c>
      <c r="C7" s="478">
        <f>landbouw!C8</f>
        <v>77.142857142857139</v>
      </c>
      <c r="D7" s="478">
        <f>landbouw!D8</f>
        <v>3609.2261012280001</v>
      </c>
      <c r="E7" s="478">
        <f>landbouw!E8</f>
        <v>329.07252497229501</v>
      </c>
      <c r="F7" s="478">
        <f>landbouw!F8</f>
        <v>37263.410601727323</v>
      </c>
      <c r="G7" s="478">
        <f>landbouw!G8</f>
        <v>0</v>
      </c>
      <c r="H7" s="478">
        <f>landbouw!H8</f>
        <v>0</v>
      </c>
      <c r="I7" s="478">
        <f>landbouw!I8</f>
        <v>0</v>
      </c>
      <c r="J7" s="478">
        <f>landbouw!J8</f>
        <v>2904.9253653968585</v>
      </c>
      <c r="K7" s="478">
        <f>landbouw!K8</f>
        <v>0</v>
      </c>
      <c r="L7" s="478">
        <f>landbouw!L8</f>
        <v>0</v>
      </c>
      <c r="M7" s="478">
        <f>landbouw!M8</f>
        <v>0</v>
      </c>
      <c r="N7" s="478">
        <f>landbouw!N8</f>
        <v>0</v>
      </c>
      <c r="O7" s="478">
        <f>landbouw!O8</f>
        <v>0</v>
      </c>
      <c r="P7" s="479">
        <f>landbouw!P8</f>
        <v>0</v>
      </c>
      <c r="Q7" s="477">
        <f t="shared" si="0"/>
        <v>54727.705740467332</v>
      </c>
    </row>
    <row r="8" spans="1:17">
      <c r="A8" s="477" t="s">
        <v>629</v>
      </c>
      <c r="B8" s="478">
        <f>industrie!B18</f>
        <v>2572.195678</v>
      </c>
      <c r="C8" s="478">
        <f>industrie!C18</f>
        <v>0</v>
      </c>
      <c r="D8" s="478">
        <f>industrie!D18</f>
        <v>8036.9300178420008</v>
      </c>
      <c r="E8" s="478">
        <f>industrie!E18</f>
        <v>287.990919191854</v>
      </c>
      <c r="F8" s="478">
        <f>industrie!F18</f>
        <v>1077.1510219933857</v>
      </c>
      <c r="G8" s="478">
        <f>industrie!G18</f>
        <v>0</v>
      </c>
      <c r="H8" s="478">
        <f>industrie!H18</f>
        <v>0</v>
      </c>
      <c r="I8" s="478">
        <f>industrie!I18</f>
        <v>0</v>
      </c>
      <c r="J8" s="478">
        <f>industrie!J18</f>
        <v>4.8293604917610002</v>
      </c>
      <c r="K8" s="478">
        <f>industrie!K18</f>
        <v>0</v>
      </c>
      <c r="L8" s="478">
        <f>industrie!L18</f>
        <v>0</v>
      </c>
      <c r="M8" s="478">
        <f>industrie!M18</f>
        <v>0</v>
      </c>
      <c r="N8" s="478">
        <f>industrie!N18</f>
        <v>260.3654892748059</v>
      </c>
      <c r="O8" s="478">
        <f>industrie!O18</f>
        <v>0</v>
      </c>
      <c r="P8" s="479">
        <f>industrie!P18</f>
        <v>0</v>
      </c>
      <c r="Q8" s="477">
        <f t="shared" si="0"/>
        <v>12239.462486793809</v>
      </c>
    </row>
    <row r="9" spans="1:17" s="483" customFormat="1">
      <c r="A9" s="481" t="s">
        <v>555</v>
      </c>
      <c r="B9" s="482">
        <f>transport!B14</f>
        <v>76.063582516666656</v>
      </c>
      <c r="C9" s="482">
        <f>transport!C14</f>
        <v>0</v>
      </c>
      <c r="D9" s="482">
        <f>transport!D14</f>
        <v>306.95566826697109</v>
      </c>
      <c r="E9" s="482">
        <f>transport!E14</f>
        <v>251.48306868554167</v>
      </c>
      <c r="F9" s="482">
        <f>transport!F14</f>
        <v>0</v>
      </c>
      <c r="G9" s="482">
        <f>transport!G14</f>
        <v>101045.41051430246</v>
      </c>
      <c r="H9" s="482">
        <f>transport!H14</f>
        <v>23113.291221674754</v>
      </c>
      <c r="I9" s="482">
        <f>transport!I14</f>
        <v>0</v>
      </c>
      <c r="J9" s="482">
        <f>transport!J14</f>
        <v>0</v>
      </c>
      <c r="K9" s="482">
        <f>transport!K14</f>
        <v>0</v>
      </c>
      <c r="L9" s="482">
        <f>transport!L14</f>
        <v>0</v>
      </c>
      <c r="M9" s="482">
        <f>transport!M14</f>
        <v>7345.4328567421016</v>
      </c>
      <c r="N9" s="482">
        <f>transport!N14</f>
        <v>0</v>
      </c>
      <c r="O9" s="482">
        <f>transport!O14</f>
        <v>0</v>
      </c>
      <c r="P9" s="482">
        <f>transport!P14</f>
        <v>0</v>
      </c>
      <c r="Q9" s="481">
        <f>SUM(B9:P9)</f>
        <v>132138.63691218849</v>
      </c>
    </row>
    <row r="10" spans="1:17">
      <c r="A10" s="477" t="s">
        <v>545</v>
      </c>
      <c r="B10" s="478">
        <f>transport!B54</f>
        <v>0</v>
      </c>
      <c r="C10" s="478">
        <f>transport!C54</f>
        <v>0</v>
      </c>
      <c r="D10" s="478">
        <f>transport!D54</f>
        <v>0</v>
      </c>
      <c r="E10" s="478">
        <f>transport!E54</f>
        <v>0</v>
      </c>
      <c r="F10" s="478">
        <f>transport!F54</f>
        <v>0</v>
      </c>
      <c r="G10" s="478">
        <f>transport!G54</f>
        <v>1543.8478309712257</v>
      </c>
      <c r="H10" s="478">
        <f>transport!H54</f>
        <v>0</v>
      </c>
      <c r="I10" s="478">
        <f>transport!I54</f>
        <v>0</v>
      </c>
      <c r="J10" s="478">
        <f>transport!J54</f>
        <v>0</v>
      </c>
      <c r="K10" s="478">
        <f>transport!K54</f>
        <v>0</v>
      </c>
      <c r="L10" s="478">
        <f>transport!L54</f>
        <v>0</v>
      </c>
      <c r="M10" s="478">
        <f>transport!M54</f>
        <v>85.807233262759368</v>
      </c>
      <c r="N10" s="478">
        <f>transport!N54</f>
        <v>0</v>
      </c>
      <c r="O10" s="478">
        <f>transport!O54</f>
        <v>0</v>
      </c>
      <c r="P10" s="479">
        <f>transport!P54</f>
        <v>0</v>
      </c>
      <c r="Q10" s="477">
        <f t="shared" si="0"/>
        <v>1629.6550642339851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467.42430000000002</v>
      </c>
      <c r="C14" s="485"/>
      <c r="D14" s="485">
        <f>'SEAP template'!E25</f>
        <v>1263.5838719999999</v>
      </c>
      <c r="E14" s="485"/>
      <c r="F14" s="485"/>
      <c r="G14" s="485"/>
      <c r="H14" s="485"/>
      <c r="I14" s="485"/>
      <c r="J14" s="485"/>
      <c r="K14" s="485"/>
      <c r="L14" s="485"/>
      <c r="M14" s="485"/>
      <c r="N14" s="485"/>
      <c r="O14" s="485"/>
      <c r="P14" s="486"/>
      <c r="Q14" s="477">
        <f t="shared" si="0"/>
        <v>1731.0081719999998</v>
      </c>
    </row>
    <row r="15" spans="1:17" s="489" customFormat="1">
      <c r="A15" s="487" t="s">
        <v>549</v>
      </c>
      <c r="B15" s="488">
        <f ca="1">SUM(B4:B14)</f>
        <v>54429.621867222828</v>
      </c>
      <c r="C15" s="488">
        <f t="shared" ref="C15:Q15" ca="1" si="1">SUM(C4:C14)</f>
        <v>77.142857142857139</v>
      </c>
      <c r="D15" s="488">
        <f t="shared" ca="1" si="1"/>
        <v>64915.50210792297</v>
      </c>
      <c r="E15" s="488">
        <f t="shared" si="1"/>
        <v>10870.313269643233</v>
      </c>
      <c r="F15" s="488">
        <f t="shared" ca="1" si="1"/>
        <v>95650.059967376757</v>
      </c>
      <c r="G15" s="488">
        <f t="shared" si="1"/>
        <v>102589.25834527369</v>
      </c>
      <c r="H15" s="488">
        <f t="shared" si="1"/>
        <v>23113.291221674754</v>
      </c>
      <c r="I15" s="488">
        <f t="shared" si="1"/>
        <v>0</v>
      </c>
      <c r="J15" s="488">
        <f t="shared" si="1"/>
        <v>2909.7751771084836</v>
      </c>
      <c r="K15" s="488">
        <f t="shared" si="1"/>
        <v>0</v>
      </c>
      <c r="L15" s="488">
        <f t="shared" ca="1" si="1"/>
        <v>0</v>
      </c>
      <c r="M15" s="488">
        <f t="shared" si="1"/>
        <v>7431.2400900048606</v>
      </c>
      <c r="N15" s="488">
        <f t="shared" ca="1" si="1"/>
        <v>12015.264616306929</v>
      </c>
      <c r="O15" s="488">
        <f t="shared" si="1"/>
        <v>478.93800563408894</v>
      </c>
      <c r="P15" s="488">
        <f t="shared" si="1"/>
        <v>758.31441192139164</v>
      </c>
      <c r="Q15" s="488">
        <f t="shared" ca="1" si="1"/>
        <v>375238.72193723277</v>
      </c>
    </row>
    <row r="17" spans="1:17">
      <c r="A17" s="490" t="s">
        <v>550</v>
      </c>
      <c r="B17" s="807">
        <f ca="1">huishoudens!B10</f>
        <v>3.862528080324746E-2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1089.1123271145361</v>
      </c>
      <c r="C22" s="478">
        <f t="shared" ref="C22:C32" ca="1" si="3">C4*$C$17</f>
        <v>0</v>
      </c>
      <c r="D22" s="478">
        <f t="shared" ref="D22:D32" si="4">D4*$D$17</f>
        <v>8591.1849275868008</v>
      </c>
      <c r="E22" s="478">
        <f t="shared" ref="E22:E32" si="5">E4*$E$17</f>
        <v>2229.465482807278</v>
      </c>
      <c r="F22" s="478">
        <f t="shared" ref="F22:F32" si="6">F4*$F$17</f>
        <v>14962.318207287954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26872.080944796569</v>
      </c>
    </row>
    <row r="23" spans="1:17">
      <c r="A23" s="477" t="s">
        <v>155</v>
      </c>
      <c r="B23" s="478">
        <f t="shared" ca="1" si="2"/>
        <v>444.13376100381549</v>
      </c>
      <c r="C23" s="478">
        <f t="shared" ca="1" si="3"/>
        <v>0</v>
      </c>
      <c r="D23" s="478">
        <f t="shared" ca="1" si="4"/>
        <v>1851.9739750275719</v>
      </c>
      <c r="E23" s="478">
        <f t="shared" si="5"/>
        <v>40.935570984856248</v>
      </c>
      <c r="F23" s="478">
        <f t="shared" ca="1" si="6"/>
        <v>339.31785046821204</v>
      </c>
      <c r="G23" s="478">
        <f t="shared" si="7"/>
        <v>0</v>
      </c>
      <c r="H23" s="478">
        <f t="shared" si="8"/>
        <v>0</v>
      </c>
      <c r="I23" s="478">
        <f t="shared" si="9"/>
        <v>0</v>
      </c>
      <c r="J23" s="478">
        <f t="shared" si="10"/>
        <v>7.2397318319045922E-3</v>
      </c>
      <c r="K23" s="478">
        <f t="shared" si="11"/>
        <v>0</v>
      </c>
      <c r="L23" s="478">
        <f t="shared" ca="1" si="12"/>
        <v>0</v>
      </c>
      <c r="M23" s="478">
        <f t="shared" si="13"/>
        <v>0</v>
      </c>
      <c r="N23" s="478">
        <f t="shared" ca="1" si="14"/>
        <v>0</v>
      </c>
      <c r="O23" s="478">
        <f t="shared" si="15"/>
        <v>0</v>
      </c>
      <c r="P23" s="479">
        <f t="shared" si="16"/>
        <v>0</v>
      </c>
      <c r="Q23" s="477">
        <f t="shared" ref="Q23:Q31" ca="1" si="17">SUM(B23:P23)</f>
        <v>2676.3683972162876</v>
      </c>
    </row>
    <row r="24" spans="1:17">
      <c r="A24" s="477" t="s">
        <v>193</v>
      </c>
      <c r="B24" s="478">
        <f t="shared" ca="1" si="2"/>
        <v>41.506997128135339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41.506997128135339</v>
      </c>
    </row>
    <row r="25" spans="1:17">
      <c r="A25" s="477" t="s">
        <v>111</v>
      </c>
      <c r="B25" s="478">
        <f t="shared" ca="1" si="2"/>
        <v>407.2621909705548</v>
      </c>
      <c r="C25" s="478">
        <f t="shared" ca="1" si="3"/>
        <v>0</v>
      </c>
      <c r="D25" s="478">
        <f t="shared" si="4"/>
        <v>729.06367244805608</v>
      </c>
      <c r="E25" s="478">
        <f t="shared" si="5"/>
        <v>74.699463168710977</v>
      </c>
      <c r="F25" s="478">
        <f t="shared" si="6"/>
        <v>9949.3306306611958</v>
      </c>
      <c r="G25" s="478">
        <f t="shared" si="7"/>
        <v>0</v>
      </c>
      <c r="H25" s="478">
        <f t="shared" si="8"/>
        <v>0</v>
      </c>
      <c r="I25" s="478">
        <f t="shared" si="9"/>
        <v>0</v>
      </c>
      <c r="J25" s="478">
        <f t="shared" si="10"/>
        <v>1028.343579350488</v>
      </c>
      <c r="K25" s="478">
        <f t="shared" si="11"/>
        <v>0</v>
      </c>
      <c r="L25" s="478">
        <f t="shared" si="12"/>
        <v>0</v>
      </c>
      <c r="M25" s="478">
        <f t="shared" si="13"/>
        <v>0</v>
      </c>
      <c r="N25" s="478">
        <f t="shared" si="14"/>
        <v>0</v>
      </c>
      <c r="O25" s="478">
        <f t="shared" si="15"/>
        <v>0</v>
      </c>
      <c r="P25" s="479">
        <f t="shared" si="16"/>
        <v>0</v>
      </c>
      <c r="Q25" s="477">
        <f t="shared" ca="1" si="17"/>
        <v>12188.699536599006</v>
      </c>
    </row>
    <row r="26" spans="1:17">
      <c r="A26" s="477" t="s">
        <v>629</v>
      </c>
      <c r="B26" s="478">
        <f t="shared" ca="1" si="2"/>
        <v>99.35178034364948</v>
      </c>
      <c r="C26" s="478">
        <f t="shared" ca="1" si="3"/>
        <v>0</v>
      </c>
      <c r="D26" s="478">
        <f t="shared" si="4"/>
        <v>1623.4598636040841</v>
      </c>
      <c r="E26" s="478">
        <f t="shared" si="5"/>
        <v>65.373938656550862</v>
      </c>
      <c r="F26" s="478">
        <f t="shared" si="6"/>
        <v>287.59932287223398</v>
      </c>
      <c r="G26" s="478">
        <f t="shared" si="7"/>
        <v>0</v>
      </c>
      <c r="H26" s="478">
        <f t="shared" si="8"/>
        <v>0</v>
      </c>
      <c r="I26" s="478">
        <f t="shared" si="9"/>
        <v>0</v>
      </c>
      <c r="J26" s="478">
        <f t="shared" si="10"/>
        <v>1.7095936140833941</v>
      </c>
      <c r="K26" s="478">
        <f t="shared" si="11"/>
        <v>0</v>
      </c>
      <c r="L26" s="478">
        <f t="shared" si="12"/>
        <v>0</v>
      </c>
      <c r="M26" s="478">
        <f t="shared" si="13"/>
        <v>0</v>
      </c>
      <c r="N26" s="478">
        <f t="shared" si="14"/>
        <v>0</v>
      </c>
      <c r="O26" s="478">
        <f t="shared" si="15"/>
        <v>0</v>
      </c>
      <c r="P26" s="479">
        <f t="shared" si="16"/>
        <v>0</v>
      </c>
      <c r="Q26" s="477">
        <f t="shared" ca="1" si="17"/>
        <v>2077.4944990906019</v>
      </c>
    </row>
    <row r="27" spans="1:17" s="483" customFormat="1">
      <c r="A27" s="481" t="s">
        <v>555</v>
      </c>
      <c r="B27" s="801">
        <f t="shared" ca="1" si="2"/>
        <v>2.9379772336072336</v>
      </c>
      <c r="C27" s="482">
        <f t="shared" ca="1" si="3"/>
        <v>0</v>
      </c>
      <c r="D27" s="482">
        <f t="shared" si="4"/>
        <v>62.005044989928166</v>
      </c>
      <c r="E27" s="482">
        <f t="shared" si="5"/>
        <v>57.08665659161796</v>
      </c>
      <c r="F27" s="482">
        <f t="shared" si="6"/>
        <v>0</v>
      </c>
      <c r="G27" s="482">
        <f t="shared" si="7"/>
        <v>26979.124607318761</v>
      </c>
      <c r="H27" s="482">
        <f t="shared" si="8"/>
        <v>5755.209514197014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32856.363800330932</v>
      </c>
    </row>
    <row r="28" spans="1:17" ht="16.5" customHeight="1">
      <c r="A28" s="477" t="s">
        <v>545</v>
      </c>
      <c r="B28" s="478">
        <f t="shared" ca="1" si="2"/>
        <v>0</v>
      </c>
      <c r="C28" s="478">
        <f t="shared" ca="1" si="3"/>
        <v>0</v>
      </c>
      <c r="D28" s="478">
        <f t="shared" si="4"/>
        <v>0</v>
      </c>
      <c r="E28" s="478">
        <f t="shared" si="5"/>
        <v>0</v>
      </c>
      <c r="F28" s="478">
        <f t="shared" si="6"/>
        <v>0</v>
      </c>
      <c r="G28" s="478">
        <f t="shared" si="7"/>
        <v>412.20737086931729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412.20737086931729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18.054394841761383</v>
      </c>
      <c r="C32" s="478">
        <f t="shared" ca="1" si="3"/>
        <v>0</v>
      </c>
      <c r="D32" s="478">
        <f t="shared" si="4"/>
        <v>255.24394214400002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273.29833698576141</v>
      </c>
    </row>
    <row r="33" spans="1:17" s="489" customFormat="1">
      <c r="A33" s="487" t="s">
        <v>549</v>
      </c>
      <c r="B33" s="488">
        <f ca="1">SUM(B22:B32)</f>
        <v>2102.3594286360594</v>
      </c>
      <c r="C33" s="488">
        <f t="shared" ref="C33:Q33" ca="1" si="19">SUM(C22:C32)</f>
        <v>0</v>
      </c>
      <c r="D33" s="488">
        <f t="shared" ca="1" si="19"/>
        <v>13112.93142580044</v>
      </c>
      <c r="E33" s="488">
        <f t="shared" si="19"/>
        <v>2467.5611122090145</v>
      </c>
      <c r="F33" s="488">
        <f t="shared" ca="1" si="19"/>
        <v>25538.566011289597</v>
      </c>
      <c r="G33" s="488">
        <f t="shared" si="19"/>
        <v>27391.331978188078</v>
      </c>
      <c r="H33" s="488">
        <f t="shared" si="19"/>
        <v>5755.209514197014</v>
      </c>
      <c r="I33" s="488">
        <f t="shared" si="19"/>
        <v>0</v>
      </c>
      <c r="J33" s="488">
        <f t="shared" si="19"/>
        <v>1030.0604126964033</v>
      </c>
      <c r="K33" s="488">
        <f t="shared" si="19"/>
        <v>0</v>
      </c>
      <c r="L33" s="488">
        <f t="shared" ca="1" si="19"/>
        <v>0</v>
      </c>
      <c r="M33" s="488">
        <f t="shared" si="19"/>
        <v>0</v>
      </c>
      <c r="N33" s="488">
        <f t="shared" ca="1" si="19"/>
        <v>0</v>
      </c>
      <c r="O33" s="488">
        <f t="shared" si="19"/>
        <v>0</v>
      </c>
      <c r="P33" s="488">
        <f t="shared" si="19"/>
        <v>0</v>
      </c>
      <c r="Q33" s="488">
        <f t="shared" ca="1" si="19"/>
        <v>77398.019883016619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36325.377163281846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8537.3061128275931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54</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63.529411764705898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44916.683276109441</v>
      </c>
      <c r="C10" s="1064">
        <f>SUM(C4:C9)</f>
        <v>0</v>
      </c>
      <c r="D10" s="1064">
        <f t="shared" ref="D10:H10" si="0">SUM(D8:D9)</f>
        <v>0</v>
      </c>
      <c r="E10" s="1064">
        <f t="shared" si="0"/>
        <v>0</v>
      </c>
      <c r="F10" s="1064">
        <f t="shared" si="0"/>
        <v>0</v>
      </c>
      <c r="G10" s="1064">
        <f t="shared" si="0"/>
        <v>0</v>
      </c>
      <c r="H10" s="1064">
        <f t="shared" si="0"/>
        <v>0</v>
      </c>
      <c r="I10" s="1064">
        <f>SUM(I8:I9)</f>
        <v>0</v>
      </c>
      <c r="J10" s="1064">
        <f>SUM(J8:J9)</f>
        <v>63.529411764705898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3.862528080324746E-2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77.142857142857139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90.756302521008422</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77.142857142857139</v>
      </c>
      <c r="C20" s="1064">
        <f>SUM(C17:C19)</f>
        <v>0</v>
      </c>
      <c r="D20" s="1064">
        <f t="shared" ref="D20:H20" si="2">SUM(D17:D19)</f>
        <v>0</v>
      </c>
      <c r="E20" s="1064">
        <f t="shared" si="2"/>
        <v>0</v>
      </c>
      <c r="F20" s="1064">
        <f t="shared" si="2"/>
        <v>0</v>
      </c>
      <c r="G20" s="1064">
        <f t="shared" si="2"/>
        <v>0</v>
      </c>
      <c r="H20" s="1064">
        <f t="shared" si="2"/>
        <v>0</v>
      </c>
      <c r="I20" s="1064">
        <f>SUM(I17:I19)</f>
        <v>0</v>
      </c>
      <c r="J20" s="1064">
        <f>SUM(J17:J19)</f>
        <v>90.756302521008422</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3.862528080324746E-2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3.862528080324746E-2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3.862528080324746E-2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6794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4298.16</v>
      </c>
    </row>
    <row r="15" spans="1:6">
      <c r="A15" s="348" t="s">
        <v>183</v>
      </c>
      <c r="B15" s="334">
        <v>9</v>
      </c>
    </row>
    <row r="16" spans="1:6">
      <c r="A16" s="348" t="s">
        <v>6</v>
      </c>
      <c r="B16" s="334">
        <v>248</v>
      </c>
    </row>
    <row r="17" spans="1:6">
      <c r="A17" s="348" t="s">
        <v>7</v>
      </c>
      <c r="B17" s="334">
        <v>725</v>
      </c>
    </row>
    <row r="18" spans="1:6">
      <c r="A18" s="348" t="s">
        <v>8</v>
      </c>
      <c r="B18" s="334">
        <v>794</v>
      </c>
    </row>
    <row r="19" spans="1:6">
      <c r="A19" s="348" t="s">
        <v>9</v>
      </c>
      <c r="B19" s="334">
        <v>882</v>
      </c>
    </row>
    <row r="20" spans="1:6">
      <c r="A20" s="348" t="s">
        <v>10</v>
      </c>
      <c r="B20" s="334">
        <v>411</v>
      </c>
    </row>
    <row r="21" spans="1:6">
      <c r="A21" s="348" t="s">
        <v>11</v>
      </c>
      <c r="B21" s="334">
        <v>6655</v>
      </c>
    </row>
    <row r="22" spans="1:6">
      <c r="A22" s="348" t="s">
        <v>12</v>
      </c>
      <c r="B22" s="334">
        <v>20746</v>
      </c>
    </row>
    <row r="23" spans="1:6">
      <c r="A23" s="348" t="s">
        <v>13</v>
      </c>
      <c r="B23" s="334">
        <v>213</v>
      </c>
    </row>
    <row r="24" spans="1:6">
      <c r="A24" s="348" t="s">
        <v>14</v>
      </c>
      <c r="B24" s="334">
        <v>14</v>
      </c>
    </row>
    <row r="25" spans="1:6">
      <c r="A25" s="348" t="s">
        <v>15</v>
      </c>
      <c r="B25" s="334">
        <v>1242</v>
      </c>
    </row>
    <row r="26" spans="1:6">
      <c r="A26" s="348" t="s">
        <v>16</v>
      </c>
      <c r="B26" s="334">
        <v>365</v>
      </c>
    </row>
    <row r="27" spans="1:6">
      <c r="A27" s="348" t="s">
        <v>17</v>
      </c>
      <c r="B27" s="334">
        <v>483</v>
      </c>
    </row>
    <row r="28" spans="1:6" s="356" customFormat="1">
      <c r="A28" s="355" t="s">
        <v>18</v>
      </c>
      <c r="B28" s="355">
        <v>45</v>
      </c>
    </row>
    <row r="29" spans="1:6">
      <c r="A29" s="355" t="s">
        <v>713</v>
      </c>
      <c r="B29" s="355">
        <v>80</v>
      </c>
      <c r="C29" s="356"/>
      <c r="D29" s="356"/>
      <c r="E29" s="356"/>
      <c r="F29" s="356"/>
    </row>
    <row r="30" spans="1:6">
      <c r="A30" s="341" t="s">
        <v>714</v>
      </c>
      <c r="B30" s="341">
        <v>18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9</v>
      </c>
      <c r="F36" s="334">
        <v>177142</v>
      </c>
    </row>
    <row r="37" spans="1:6">
      <c r="A37" s="348" t="s">
        <v>24</v>
      </c>
      <c r="B37" s="348" t="s">
        <v>27</v>
      </c>
      <c r="C37" s="334">
        <v>0</v>
      </c>
      <c r="D37" s="334">
        <v>0</v>
      </c>
      <c r="E37" s="334">
        <v>0</v>
      </c>
      <c r="F37" s="334">
        <v>0</v>
      </c>
    </row>
    <row r="38" spans="1:6">
      <c r="A38" s="348" t="s">
        <v>24</v>
      </c>
      <c r="B38" s="348" t="s">
        <v>28</v>
      </c>
      <c r="C38" s="334">
        <v>1</v>
      </c>
      <c r="D38" s="334">
        <v>139075</v>
      </c>
      <c r="E38" s="334">
        <v>1</v>
      </c>
      <c r="F38" s="334">
        <v>481</v>
      </c>
    </row>
    <row r="39" spans="1:6">
      <c r="A39" s="348" t="s">
        <v>29</v>
      </c>
      <c r="B39" s="348" t="s">
        <v>30</v>
      </c>
      <c r="C39" s="334">
        <v>2723</v>
      </c>
      <c r="D39" s="334">
        <v>47151461.700000003</v>
      </c>
      <c r="E39" s="334">
        <v>6745</v>
      </c>
      <c r="F39" s="334">
        <v>22285772.699999999</v>
      </c>
    </row>
    <row r="40" spans="1:6">
      <c r="A40" s="348" t="s">
        <v>29</v>
      </c>
      <c r="B40" s="348" t="s">
        <v>28</v>
      </c>
      <c r="C40" s="334">
        <v>0</v>
      </c>
      <c r="D40" s="334">
        <v>0</v>
      </c>
      <c r="E40" s="334">
        <v>0</v>
      </c>
      <c r="F40" s="334">
        <v>0</v>
      </c>
    </row>
    <row r="41" spans="1:6">
      <c r="A41" s="348" t="s">
        <v>31</v>
      </c>
      <c r="B41" s="348" t="s">
        <v>32</v>
      </c>
      <c r="C41" s="334">
        <v>50</v>
      </c>
      <c r="D41" s="334">
        <v>1138686.3999999999</v>
      </c>
      <c r="E41" s="334">
        <v>139</v>
      </c>
      <c r="F41" s="334">
        <v>921339.25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152173</v>
      </c>
      <c r="E44" s="334">
        <v>22</v>
      </c>
      <c r="F44" s="334">
        <v>337364</v>
      </c>
    </row>
    <row r="45" spans="1:6">
      <c r="A45" s="348" t="s">
        <v>31</v>
      </c>
      <c r="B45" s="348" t="s">
        <v>36</v>
      </c>
      <c r="C45" s="334">
        <v>0</v>
      </c>
      <c r="D45" s="334">
        <v>0</v>
      </c>
      <c r="E45" s="334">
        <v>6</v>
      </c>
      <c r="F45" s="334">
        <v>613737</v>
      </c>
    </row>
    <row r="46" spans="1:6">
      <c r="A46" s="348" t="s">
        <v>31</v>
      </c>
      <c r="B46" s="348" t="s">
        <v>37</v>
      </c>
      <c r="C46" s="334">
        <v>0</v>
      </c>
      <c r="D46" s="334">
        <v>0</v>
      </c>
      <c r="E46" s="334">
        <v>0</v>
      </c>
      <c r="F46" s="334">
        <v>0</v>
      </c>
    </row>
    <row r="47" spans="1:6">
      <c r="A47" s="348" t="s">
        <v>31</v>
      </c>
      <c r="B47" s="348" t="s">
        <v>38</v>
      </c>
      <c r="C47" s="334">
        <v>0</v>
      </c>
      <c r="D47" s="334">
        <v>0</v>
      </c>
      <c r="E47" s="334">
        <v>4</v>
      </c>
      <c r="F47" s="334">
        <v>36039</v>
      </c>
    </row>
    <row r="48" spans="1:6">
      <c r="A48" s="348" t="s">
        <v>31</v>
      </c>
      <c r="B48" s="348" t="s">
        <v>28</v>
      </c>
      <c r="C48" s="334">
        <v>4</v>
      </c>
      <c r="D48" s="334">
        <v>6476229.5710000005</v>
      </c>
      <c r="E48" s="334">
        <v>3</v>
      </c>
      <c r="F48" s="334">
        <v>43676</v>
      </c>
    </row>
    <row r="49" spans="1:6">
      <c r="A49" s="348" t="s">
        <v>31</v>
      </c>
      <c r="B49" s="348" t="s">
        <v>39</v>
      </c>
      <c r="C49" s="334">
        <v>0</v>
      </c>
      <c r="D49" s="334">
        <v>0</v>
      </c>
      <c r="E49" s="334">
        <v>0</v>
      </c>
      <c r="F49" s="334">
        <v>0</v>
      </c>
    </row>
    <row r="50" spans="1:6">
      <c r="A50" s="348" t="s">
        <v>31</v>
      </c>
      <c r="B50" s="348" t="s">
        <v>40</v>
      </c>
      <c r="C50" s="334">
        <v>6</v>
      </c>
      <c r="D50" s="334">
        <v>1143033</v>
      </c>
      <c r="E50" s="334">
        <v>18</v>
      </c>
      <c r="F50" s="334">
        <v>620040.42799999996</v>
      </c>
    </row>
    <row r="51" spans="1:6">
      <c r="A51" s="348" t="s">
        <v>41</v>
      </c>
      <c r="B51" s="348" t="s">
        <v>42</v>
      </c>
      <c r="C51" s="334">
        <v>12</v>
      </c>
      <c r="D51" s="334">
        <v>4001359.3139999998</v>
      </c>
      <c r="E51" s="334">
        <v>146</v>
      </c>
      <c r="F51" s="334">
        <v>10543928.289999999</v>
      </c>
    </row>
    <row r="52" spans="1:6">
      <c r="A52" s="348" t="s">
        <v>41</v>
      </c>
      <c r="B52" s="348" t="s">
        <v>28</v>
      </c>
      <c r="C52" s="334">
        <v>0</v>
      </c>
      <c r="D52" s="334">
        <v>0</v>
      </c>
      <c r="E52" s="334">
        <v>0</v>
      </c>
      <c r="F52" s="334">
        <v>0</v>
      </c>
    </row>
    <row r="53" spans="1:6">
      <c r="A53" s="348" t="s">
        <v>43</v>
      </c>
      <c r="B53" s="348" t="s">
        <v>44</v>
      </c>
      <c r="C53" s="334">
        <v>48</v>
      </c>
      <c r="D53" s="334">
        <v>1263583.872</v>
      </c>
      <c r="E53" s="334">
        <v>152</v>
      </c>
      <c r="F53" s="334">
        <v>467424.3</v>
      </c>
    </row>
    <row r="54" spans="1:6">
      <c r="A54" s="348" t="s">
        <v>45</v>
      </c>
      <c r="B54" s="348" t="s">
        <v>46</v>
      </c>
      <c r="C54" s="334">
        <v>0</v>
      </c>
      <c r="D54" s="334">
        <v>0</v>
      </c>
      <c r="E54" s="334">
        <v>3</v>
      </c>
      <c r="F54" s="334">
        <v>1074607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833239</v>
      </c>
      <c r="E57" s="334">
        <v>75</v>
      </c>
      <c r="F57" s="334">
        <v>1204709.8289999999</v>
      </c>
    </row>
    <row r="58" spans="1:6">
      <c r="A58" s="348" t="s">
        <v>48</v>
      </c>
      <c r="B58" s="348" t="s">
        <v>50</v>
      </c>
      <c r="C58" s="334">
        <v>28</v>
      </c>
      <c r="D58" s="334">
        <v>1795466</v>
      </c>
      <c r="E58" s="334">
        <v>34</v>
      </c>
      <c r="F58" s="334">
        <v>930155.71400000004</v>
      </c>
    </row>
    <row r="59" spans="1:6">
      <c r="A59" s="348" t="s">
        <v>48</v>
      </c>
      <c r="B59" s="348" t="s">
        <v>51</v>
      </c>
      <c r="C59" s="334">
        <v>64</v>
      </c>
      <c r="D59" s="334">
        <v>2602609.8429999999</v>
      </c>
      <c r="E59" s="334">
        <v>172</v>
      </c>
      <c r="F59" s="334">
        <v>4969474.5209999997</v>
      </c>
    </row>
    <row r="60" spans="1:6">
      <c r="A60" s="348" t="s">
        <v>48</v>
      </c>
      <c r="B60" s="348" t="s">
        <v>52</v>
      </c>
      <c r="C60" s="334">
        <v>38</v>
      </c>
      <c r="D60" s="334">
        <v>2029691</v>
      </c>
      <c r="E60" s="334">
        <v>91</v>
      </c>
      <c r="F60" s="334">
        <v>1911268.835</v>
      </c>
    </row>
    <row r="61" spans="1:6">
      <c r="A61" s="348" t="s">
        <v>48</v>
      </c>
      <c r="B61" s="348" t="s">
        <v>53</v>
      </c>
      <c r="C61" s="334">
        <v>69</v>
      </c>
      <c r="D61" s="334">
        <v>2655334.3999999999</v>
      </c>
      <c r="E61" s="334">
        <v>216</v>
      </c>
      <c r="F61" s="334">
        <v>2318806.6349999998</v>
      </c>
    </row>
    <row r="62" spans="1:6">
      <c r="A62" s="348" t="s">
        <v>48</v>
      </c>
      <c r="B62" s="348" t="s">
        <v>54</v>
      </c>
      <c r="C62" s="334">
        <v>5</v>
      </c>
      <c r="D62" s="334">
        <v>247948</v>
      </c>
      <c r="E62" s="334">
        <v>17</v>
      </c>
      <c r="F62" s="334">
        <v>164109.571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92320</v>
      </c>
      <c r="E65" s="334">
        <v>0</v>
      </c>
      <c r="F65" s="334">
        <v>0</v>
      </c>
    </row>
    <row r="66" spans="1:6">
      <c r="A66" s="348" t="s">
        <v>55</v>
      </c>
      <c r="B66" s="348" t="s">
        <v>57</v>
      </c>
      <c r="C66" s="334">
        <v>0</v>
      </c>
      <c r="D66" s="334">
        <v>0</v>
      </c>
      <c r="E66" s="334">
        <v>28</v>
      </c>
      <c r="F66" s="334">
        <v>224431.85699999999</v>
      </c>
    </row>
    <row r="67" spans="1:6">
      <c r="A67" s="355" t="s">
        <v>55</v>
      </c>
      <c r="B67" s="355" t="s">
        <v>58</v>
      </c>
      <c r="C67" s="334">
        <v>0</v>
      </c>
      <c r="D67" s="334">
        <v>0</v>
      </c>
      <c r="E67" s="334">
        <v>0</v>
      </c>
      <c r="F67" s="334">
        <v>0</v>
      </c>
    </row>
    <row r="68" spans="1:6">
      <c r="A68" s="341" t="s">
        <v>55</v>
      </c>
      <c r="B68" s="341" t="s">
        <v>59</v>
      </c>
      <c r="C68" s="334">
        <v>0</v>
      </c>
      <c r="D68" s="334">
        <v>0</v>
      </c>
      <c r="E68" s="334">
        <v>12</v>
      </c>
      <c r="F68" s="334">
        <v>133988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74146742</v>
      </c>
      <c r="E73" s="476"/>
    </row>
    <row r="74" spans="1:6">
      <c r="A74" s="348" t="s">
        <v>63</v>
      </c>
      <c r="B74" s="348" t="s">
        <v>651</v>
      </c>
      <c r="C74" s="1307" t="s">
        <v>653</v>
      </c>
      <c r="D74" s="476">
        <v>4456630.5</v>
      </c>
      <c r="E74" s="476"/>
    </row>
    <row r="75" spans="1:6">
      <c r="A75" s="348" t="s">
        <v>64</v>
      </c>
      <c r="B75" s="348" t="s">
        <v>650</v>
      </c>
      <c r="C75" s="1307" t="s">
        <v>654</v>
      </c>
      <c r="D75" s="476">
        <v>26954030</v>
      </c>
      <c r="E75" s="476"/>
    </row>
    <row r="76" spans="1:6">
      <c r="A76" s="348" t="s">
        <v>64</v>
      </c>
      <c r="B76" s="348" t="s">
        <v>651</v>
      </c>
      <c r="C76" s="1307" t="s">
        <v>655</v>
      </c>
      <c r="D76" s="476">
        <v>56827.5</v>
      </c>
      <c r="E76" s="476"/>
    </row>
    <row r="77" spans="1:6">
      <c r="A77" s="348" t="s">
        <v>65</v>
      </c>
      <c r="B77" s="348" t="s">
        <v>650</v>
      </c>
      <c r="C77" s="1307" t="s">
        <v>656</v>
      </c>
      <c r="D77" s="476">
        <v>38965160</v>
      </c>
      <c r="E77" s="476"/>
    </row>
    <row r="78" spans="1:6">
      <c r="A78" s="341" t="s">
        <v>65</v>
      </c>
      <c r="B78" s="341" t="s">
        <v>651</v>
      </c>
      <c r="C78" s="341" t="s">
        <v>657</v>
      </c>
      <c r="D78" s="1308">
        <v>9718981</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452739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36325.377163281846</v>
      </c>
    </row>
    <row r="91" spans="1:6">
      <c r="A91" s="348" t="s">
        <v>67</v>
      </c>
      <c r="B91" s="334">
        <v>5911.1052117061599</v>
      </c>
    </row>
    <row r="92" spans="1:6">
      <c r="A92" s="341" t="s">
        <v>68</v>
      </c>
      <c r="B92" s="342">
        <v>2626.2009011214332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571</v>
      </c>
    </row>
    <row r="98" spans="1:6">
      <c r="A98" s="348" t="s">
        <v>71</v>
      </c>
      <c r="B98" s="334">
        <v>1</v>
      </c>
    </row>
    <row r="99" spans="1:6">
      <c r="A99" s="348" t="s">
        <v>72</v>
      </c>
      <c r="B99" s="334">
        <v>59</v>
      </c>
    </row>
    <row r="100" spans="1:6">
      <c r="A100" s="348" t="s">
        <v>73</v>
      </c>
      <c r="B100" s="334">
        <v>211</v>
      </c>
    </row>
    <row r="101" spans="1:6">
      <c r="A101" s="348" t="s">
        <v>74</v>
      </c>
      <c r="B101" s="334">
        <v>38</v>
      </c>
    </row>
    <row r="102" spans="1:6">
      <c r="A102" s="348" t="s">
        <v>75</v>
      </c>
      <c r="B102" s="334">
        <v>87</v>
      </c>
    </row>
    <row r="103" spans="1:6">
      <c r="A103" s="348" t="s">
        <v>76</v>
      </c>
      <c r="B103" s="334">
        <v>136</v>
      </c>
    </row>
    <row r="104" spans="1:6">
      <c r="A104" s="348" t="s">
        <v>77</v>
      </c>
      <c r="B104" s="334">
        <v>4632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29</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218</v>
      </c>
    </row>
    <row r="130" spans="1:6">
      <c r="A130" s="348" t="s">
        <v>294</v>
      </c>
      <c r="B130" s="334">
        <v>3</v>
      </c>
    </row>
    <row r="131" spans="1:6">
      <c r="A131" s="348" t="s">
        <v>295</v>
      </c>
      <c r="B131" s="334">
        <v>1</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54429.621867222835</v>
      </c>
      <c r="C3" s="43" t="s">
        <v>169</v>
      </c>
      <c r="D3" s="43"/>
      <c r="E3" s="154"/>
      <c r="F3" s="43"/>
      <c r="G3" s="43"/>
      <c r="H3" s="43"/>
      <c r="I3" s="43"/>
      <c r="J3" s="43"/>
      <c r="K3" s="96"/>
    </row>
    <row r="4" spans="1:11">
      <c r="A4" s="383" t="s">
        <v>170</v>
      </c>
      <c r="B4" s="49">
        <f>IF(ISERROR('SEAP template'!B78),0,'SEAP template'!B78)</f>
        <v>44916.683276109441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3.862528080324746E-2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77.142857142857139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1074.607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1074.607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3.862528080324746E-2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41.506997128135339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22285.772699999998</v>
      </c>
      <c r="C5" s="17">
        <f>IF(ISERROR('Eigen informatie GS &amp; warmtenet'!B59),0,'Eigen informatie GS &amp; warmtenet'!B59)</f>
        <v>0</v>
      </c>
      <c r="D5" s="30">
        <f>(SUM(HH_hh_gas_kWh,HH_rest_gas_kWh)/1000)*0.902</f>
        <v>42530.618453399999</v>
      </c>
      <c r="E5" s="17">
        <f>B46*B57</f>
        <v>9821.4338449659826</v>
      </c>
      <c r="F5" s="17">
        <f>B51*B62</f>
        <v>56038.644971115929</v>
      </c>
      <c r="G5" s="18"/>
      <c r="H5" s="17"/>
      <c r="I5" s="17"/>
      <c r="J5" s="17">
        <f>B50*B61+C50*C61</f>
        <v>0</v>
      </c>
      <c r="K5" s="17"/>
      <c r="L5" s="17"/>
      <c r="M5" s="17"/>
      <c r="N5" s="17">
        <f>B48*B59+C48*C59</f>
        <v>10946.796695175823</v>
      </c>
      <c r="O5" s="17">
        <f>B69*B70*B71</f>
        <v>464.24622333656549</v>
      </c>
      <c r="P5" s="17">
        <f>B77*B78*B79/1000-B77*B78*B79/1000/B80</f>
        <v>705.77527361489661</v>
      </c>
    </row>
    <row r="6" spans="1:16">
      <c r="A6" s="16" t="s">
        <v>615</v>
      </c>
      <c r="B6" s="809">
        <f>kWh_PV_kleiner_dan_10kW</f>
        <v>5911.1052117061599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28196.877911706157</v>
      </c>
      <c r="C8" s="21">
        <f>C5</f>
        <v>0</v>
      </c>
      <c r="D8" s="21">
        <f>D5</f>
        <v>42530.618453399999</v>
      </c>
      <c r="E8" s="21">
        <f>E5</f>
        <v>9821.4338449659826</v>
      </c>
      <c r="F8" s="21">
        <f>F5</f>
        <v>56038.644971115929</v>
      </c>
      <c r="G8" s="21"/>
      <c r="H8" s="21"/>
      <c r="I8" s="21"/>
      <c r="J8" s="21">
        <f>J5</f>
        <v>0</v>
      </c>
      <c r="K8" s="21"/>
      <c r="L8" s="21">
        <f>L5</f>
        <v>0</v>
      </c>
      <c r="M8" s="21">
        <f>M5</f>
        <v>0</v>
      </c>
      <c r="N8" s="21">
        <f>N5</f>
        <v>10946.796695175823</v>
      </c>
      <c r="O8" s="21">
        <f>O5</f>
        <v>464.24622333656549</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3.862528080324746E-2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1089.1123271145361</v>
      </c>
      <c r="C12" s="23">
        <f ca="1">C10*C8</f>
        <v>0</v>
      </c>
      <c r="D12" s="23">
        <f>D8*D10</f>
        <v>8591.1849275868008</v>
      </c>
      <c r="E12" s="23">
        <f>E10*E8</f>
        <v>2229.465482807278</v>
      </c>
      <c r="F12" s="23">
        <f>F10*F8</f>
        <v>14962.318207287954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6794</v>
      </c>
      <c r="C28" s="36"/>
      <c r="D28" s="228"/>
    </row>
    <row r="29" spans="1:7" s="15" customFormat="1">
      <c r="A29" s="230" t="s">
        <v>838</v>
      </c>
      <c r="B29" s="37">
        <f>SUM(HH_hh_gas_aantal,HH_rest_gas_aantal)</f>
        <v>2723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2723</v>
      </c>
      <c r="C32" s="167">
        <f>IF(ISERROR(B32/SUM($B$32,$B$34,$B$35,$B$36,$B$38,$B$39)*100),0,B32/SUM($B$32,$B$34,$B$35,$B$36,$B$38,$B$39)*100)</f>
        <v>40.478668054110301</v>
      </c>
      <c r="D32" s="233"/>
      <c r="G32" s="15"/>
    </row>
    <row r="33" spans="1:7">
      <c r="A33" s="171" t="s">
        <v>71</v>
      </c>
      <c r="B33" s="34" t="s">
        <v>110</v>
      </c>
      <c r="C33" s="167"/>
      <c r="D33" s="233"/>
      <c r="G33" s="15"/>
    </row>
    <row r="34" spans="1:7">
      <c r="A34" s="171" t="s">
        <v>72</v>
      </c>
      <c r="B34" s="33">
        <f>IF((($B$28-$B$32-$B$39-$B$77-$B$38)*C20/100)&lt;0,0,($B$28-$B$32-$B$39-$B$77-$B$38)*C20/100)</f>
        <v>250.71168831168836</v>
      </c>
      <c r="C34" s="167">
        <f>IF(ISERROR(B34/SUM($B$32,$B$34,$B$35,$B$36,$B$38,$B$39)*100),0,B34/SUM($B$32,$B$34,$B$35,$B$36,$B$38,$B$39)*100)</f>
        <v>3.7269464592193899</v>
      </c>
      <c r="D34" s="233"/>
      <c r="G34" s="15"/>
    </row>
    <row r="35" spans="1:7">
      <c r="A35" s="171" t="s">
        <v>73</v>
      </c>
      <c r="B35" s="33">
        <f>IF((($B$28-$B$32-$B$39-$B$77-$B$38)*C21/100)&lt;0,0,($B$28-$B$32-$B$39-$B$77-$B$38)*C21/100)</f>
        <v>896.61298701298699</v>
      </c>
      <c r="C35" s="167">
        <f>IF(ISERROR(B35/SUM($B$32,$B$34,$B$35,$B$36,$B$38,$B$39)*100),0,B35/SUM($B$32,$B$34,$B$35,$B$36,$B$38,$B$39)*100)</f>
        <v>13.328571235513408</v>
      </c>
      <c r="D35" s="233"/>
      <c r="G35" s="15"/>
    </row>
    <row r="36" spans="1:7">
      <c r="A36" s="171" t="s">
        <v>74</v>
      </c>
      <c r="B36" s="33">
        <f>IF((($B$28-$B$32-$B$39-$B$77-$B$38)*C22/100)&lt;0,0,($B$28-$B$32-$B$39-$B$77-$B$38)*C22/100)</f>
        <v>161.47532467532469</v>
      </c>
      <c r="C36" s="167">
        <f>IF(ISERROR(B36/SUM($B$32,$B$34,$B$35,$B$36,$B$38,$B$39)*100),0,B36/SUM($B$32,$B$34,$B$35,$B$36,$B$38,$B$39)*100)</f>
        <v>2.4004061940735051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2695.2</v>
      </c>
      <c r="C39" s="167">
        <f>IF(ISERROR(B39/SUM($B$32,$B$34,$B$35,$B$36,$B$38,$B$39)*100),0,B39/SUM($B$32,$B$34,$B$35,$B$36,$B$38,$B$39)*100)</f>
        <v>40.065408057083388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2723</v>
      </c>
      <c r="C44" s="34" t="s">
        <v>110</v>
      </c>
      <c r="D44" s="174"/>
    </row>
    <row r="45" spans="1:7">
      <c r="A45" s="171" t="s">
        <v>71</v>
      </c>
      <c r="B45" s="33" t="str">
        <f t="shared" si="0"/>
        <v>-</v>
      </c>
      <c r="C45" s="34" t="s">
        <v>110</v>
      </c>
      <c r="D45" s="174"/>
    </row>
    <row r="46" spans="1:7">
      <c r="A46" s="171" t="s">
        <v>72</v>
      </c>
      <c r="B46" s="33">
        <f t="shared" si="0"/>
        <v>250.71168831168836</v>
      </c>
      <c r="C46" s="34" t="s">
        <v>110</v>
      </c>
      <c r="D46" s="174"/>
    </row>
    <row r="47" spans="1:7">
      <c r="A47" s="171" t="s">
        <v>73</v>
      </c>
      <c r="B47" s="33">
        <f t="shared" si="0"/>
        <v>896.61298701298699</v>
      </c>
      <c r="C47" s="34" t="s">
        <v>110</v>
      </c>
      <c r="D47" s="174"/>
    </row>
    <row r="48" spans="1:7">
      <c r="A48" s="171" t="s">
        <v>74</v>
      </c>
      <c r="B48" s="33">
        <f t="shared" si="0"/>
        <v>161.47532467532469</v>
      </c>
      <c r="C48" s="33">
        <f>B48*10</f>
        <v>1614.7532467532469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2695.2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11498.525105000001</v>
      </c>
      <c r="C5" s="17">
        <f>IF(ISERROR('Eigen informatie GS &amp; warmtenet'!B60),0,'Eigen informatie GS &amp; warmtenet'!B60)</f>
        <v>0</v>
      </c>
      <c r="D5" s="30">
        <f>SUM(D6:D12)</f>
        <v>9168.1879951859992</v>
      </c>
      <c r="E5" s="17">
        <f>SUM(E6:E12)</f>
        <v>180.33291182756057</v>
      </c>
      <c r="F5" s="17">
        <f>SUM(F6:F12)</f>
        <v>1270.8533725401198</v>
      </c>
      <c r="G5" s="18"/>
      <c r="H5" s="17"/>
      <c r="I5" s="17"/>
      <c r="J5" s="17">
        <f>SUM(J6:J12)</f>
        <v>2.0451219864137268E-2</v>
      </c>
      <c r="K5" s="17"/>
      <c r="L5" s="17"/>
      <c r="M5" s="17"/>
      <c r="N5" s="17">
        <f>SUM(N6:N12)</f>
        <v>808.10243185630225</v>
      </c>
      <c r="O5" s="17">
        <f>B38*B39*B40</f>
        <v>14.691782297523464</v>
      </c>
      <c r="P5" s="17">
        <f>B46*B47*B48/1000-B46*B47*B48/1000/B49</f>
        <v>52.539138306495019</v>
      </c>
      <c r="R5" s="32"/>
    </row>
    <row r="6" spans="1:18">
      <c r="A6" s="32" t="s">
        <v>53</v>
      </c>
      <c r="B6" s="37">
        <f>B26</f>
        <v>2318.8066349999999</v>
      </c>
      <c r="C6" s="33"/>
      <c r="D6" s="37">
        <f>IF(ISERROR(TER_kantoor_gas_kWh/1000),0,TER_kantoor_gas_kWh/1000)*0.902</f>
        <v>2395.1116287999998</v>
      </c>
      <c r="E6" s="33">
        <f>$C$26*'E Balans VL '!I12/100/3.6*1000000</f>
        <v>18.65869352386563</v>
      </c>
      <c r="F6" s="33">
        <f>$C$26*('E Balans VL '!L12+'E Balans VL '!N12)/100/3.6*1000000</f>
        <v>283.49850419359018</v>
      </c>
      <c r="G6" s="34"/>
      <c r="H6" s="33"/>
      <c r="I6" s="33"/>
      <c r="J6" s="33">
        <f>$C$26*('E Balans VL '!D12+'E Balans VL '!E12)/100/3.6*1000000</f>
        <v>0</v>
      </c>
      <c r="K6" s="33"/>
      <c r="L6" s="33"/>
      <c r="M6" s="33"/>
      <c r="N6" s="33">
        <f>$C$26*'E Balans VL '!Y12/100/3.6*1000000</f>
        <v>1.2462443774449008</v>
      </c>
      <c r="O6" s="33"/>
      <c r="P6" s="33"/>
      <c r="R6" s="32"/>
    </row>
    <row r="7" spans="1:18">
      <c r="A7" s="32" t="s">
        <v>52</v>
      </c>
      <c r="B7" s="37">
        <f t="shared" ref="B7:B12" si="0">B27</f>
        <v>1911.2688349999999</v>
      </c>
      <c r="C7" s="33"/>
      <c r="D7" s="37">
        <f>IF(ISERROR(TER_horeca_gas_kWh/1000),0,TER_horeca_gas_kWh/1000)*0.902</f>
        <v>1830.7812820000001</v>
      </c>
      <c r="E7" s="33">
        <f>$C$27*'E Balans VL '!I9/100/3.6*1000000</f>
        <v>20.522334032155015</v>
      </c>
      <c r="F7" s="33">
        <f>$C$27*('E Balans VL '!L9+'E Balans VL '!N9)/100/3.6*1000000</f>
        <v>229.87929507984262</v>
      </c>
      <c r="G7" s="34"/>
      <c r="H7" s="33"/>
      <c r="I7" s="33"/>
      <c r="J7" s="33">
        <f>$C$27*('E Balans VL '!D9+'E Balans VL '!E9)/100/3.6*1000000</f>
        <v>0</v>
      </c>
      <c r="K7" s="33"/>
      <c r="L7" s="33"/>
      <c r="M7" s="33"/>
      <c r="N7" s="33">
        <f>$C$27*'E Balans VL '!Y9/100/3.6*1000000</f>
        <v>0.28653793528848559</v>
      </c>
      <c r="O7" s="33"/>
      <c r="P7" s="33"/>
      <c r="R7" s="32"/>
    </row>
    <row r="8" spans="1:18">
      <c r="A8" s="6" t="s">
        <v>51</v>
      </c>
      <c r="B8" s="37">
        <f t="shared" si="0"/>
        <v>4969.4745210000001</v>
      </c>
      <c r="C8" s="33"/>
      <c r="D8" s="37">
        <f>IF(ISERROR(TER_handel_gas_kWh/1000),0,TER_handel_gas_kWh/1000)*0.902</f>
        <v>2347.5540783859997</v>
      </c>
      <c r="E8" s="33">
        <f>$C$28*'E Balans VL '!I13/100/3.6*1000000</f>
        <v>133.36548224498083</v>
      </c>
      <c r="F8" s="33">
        <f>$C$28*('E Balans VL '!L13+'E Balans VL '!N13)/100/3.6*1000000</f>
        <v>474.24103245741128</v>
      </c>
      <c r="G8" s="34"/>
      <c r="H8" s="33"/>
      <c r="I8" s="33"/>
      <c r="J8" s="33">
        <f>$C$28*('E Balans VL '!D13+'E Balans VL '!E13)/100/3.6*1000000</f>
        <v>0</v>
      </c>
      <c r="K8" s="33"/>
      <c r="L8" s="33"/>
      <c r="M8" s="33"/>
      <c r="N8" s="33">
        <f>$C$28*'E Balans VL '!Y13/100/3.6*1000000</f>
        <v>1.9699562049653399</v>
      </c>
      <c r="O8" s="33"/>
      <c r="P8" s="33"/>
      <c r="R8" s="32"/>
    </row>
    <row r="9" spans="1:18">
      <c r="A9" s="32" t="s">
        <v>50</v>
      </c>
      <c r="B9" s="37">
        <f t="shared" si="0"/>
        <v>930.15571399999999</v>
      </c>
      <c r="C9" s="33"/>
      <c r="D9" s="37">
        <f>IF(ISERROR(TER_gezond_gas_kWh/1000),0,TER_gezond_gas_kWh/1000)*0.902</f>
        <v>1619.5103319999998</v>
      </c>
      <c r="E9" s="33">
        <f>$C$29*'E Balans VL '!I10/100/3.6*1000000</f>
        <v>1.7434146798883241</v>
      </c>
      <c r="F9" s="33">
        <f>$C$29*('E Balans VL '!L10+'E Balans VL '!N10)/100/3.6*1000000</f>
        <v>76.467286707737472</v>
      </c>
      <c r="G9" s="34"/>
      <c r="H9" s="33"/>
      <c r="I9" s="33"/>
      <c r="J9" s="33">
        <f>$C$29*('E Balans VL '!D10+'E Balans VL '!E10)/100/3.6*1000000</f>
        <v>0</v>
      </c>
      <c r="K9" s="33"/>
      <c r="L9" s="33"/>
      <c r="M9" s="33"/>
      <c r="N9" s="33">
        <f>$C$29*'E Balans VL '!Y10/100/3.6*1000000</f>
        <v>7.2373054508007977</v>
      </c>
      <c r="O9" s="33"/>
      <c r="P9" s="33"/>
      <c r="R9" s="32"/>
    </row>
    <row r="10" spans="1:18">
      <c r="A10" s="32" t="s">
        <v>49</v>
      </c>
      <c r="B10" s="37">
        <f t="shared" si="0"/>
        <v>1204.7098289999999</v>
      </c>
      <c r="C10" s="33"/>
      <c r="D10" s="37">
        <f>IF(ISERROR(TER_ander_gas_kWh/1000),0,TER_ander_gas_kWh/1000)*0.902</f>
        <v>751.58157800000004</v>
      </c>
      <c r="E10" s="33">
        <f>$C$30*'E Balans VL '!I14/100/3.6*1000000</f>
        <v>1.8570724085395813</v>
      </c>
      <c r="F10" s="33">
        <f>$C$30*('E Balans VL '!L14+'E Balans VL '!N14)/100/3.6*1000000</f>
        <v>187.03153353068308</v>
      </c>
      <c r="G10" s="34"/>
      <c r="H10" s="33"/>
      <c r="I10" s="33"/>
      <c r="J10" s="33">
        <f>$C$30*('E Balans VL '!D14+'E Balans VL '!E14)/100/3.6*1000000</f>
        <v>2.0451219864137268E-2</v>
      </c>
      <c r="K10" s="33"/>
      <c r="L10" s="33"/>
      <c r="M10" s="33"/>
      <c r="N10" s="33">
        <f>$C$30*'E Balans VL '!Y14/100/3.6*1000000</f>
        <v>796.99741220620672</v>
      </c>
      <c r="O10" s="33"/>
      <c r="P10" s="33"/>
      <c r="R10" s="32"/>
    </row>
    <row r="11" spans="1:18">
      <c r="A11" s="32" t="s">
        <v>54</v>
      </c>
      <c r="B11" s="37">
        <f t="shared" si="0"/>
        <v>164.10957099999999</v>
      </c>
      <c r="C11" s="33"/>
      <c r="D11" s="37">
        <f>IF(ISERROR(TER_onderwijs_gas_kWh/1000),0,TER_onderwijs_gas_kWh/1000)*0.902</f>
        <v>223.64909600000001</v>
      </c>
      <c r="E11" s="33">
        <f>$C$31*'E Balans VL '!I11/100/3.6*1000000</f>
        <v>4.185914938131182</v>
      </c>
      <c r="F11" s="33">
        <f>$C$31*('E Balans VL '!L11+'E Balans VL '!N11)/100/3.6*1000000</f>
        <v>19.735720570854891</v>
      </c>
      <c r="G11" s="34"/>
      <c r="H11" s="33"/>
      <c r="I11" s="33"/>
      <c r="J11" s="33">
        <f>$C$31*('E Balans VL '!D11+'E Balans VL '!E11)/100/3.6*1000000</f>
        <v>0</v>
      </c>
      <c r="K11" s="33"/>
      <c r="L11" s="33"/>
      <c r="M11" s="33"/>
      <c r="N11" s="33">
        <f>$C$31*'E Balans VL '!Y11/100/3.6*1000000</f>
        <v>0.36497568159596372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11498.525105000001</v>
      </c>
      <c r="C16" s="21">
        <f t="shared" ca="1" si="1"/>
        <v>0</v>
      </c>
      <c r="D16" s="21">
        <f t="shared" ca="1" si="1"/>
        <v>9168.1879951859992</v>
      </c>
      <c r="E16" s="21">
        <f t="shared" si="1"/>
        <v>180.33291182756057</v>
      </c>
      <c r="F16" s="21">
        <f t="shared" ca="1" si="1"/>
        <v>1270.8533725401198</v>
      </c>
      <c r="G16" s="21">
        <f t="shared" si="1"/>
        <v>0</v>
      </c>
      <c r="H16" s="21">
        <f t="shared" si="1"/>
        <v>0</v>
      </c>
      <c r="I16" s="21">
        <f t="shared" si="1"/>
        <v>0</v>
      </c>
      <c r="J16" s="21">
        <f t="shared" si="1"/>
        <v>2.0451219864137268E-2</v>
      </c>
      <c r="K16" s="21">
        <f t="shared" si="1"/>
        <v>0</v>
      </c>
      <c r="L16" s="21">
        <f t="shared" ca="1" si="1"/>
        <v>0</v>
      </c>
      <c r="M16" s="21">
        <f t="shared" si="1"/>
        <v>0</v>
      </c>
      <c r="N16" s="21">
        <f t="shared" ca="1" si="1"/>
        <v>808.10243185630225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3.862528080324746E-2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444.13376100381549</v>
      </c>
      <c r="C20" s="23">
        <f t="shared" ref="C20:P20" ca="1" si="2">C16*C18</f>
        <v>0</v>
      </c>
      <c r="D20" s="23">
        <f t="shared" ca="1" si="2"/>
        <v>1851.9739750275719</v>
      </c>
      <c r="E20" s="23">
        <f t="shared" si="2"/>
        <v>40.935570984856248</v>
      </c>
      <c r="F20" s="23">
        <f t="shared" ca="1" si="2"/>
        <v>339.31785046821204</v>
      </c>
      <c r="G20" s="23">
        <f t="shared" si="2"/>
        <v>0</v>
      </c>
      <c r="H20" s="23">
        <f t="shared" si="2"/>
        <v>0</v>
      </c>
      <c r="I20" s="23">
        <f t="shared" si="2"/>
        <v>0</v>
      </c>
      <c r="J20" s="23">
        <f t="shared" si="2"/>
        <v>7.2397318319045922E-3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2318.8066349999999</v>
      </c>
      <c r="C26" s="39">
        <f>IF(ISERROR(B26*3.6/1000000/'E Balans VL '!Z12*100),0,B26*3.6/1000000/'E Balans VL '!Z12*100)</f>
        <v>4.9191361297069511E-2</v>
      </c>
      <c r="D26" s="237" t="s">
        <v>716</v>
      </c>
      <c r="F26" s="6"/>
    </row>
    <row r="27" spans="1:18">
      <c r="A27" s="231" t="s">
        <v>52</v>
      </c>
      <c r="B27" s="33">
        <f>IF(ISERROR(TER_horeca_ele_kWh/1000),0,TER_horeca_ele_kWh/1000)</f>
        <v>1911.2688349999999</v>
      </c>
      <c r="C27" s="39">
        <f>IF(ISERROR(B27*3.6/1000000/'E Balans VL '!Z9*100),0,B27*3.6/1000000/'E Balans VL '!Z9*100)</f>
        <v>0.14393547426300818</v>
      </c>
      <c r="D27" s="237" t="s">
        <v>716</v>
      </c>
      <c r="F27" s="6"/>
    </row>
    <row r="28" spans="1:18">
      <c r="A28" s="171" t="s">
        <v>51</v>
      </c>
      <c r="B28" s="33">
        <f>IF(ISERROR(TER_handel_ele_kWh/1000),0,TER_handel_ele_kWh/1000)</f>
        <v>4969.4745210000001</v>
      </c>
      <c r="C28" s="39">
        <f>IF(ISERROR(B28*3.6/1000000/'E Balans VL '!Z13*100),0,B28*3.6/1000000/'E Balans VL '!Z13*100)</f>
        <v>0.14424623712257684</v>
      </c>
      <c r="D28" s="237" t="s">
        <v>716</v>
      </c>
      <c r="F28" s="6"/>
    </row>
    <row r="29" spans="1:18">
      <c r="A29" s="231" t="s">
        <v>50</v>
      </c>
      <c r="B29" s="33">
        <f>IF(ISERROR(TER_gezond_ele_kWh/1000),0,TER_gezond_ele_kWh/1000)</f>
        <v>930.15571399999999</v>
      </c>
      <c r="C29" s="39">
        <f>IF(ISERROR(B29*3.6/1000000/'E Balans VL '!Z10*100),0,B29*3.6/1000000/'E Balans VL '!Z10*100)</f>
        <v>9.3807313012767943E-2</v>
      </c>
      <c r="D29" s="237" t="s">
        <v>716</v>
      </c>
      <c r="F29" s="6"/>
    </row>
    <row r="30" spans="1:18">
      <c r="A30" s="231" t="s">
        <v>49</v>
      </c>
      <c r="B30" s="33">
        <f>IF(ISERROR(TER_ander_ele_kWh/1000),0,TER_ander_ele_kWh/1000)</f>
        <v>1204.7098289999999</v>
      </c>
      <c r="C30" s="39">
        <f>IF(ISERROR(B30*3.6/1000000/'E Balans VL '!Z14*100),0,B30*3.6/1000000/'E Balans VL '!Z14*100)</f>
        <v>8.7418133349505239E-2</v>
      </c>
      <c r="D30" s="237" t="s">
        <v>716</v>
      </c>
      <c r="F30" s="6"/>
    </row>
    <row r="31" spans="1:18">
      <c r="A31" s="231" t="s">
        <v>54</v>
      </c>
      <c r="B31" s="33">
        <f>IF(ISERROR(TER_onderwijs_ele_kWh/1000),0,TER_onderwijs_ele_kWh/1000)</f>
        <v>164.10957099999999</v>
      </c>
      <c r="C31" s="39">
        <f>IF(ISERROR(B31*3.6/1000000/'E Balans VL '!Z11*100),0,B31*3.6/1000000/'E Balans VL '!Z11*100)</f>
        <v>4.6777910587908984E-2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2572.195678</v>
      </c>
      <c r="C5" s="17">
        <f>IF(ISERROR('Eigen informatie GS &amp; warmtenet'!B61),0,'Eigen informatie GS &amp; warmtenet'!B61)</f>
        <v>0</v>
      </c>
      <c r="D5" s="30">
        <f>SUM(D6:D15)</f>
        <v>8036.9300178420008</v>
      </c>
      <c r="E5" s="17">
        <f>SUM(E6:E15)</f>
        <v>287.990919191854</v>
      </c>
      <c r="F5" s="17">
        <f>SUM(F6:F15)</f>
        <v>1077.1510219933857</v>
      </c>
      <c r="G5" s="18"/>
      <c r="H5" s="17"/>
      <c r="I5" s="17"/>
      <c r="J5" s="17">
        <f>SUM(J6:J15)</f>
        <v>4.8293604917610002</v>
      </c>
      <c r="K5" s="17"/>
      <c r="L5" s="17"/>
      <c r="M5" s="17"/>
      <c r="N5" s="17">
        <f>SUM(N6:N15)</f>
        <v>260.3654892748059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337.36399999999998</v>
      </c>
      <c r="C8" s="33"/>
      <c r="D8" s="37">
        <f>IF( ISERROR(IND_metaal_Gas_kWH/1000),0,IND_metaal_Gas_kWH/1000)*0.902</f>
        <v>137.26004600000002</v>
      </c>
      <c r="E8" s="33">
        <f>C30*'E Balans VL '!I18/100/3.6*1000000</f>
        <v>2.4338444758150533</v>
      </c>
      <c r="F8" s="33">
        <f>C30*'E Balans VL '!L18/100/3.6*1000000+C30*'E Balans VL '!N18/100/3.6*1000000</f>
        <v>31.908413843591298</v>
      </c>
      <c r="G8" s="34"/>
      <c r="H8" s="33"/>
      <c r="I8" s="33"/>
      <c r="J8" s="40">
        <f>C30*'E Balans VL '!D18/100/3.6*1000000+C30*'E Balans VL '!E18/100/3.6*1000000</f>
        <v>0.33932267168904157</v>
      </c>
      <c r="K8" s="33"/>
      <c r="L8" s="33"/>
      <c r="M8" s="33"/>
      <c r="N8" s="33">
        <f>C30*'E Balans VL '!Y18/100/3.6*1000000</f>
        <v>4.2651735370230375</v>
      </c>
      <c r="O8" s="33"/>
      <c r="P8" s="33"/>
      <c r="R8" s="32"/>
    </row>
    <row r="9" spans="1:18">
      <c r="A9" s="6" t="s">
        <v>32</v>
      </c>
      <c r="B9" s="37">
        <f t="shared" si="0"/>
        <v>921.33924999999999</v>
      </c>
      <c r="C9" s="33"/>
      <c r="D9" s="37">
        <f>IF( ISERROR(IND_andere_gas_kWh/1000),0,IND_andere_gas_kWh/1000)*0.902</f>
        <v>1027.0951327999999</v>
      </c>
      <c r="E9" s="33">
        <f>C31*'E Balans VL '!I19/100/3.6*1000000</f>
        <v>255.3154260242307</v>
      </c>
      <c r="F9" s="33">
        <f>C31*'E Balans VL '!L19/100/3.6*1000000+C31*'E Balans VL '!N19/100/3.6*1000000</f>
        <v>763.60796142946401</v>
      </c>
      <c r="G9" s="34"/>
      <c r="H9" s="33"/>
      <c r="I9" s="33"/>
      <c r="J9" s="40">
        <f>C31*'E Balans VL '!D19/100/3.6*1000000+C31*'E Balans VL '!E19/100/3.6*1000000</f>
        <v>0</v>
      </c>
      <c r="K9" s="33"/>
      <c r="L9" s="33"/>
      <c r="M9" s="33"/>
      <c r="N9" s="33">
        <f>C31*'E Balans VL '!Y19/100/3.6*1000000</f>
        <v>66.877960350988587</v>
      </c>
      <c r="O9" s="33"/>
      <c r="P9" s="33"/>
      <c r="R9" s="32"/>
    </row>
    <row r="10" spans="1:18">
      <c r="A10" s="6" t="s">
        <v>40</v>
      </c>
      <c r="B10" s="37">
        <f t="shared" si="0"/>
        <v>620.04042799999991</v>
      </c>
      <c r="C10" s="33"/>
      <c r="D10" s="37">
        <f>IF( ISERROR(IND_voed_gas_kWh/1000),0,IND_voed_gas_kWh/1000)*0.902</f>
        <v>1031.015766</v>
      </c>
      <c r="E10" s="33">
        <f>C32*'E Balans VL '!I20/100/3.6*1000000</f>
        <v>1.0976815787180214</v>
      </c>
      <c r="F10" s="33">
        <f>C32*'E Balans VL '!L20/100/3.6*1000000+C32*'E Balans VL '!N20/100/3.6*1000000</f>
        <v>33.487678481019088</v>
      </c>
      <c r="G10" s="34"/>
      <c r="H10" s="33"/>
      <c r="I10" s="33"/>
      <c r="J10" s="40">
        <f>C32*'E Balans VL '!D20/100/3.6*1000000+C32*'E Balans VL '!E20/100/3.6*1000000</f>
        <v>0</v>
      </c>
      <c r="K10" s="33"/>
      <c r="L10" s="33"/>
      <c r="M10" s="33"/>
      <c r="N10" s="33">
        <f>C32*'E Balans VL '!Y20/100/3.6*1000000</f>
        <v>36.029084174554775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613.73699999999997</v>
      </c>
      <c r="C12" s="33"/>
      <c r="D12" s="37">
        <f>IF( ISERROR(IND_min_gas_kWh/1000),0,IND_min_gas_kWh/1000)*0.902</f>
        <v>0</v>
      </c>
      <c r="E12" s="33">
        <f>C34*'E Balans VL '!I22/100/3.6*1000000</f>
        <v>27.026788259262876</v>
      </c>
      <c r="F12" s="33">
        <f>C34*'E Balans VL '!L22/100/3.6*1000000+C34*'E Balans VL '!N22/100/3.6*1000000</f>
        <v>239.99595311218087</v>
      </c>
      <c r="G12" s="34"/>
      <c r="H12" s="33"/>
      <c r="I12" s="33"/>
      <c r="J12" s="40">
        <f>C34*'E Balans VL '!D22/100/3.6*1000000+C34*'E Balans VL '!E22/100/3.6*1000000</f>
        <v>0.18635236293408555</v>
      </c>
      <c r="K12" s="33"/>
      <c r="L12" s="33"/>
      <c r="M12" s="33"/>
      <c r="N12" s="33">
        <f>C34*'E Balans VL '!Y22/100/3.6*1000000</f>
        <v>151.81993445112133</v>
      </c>
      <c r="O12" s="33"/>
      <c r="P12" s="33"/>
      <c r="R12" s="32"/>
    </row>
    <row r="13" spans="1:18">
      <c r="A13" s="6" t="s">
        <v>38</v>
      </c>
      <c r="B13" s="37">
        <f t="shared" si="0"/>
        <v>36.039000000000001</v>
      </c>
      <c r="C13" s="33"/>
      <c r="D13" s="37">
        <f>IF( ISERROR(IND_papier_gas_kWh/1000),0,IND_papier_gas_kWh/1000)*0.902</f>
        <v>0</v>
      </c>
      <c r="E13" s="33">
        <f>C35*'E Balans VL '!I23/100/3.6*1000000</f>
        <v>5.3025744078165897E-2</v>
      </c>
      <c r="F13" s="33">
        <f>C35*'E Balans VL '!L23/100/3.6*1000000+C35*'E Balans VL '!N23/100/3.6*1000000</f>
        <v>0.3858806199464746</v>
      </c>
      <c r="G13" s="34"/>
      <c r="H13" s="33"/>
      <c r="I13" s="33"/>
      <c r="J13" s="40">
        <f>C35*'E Balans VL '!D23/100/3.6*1000000+C35*'E Balans VL '!E23/100/3.6*1000000</f>
        <v>3.9428686961364789</v>
      </c>
      <c r="K13" s="33"/>
      <c r="L13" s="33"/>
      <c r="M13" s="33"/>
      <c r="N13" s="33">
        <f>C35*'E Balans VL '!Y23/100/3.6*1000000</f>
        <v>-0.32648245934562453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43.676000000000002</v>
      </c>
      <c r="C15" s="33"/>
      <c r="D15" s="37">
        <f>IF( ISERROR(IND_rest_gas_kWh/1000),0,IND_rest_gas_kWh/1000)*0.902</f>
        <v>5841.5590730420008</v>
      </c>
      <c r="E15" s="33">
        <f>C37*'E Balans VL '!I15/100/3.6*1000000</f>
        <v>2.0641531097491277</v>
      </c>
      <c r="F15" s="33">
        <f>C37*'E Balans VL '!L15/100/3.6*1000000+C37*'E Balans VL '!N15/100/3.6*1000000</f>
        <v>7.7651345071839826</v>
      </c>
      <c r="G15" s="34"/>
      <c r="H15" s="33"/>
      <c r="I15" s="33"/>
      <c r="J15" s="40">
        <f>C37*'E Balans VL '!D15/100/3.6*1000000+C37*'E Balans VL '!E15/100/3.6*1000000</f>
        <v>0.36081676100139387</v>
      </c>
      <c r="K15" s="33"/>
      <c r="L15" s="33"/>
      <c r="M15" s="33"/>
      <c r="N15" s="33">
        <f>C37*'E Balans VL '!Y15/100/3.6*1000000</f>
        <v>1.6998192204637925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2572.195678</v>
      </c>
      <c r="C18" s="21">
        <f>C5+C16</f>
        <v>0</v>
      </c>
      <c r="D18" s="21">
        <f>MAX((D5+D16),0)</f>
        <v>8036.9300178420008</v>
      </c>
      <c r="E18" s="21">
        <f>MAX((E5+E16),0)</f>
        <v>287.990919191854</v>
      </c>
      <c r="F18" s="21">
        <f>MAX((F5+F16),0)</f>
        <v>1077.1510219933857</v>
      </c>
      <c r="G18" s="21"/>
      <c r="H18" s="21"/>
      <c r="I18" s="21"/>
      <c r="J18" s="21">
        <f>MAX((J5+J16),0)</f>
        <v>4.8293604917610002</v>
      </c>
      <c r="K18" s="21"/>
      <c r="L18" s="21">
        <f>MAX((L5+L16),0)</f>
        <v>0</v>
      </c>
      <c r="M18" s="21"/>
      <c r="N18" s="21">
        <f>MAX((N5+N16),0)</f>
        <v>260.3654892748059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3.862528080324746E-2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99.35178034364948</v>
      </c>
      <c r="C22" s="23">
        <f ca="1">C18*C20</f>
        <v>0</v>
      </c>
      <c r="D22" s="23">
        <f>D18*D20</f>
        <v>1623.4598636040841</v>
      </c>
      <c r="E22" s="23">
        <f>E18*E20</f>
        <v>65.373938656550862</v>
      </c>
      <c r="F22" s="23">
        <f>F18*F20</f>
        <v>287.59932287223398</v>
      </c>
      <c r="G22" s="23"/>
      <c r="H22" s="23"/>
      <c r="I22" s="23"/>
      <c r="J22" s="23">
        <f>J18*J20</f>
        <v>1.7095936140833941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337.36399999999998</v>
      </c>
      <c r="C30" s="39">
        <f>IF(ISERROR(B30*3.6/1000000/'E Balans VL '!Z18*100),0,B30*3.6/1000000/'E Balans VL '!Z18*100)</f>
        <v>1.9475497314869399E-2</v>
      </c>
      <c r="D30" s="237" t="s">
        <v>716</v>
      </c>
    </row>
    <row r="31" spans="1:18">
      <c r="A31" s="6" t="s">
        <v>32</v>
      </c>
      <c r="B31" s="37">
        <f>IF( ISERROR(IND_ander_ele_kWh/1000),0,IND_ander_ele_kWh/1000)</f>
        <v>921.33924999999999</v>
      </c>
      <c r="C31" s="39">
        <f>IF(ISERROR(B31*3.6/1000000/'E Balans VL '!Z19*100),0,B31*3.6/1000000/'E Balans VL '!Z19*100)</f>
        <v>4.6340377869457661E-2</v>
      </c>
      <c r="D31" s="237" t="s">
        <v>716</v>
      </c>
    </row>
    <row r="32" spans="1:18">
      <c r="A32" s="171" t="s">
        <v>40</v>
      </c>
      <c r="B32" s="37">
        <f>IF( ISERROR(IND_voed_ele_kWh/1000),0,IND_voed_ele_kWh/1000)</f>
        <v>620.04042799999991</v>
      </c>
      <c r="C32" s="39">
        <f>IF(ISERROR(B32*3.6/1000000/'E Balans VL '!Z20*100),0,B32*3.6/1000000/'E Balans VL '!Z20*100)</f>
        <v>2.0651028206284418E-2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613.73699999999997</v>
      </c>
      <c r="C34" s="39">
        <f>IF(ISERROR(B34*3.6/1000000/'E Balans VL '!Z22*100),0,B34*3.6/1000000/'E Balans VL '!Z22*100)</f>
        <v>0.11448268030079738</v>
      </c>
      <c r="D34" s="237" t="s">
        <v>716</v>
      </c>
    </row>
    <row r="35" spans="1:5">
      <c r="A35" s="171" t="s">
        <v>38</v>
      </c>
      <c r="B35" s="37">
        <f>IF( ISERROR(IND_papier_ele_kWh/1000),0,IND_papier_ele_kWh/1000)</f>
        <v>36.039000000000001</v>
      </c>
      <c r="C35" s="39">
        <f>IF(ISERROR(B35*3.6/1000000/'E Balans VL '!Z22*100),0,B35*3.6/1000000/'E Balans VL '!Z22*100)</f>
        <v>6.7224907661758001E-3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43.676000000000002</v>
      </c>
      <c r="C37" s="39">
        <f>IF(ISERROR(B37*3.6/1000000/'E Balans VL '!Z15*100),0,B37*3.6/1000000/'E Balans VL '!Z15*100)</f>
        <v>3.4079223775199032E-4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10543.92829</v>
      </c>
      <c r="C5" s="17">
        <f>'Eigen informatie GS &amp; warmtenet'!B62</f>
        <v>0</v>
      </c>
      <c r="D5" s="30">
        <f>IF(ISERROR(SUM(LB_lb_gas_kWh,LB_rest_gas_kWh)/1000),0,SUM(LB_lb_gas_kWh,LB_rest_gas_kWh)/1000)*0.902</f>
        <v>3609.2261012280001</v>
      </c>
      <c r="E5" s="17">
        <f>B17*'E Balans VL '!I25/3.6*1000000/100</f>
        <v>329.07252497229501</v>
      </c>
      <c r="F5" s="17">
        <f>B17*('E Balans VL '!L25/3.6*1000000+'E Balans VL '!N25/3.6*1000000)/100</f>
        <v>37263.410601727323</v>
      </c>
      <c r="G5" s="18"/>
      <c r="H5" s="17"/>
      <c r="I5" s="17"/>
      <c r="J5" s="17">
        <f>('E Balans VL '!D25+'E Balans VL '!E25)/3.6*1000000*landbouw!B17/100</f>
        <v>2904.9253653968585</v>
      </c>
      <c r="K5" s="17"/>
      <c r="L5" s="17">
        <f>L6*(-1)</f>
        <v>0</v>
      </c>
      <c r="M5" s="17"/>
      <c r="N5" s="17">
        <f>N6*(-1)</f>
        <v>154.28571428571431</v>
      </c>
      <c r="O5" s="17"/>
      <c r="P5" s="17"/>
      <c r="R5" s="32"/>
    </row>
    <row r="6" spans="1:18">
      <c r="A6" s="16" t="s">
        <v>482</v>
      </c>
      <c r="B6" s="17" t="s">
        <v>210</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10543.92829</v>
      </c>
      <c r="C8" s="21">
        <f>C5+C6</f>
        <v>77.142857142857139</v>
      </c>
      <c r="D8" s="21">
        <f>MAX((D5+D6),0)</f>
        <v>3609.2261012280001</v>
      </c>
      <c r="E8" s="21">
        <f>MAX((E5+E6),0)</f>
        <v>329.07252497229501</v>
      </c>
      <c r="F8" s="21">
        <f>MAX((F5+F6),0)</f>
        <v>37263.410601727323</v>
      </c>
      <c r="G8" s="21"/>
      <c r="H8" s="21"/>
      <c r="I8" s="21"/>
      <c r="J8" s="21">
        <f>MAX((J5+J6),0)</f>
        <v>2904.9253653968585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3.862528080324746E-2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407.2621909705548</v>
      </c>
      <c r="C12" s="23">
        <f ca="1">C8*C10</f>
        <v>0</v>
      </c>
      <c r="D12" s="23">
        <f>D8*D10</f>
        <v>729.06367244805608</v>
      </c>
      <c r="E12" s="23">
        <f>E8*E10</f>
        <v>74.699463168710977</v>
      </c>
      <c r="F12" s="23">
        <f>F8*F10</f>
        <v>9949.3306306611958</v>
      </c>
      <c r="G12" s="23"/>
      <c r="H12" s="23"/>
      <c r="I12" s="23"/>
      <c r="J12" s="23">
        <f>J8*J10</f>
        <v>1028.343579350488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1.5674305263461565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244.13865450231864</v>
      </c>
      <c r="C26" s="247">
        <f>B26*'GWP N2O_CH4'!B5</f>
        <v>5126.9117445486918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146.28368202945012</v>
      </c>
      <c r="C27" s="247">
        <f>B27*'GWP N2O_CH4'!B5</f>
        <v>3071.9573226184525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3.6977661785393221</v>
      </c>
      <c r="C28" s="247">
        <f>B28*'GWP N2O_CH4'!B4</f>
        <v>1146.3075153471898</v>
      </c>
      <c r="D28" s="50"/>
    </row>
    <row r="29" spans="1:4">
      <c r="A29" s="41" t="s">
        <v>276</v>
      </c>
      <c r="B29" s="247">
        <f>B34*'ha_N2O bodem landbouw'!B4</f>
        <v>29.020568690299523</v>
      </c>
      <c r="C29" s="247">
        <f>B29*'GWP N2O_CH4'!B4</f>
        <v>8996.3762939928529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6.3636882101918138E-3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2.7382889706000001E-4</v>
      </c>
      <c r="C5" s="463" t="s">
        <v>210</v>
      </c>
      <c r="D5" s="448">
        <f>SUM(D6:D11)</f>
        <v>1.105040405761096E-3</v>
      </c>
      <c r="E5" s="448">
        <f>SUM(E6:E11)</f>
        <v>9.0533904726794998E-4</v>
      </c>
      <c r="F5" s="461" t="s">
        <v>210</v>
      </c>
      <c r="G5" s="448">
        <f>SUM(G6:G11)</f>
        <v>0.36376347785148888</v>
      </c>
      <c r="H5" s="448">
        <f>SUM(H6:H11)</f>
        <v>8.3207848398029124E-2</v>
      </c>
      <c r="I5" s="463" t="s">
        <v>210</v>
      </c>
      <c r="J5" s="463" t="s">
        <v>210</v>
      </c>
      <c r="K5" s="463" t="s">
        <v>210</v>
      </c>
      <c r="L5" s="463" t="s">
        <v>210</v>
      </c>
      <c r="M5" s="448">
        <f>SUM(M6:M11)</f>
        <v>2.6443558284271564E-2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1.4495688061E-4</v>
      </c>
      <c r="C6" s="449"/>
      <c r="D6" s="917">
        <f>vkm_2011_GW_PW*SUMIFS(TableVerdeelsleutelVkm[CNG],TableVerdeelsleutelVkm[Voertuigtype],"Lichte voertuigen")*SUMIFS(TableECFTransport[EnergieConsumptieFactor (PJ per km)],TableECFTransport[Index],CONCATENATE($A6,"_CNG_CNG"))</f>
        <v>5.0403976474605605E-4</v>
      </c>
      <c r="E6" s="917">
        <f>vkm_2011_GW_PW*SUMIFS(TableVerdeelsleutelVkm[LPG],TableVerdeelsleutelVkm[Voertuigtype],"Lichte voertuigen")*SUMIFS(TableECFTransport[EnergieConsumptieFactor (PJ per km)],TableECFTransport[Index],CONCATENATE($A6,"_LPG_LPG"))</f>
        <v>3.9710029145519998E-4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0.1080953165942287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3.7826181285782336E-2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8.7197266657408918E-3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4.2160398007286701E-2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1.0621562870874383E-5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2.4311002673561063E-3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5.2695128649999998E-5</v>
      </c>
      <c r="C8" s="449"/>
      <c r="D8" s="451">
        <f>vkm_2011_NGW_PW*SUMIFS(TableVerdeelsleutelVkm[CNG],TableVerdeelsleutelVkm[Voertuigtype],"Lichte voertuigen")*SUMIFS(TableECFTransport[EnergieConsumptieFactor (PJ per km)],TableECFTransport[Index],CONCATENATE($A8,"_CNG_CNG"))</f>
        <v>3.2426991883440003E-4</v>
      </c>
      <c r="E8" s="451">
        <f>vkm_2011_NGW_PW*SUMIFS(TableVerdeelsleutelVkm[LPG],TableVerdeelsleutelVkm[Voertuigtype],"Lichte voertuigen")*SUMIFS(TableECFTransport[EnergieConsumptieFactor (PJ per km)],TableECFTransport[Index],CONCATENATE($A8,"_LPG_LPG"))</f>
        <v>2.3683764925174999E-4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5.9826159629990834E-2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2.3712380839240675E-2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5.0086964726479728E-3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6.8776612459302028E-4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1.634901505474455E-7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3.9658100075672344E-5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7.6176887800000003E-5</v>
      </c>
      <c r="C10" s="449"/>
      <c r="D10" s="451">
        <f>vkm_2011_SW_PW*SUMIFS(TableVerdeelsleutelVkm[CNG],TableVerdeelsleutelVkm[Voertuigtype],"Lichte voertuigen")*SUMIFS(TableECFTransport[EnergieConsumptieFactor (PJ per km)],TableECFTransport[Index],CONCATENATE($A10,"_CNG_CNG"))</f>
        <v>2.7673072218064004E-4</v>
      </c>
      <c r="E10" s="451">
        <f>vkm_2011_SW_PW*SUMIFS(TableVerdeelsleutelVkm[LPG],TableVerdeelsleutelVkm[Voertuigtype],"Lichte voertuigen")*SUMIFS(TableECFTransport[EnergieConsumptieFactor (PJ per km)],TableECFTransport[Index],CONCATENATE($A10,"_LPG_LPG"))</f>
        <v>2.7140110656099999E-4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6.5626236081997566E-2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2.1634661865441576E-2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5.2063676280118551E-3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8.736760141339206E-2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2.3839354543109958E-5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5.0380091504390679E-3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76.063582516666656</v>
      </c>
      <c r="C14" s="21"/>
      <c r="D14" s="21">
        <f t="shared" ref="D14:M14" si="0">((D5)*10^9/3600)+D12</f>
        <v>306.95566826697109</v>
      </c>
      <c r="E14" s="21">
        <f t="shared" si="0"/>
        <v>251.48306868554167</v>
      </c>
      <c r="F14" s="21"/>
      <c r="G14" s="21">
        <f t="shared" si="0"/>
        <v>101045.41051430246</v>
      </c>
      <c r="H14" s="21">
        <f t="shared" si="0"/>
        <v>23113.291221674754</v>
      </c>
      <c r="I14" s="21"/>
      <c r="J14" s="21"/>
      <c r="K14" s="21"/>
      <c r="L14" s="21"/>
      <c r="M14" s="21">
        <f t="shared" si="0"/>
        <v>7345.4328567421016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3.862528080324746E-2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2.9379772336072336</v>
      </c>
      <c r="C18" s="23"/>
      <c r="D18" s="23">
        <f t="shared" ref="D18:M18" si="1">D14*D16</f>
        <v>62.005044989928166</v>
      </c>
      <c r="E18" s="23">
        <f t="shared" si="1"/>
        <v>57.08665659161796</v>
      </c>
      <c r="F18" s="23"/>
      <c r="G18" s="23">
        <f t="shared" si="1"/>
        <v>26979.124607318761</v>
      </c>
      <c r="H18" s="23">
        <f t="shared" si="1"/>
        <v>5755.209514197014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5.5578521914964119E-3</v>
      </c>
      <c r="H50" s="321">
        <f t="shared" si="2"/>
        <v>0</v>
      </c>
      <c r="I50" s="321">
        <f t="shared" si="2"/>
        <v>0</v>
      </c>
      <c r="J50" s="321">
        <f t="shared" si="2"/>
        <v>0</v>
      </c>
      <c r="K50" s="321">
        <f t="shared" si="2"/>
        <v>0</v>
      </c>
      <c r="L50" s="321">
        <f t="shared" si="2"/>
        <v>0</v>
      </c>
      <c r="M50" s="321">
        <f t="shared" si="2"/>
        <v>3.0890603974593372E-4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5.5578521914964119E-3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3.0890603974593372E-4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1543.8478309712257</v>
      </c>
      <c r="H54" s="21">
        <f t="shared" si="3"/>
        <v>0</v>
      </c>
      <c r="I54" s="21">
        <f t="shared" si="3"/>
        <v>0</v>
      </c>
      <c r="J54" s="21">
        <f t="shared" si="3"/>
        <v>0</v>
      </c>
      <c r="K54" s="21">
        <f t="shared" si="3"/>
        <v>0</v>
      </c>
      <c r="L54" s="21">
        <f t="shared" si="3"/>
        <v>0</v>
      </c>
      <c r="M54" s="21">
        <f t="shared" si="3"/>
        <v>85.807233262759368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3.862528080324746E-2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412.20737086931729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36325.377163281846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8537.3061128275931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54</v>
      </c>
      <c r="C8" s="574">
        <f>B101</f>
        <v>0</v>
      </c>
      <c r="D8" s="575"/>
      <c r="E8" s="575">
        <f>E101</f>
        <v>0</v>
      </c>
      <c r="F8" s="576"/>
      <c r="G8" s="577"/>
      <c r="H8" s="575">
        <f>I101</f>
        <v>0</v>
      </c>
      <c r="I8" s="575">
        <f>G101+F101</f>
        <v>0</v>
      </c>
      <c r="J8" s="575">
        <f>H101+D101+C101</f>
        <v>63.529411764705898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44916.683276109441</v>
      </c>
      <c r="C10" s="589">
        <f t="shared" ref="C10:L10" si="0">SUM(C8:C9)</f>
        <v>0</v>
      </c>
      <c r="D10" s="589">
        <f t="shared" si="0"/>
        <v>0</v>
      </c>
      <c r="E10" s="589">
        <f t="shared" si="0"/>
        <v>0</v>
      </c>
      <c r="F10" s="589">
        <f t="shared" si="0"/>
        <v>0</v>
      </c>
      <c r="G10" s="589">
        <f t="shared" si="0"/>
        <v>0</v>
      </c>
      <c r="H10" s="589">
        <f t="shared" si="0"/>
        <v>0</v>
      </c>
      <c r="I10" s="589">
        <f t="shared" si="0"/>
        <v>0</v>
      </c>
      <c r="J10" s="589">
        <f t="shared" si="0"/>
        <v>63.529411764705898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77.142857142857139</v>
      </c>
      <c r="C17" s="605">
        <f>B102</f>
        <v>0</v>
      </c>
      <c r="D17" s="606"/>
      <c r="E17" s="606">
        <f>E102</f>
        <v>0</v>
      </c>
      <c r="F17" s="607"/>
      <c r="G17" s="608"/>
      <c r="H17" s="605">
        <f>I102</f>
        <v>0</v>
      </c>
      <c r="I17" s="606">
        <f>G102+F102</f>
        <v>0</v>
      </c>
      <c r="J17" s="606">
        <f>H102+D102+C102</f>
        <v>90.756302521008422</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77.142857142857139</v>
      </c>
      <c r="C20" s="588">
        <f>SUM(C17:C19)</f>
        <v>0</v>
      </c>
      <c r="D20" s="588">
        <f t="shared" ref="D20:L20" si="1">SUM(D17:D19)</f>
        <v>0</v>
      </c>
      <c r="E20" s="588">
        <f t="shared" si="1"/>
        <v>0</v>
      </c>
      <c r="F20" s="588">
        <f t="shared" si="1"/>
        <v>0</v>
      </c>
      <c r="G20" s="588">
        <f t="shared" si="1"/>
        <v>0</v>
      </c>
      <c r="H20" s="588">
        <f t="shared" si="1"/>
        <v>0</v>
      </c>
      <c r="I20" s="588">
        <f t="shared" si="1"/>
        <v>0</v>
      </c>
      <c r="J20" s="588">
        <f t="shared" si="1"/>
        <v>90.756302521008422</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73066</v>
      </c>
      <c r="C28" s="817">
        <v>3770</v>
      </c>
      <c r="D28" s="666" t="s">
        <v>882</v>
      </c>
      <c r="E28" s="665" t="s">
        <v>883</v>
      </c>
      <c r="F28" s="665" t="s">
        <v>884</v>
      </c>
      <c r="G28" s="665" t="s">
        <v>885</v>
      </c>
      <c r="H28" s="665" t="s">
        <v>886</v>
      </c>
      <c r="I28" s="665" t="s">
        <v>883</v>
      </c>
      <c r="J28" s="816">
        <v>40624</v>
      </c>
      <c r="K28" s="816">
        <v>41306</v>
      </c>
      <c r="L28" s="665" t="s">
        <v>887</v>
      </c>
      <c r="M28" s="665">
        <v>12</v>
      </c>
      <c r="N28" s="665">
        <v>54</v>
      </c>
      <c r="O28" s="665">
        <v>77.142857142857139</v>
      </c>
      <c r="P28" s="665">
        <v>0</v>
      </c>
      <c r="Q28" s="665">
        <v>0</v>
      </c>
      <c r="R28" s="665">
        <v>0</v>
      </c>
      <c r="S28" s="665">
        <v>0</v>
      </c>
      <c r="T28" s="665">
        <v>0</v>
      </c>
      <c r="U28" s="665">
        <v>0</v>
      </c>
      <c r="V28" s="665">
        <v>154.28571428571431</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v>
      </c>
      <c r="N58" s="623">
        <f>SUM(N28:N57)</f>
        <v>54</v>
      </c>
      <c r="O58" s="623">
        <f t="shared" ref="O58:W58" si="2">SUM(O28:O57)</f>
        <v>77.142857142857139</v>
      </c>
      <c r="P58" s="623">
        <f t="shared" si="2"/>
        <v>0</v>
      </c>
      <c r="Q58" s="623">
        <f t="shared" si="2"/>
        <v>0</v>
      </c>
      <c r="R58" s="623">
        <f t="shared" si="2"/>
        <v>0</v>
      </c>
      <c r="S58" s="623">
        <f t="shared" si="2"/>
        <v>0</v>
      </c>
      <c r="T58" s="623">
        <f t="shared" si="2"/>
        <v>0</v>
      </c>
      <c r="U58" s="623">
        <f t="shared" si="2"/>
        <v>0</v>
      </c>
      <c r="V58" s="623">
        <f t="shared" si="2"/>
        <v>154.28571428571431</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v>
      </c>
      <c r="N61" s="628">
        <f t="shared" si="4"/>
        <v>54</v>
      </c>
      <c r="O61" s="628">
        <f t="shared" si="4"/>
        <v>77.142857142857139</v>
      </c>
      <c r="P61" s="628">
        <f t="shared" si="4"/>
        <v>0</v>
      </c>
      <c r="Q61" s="628">
        <f t="shared" si="4"/>
        <v>0</v>
      </c>
      <c r="R61" s="628">
        <f t="shared" si="4"/>
        <v>0</v>
      </c>
      <c r="S61" s="628">
        <f t="shared" si="4"/>
        <v>0</v>
      </c>
      <c r="T61" s="628">
        <f t="shared" si="4"/>
        <v>0</v>
      </c>
      <c r="U61" s="628">
        <f t="shared" si="4"/>
        <v>0</v>
      </c>
      <c r="V61" s="628">
        <f t="shared" si="4"/>
        <v>154.28571428571431</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63.529411764705898</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90.756302521008422</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2019-06-29T17:12:01Z</dcterms:modified>
</cp:coreProperties>
</file>