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C6" i="17" s="1"/>
  <c r="N92" i="18"/>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C9" s="1"/>
  <c r="D77" i="14" s="1"/>
  <c r="D9" i="59" s="1"/>
  <c r="O89" i="18"/>
  <c r="N89"/>
  <c r="B9" s="1"/>
  <c r="M89"/>
  <c r="W61"/>
  <c r="V61"/>
  <c r="U61"/>
  <c r="T61"/>
  <c r="S61"/>
  <c r="F6" i="17" s="1"/>
  <c r="R61" i="18"/>
  <c r="Q61"/>
  <c r="P61"/>
  <c r="D6" i="17" s="1"/>
  <c r="O61" i="18"/>
  <c r="N61"/>
  <c r="M61"/>
  <c r="W60"/>
  <c r="V60"/>
  <c r="U60"/>
  <c r="T60"/>
  <c r="S60"/>
  <c r="R60"/>
  <c r="Q60"/>
  <c r="P60"/>
  <c r="O60"/>
  <c r="N60"/>
  <c r="B13" i="15" s="1"/>
  <c r="M60" i="18"/>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B6"/>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F10"/>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G17"/>
  <c r="G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E20"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I15" i="48" l="1"/>
  <c r="O20" i="59"/>
  <c r="F16" i="16"/>
  <c r="J30" i="48"/>
  <c r="J32"/>
  <c r="F30"/>
  <c r="F32"/>
  <c r="N30"/>
  <c r="N32"/>
  <c r="N20" i="59"/>
  <c r="G20"/>
  <c r="C13" i="15"/>
  <c r="C16" s="1"/>
  <c r="L6" i="17"/>
  <c r="L5" s="1"/>
  <c r="D89" i="14"/>
  <c r="D19" i="59" s="1"/>
  <c r="O19" i="18"/>
  <c r="K10"/>
  <c r="N77" i="14"/>
  <c r="L10" i="18"/>
  <c r="O77" i="14"/>
  <c r="C89"/>
  <c r="C19" i="59" s="1"/>
  <c r="B89" i="14"/>
  <c r="B19" i="59" s="1"/>
  <c r="H16" i="14"/>
  <c r="B8" i="9"/>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J16" s="1"/>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L4"/>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J7" i="48"/>
  <c r="J25" s="1"/>
  <c r="P25"/>
  <c r="E5" i="17"/>
  <c r="C8"/>
  <c r="G25" i="48"/>
  <c r="I25"/>
  <c r="G90" i="14"/>
  <c r="D88"/>
  <c r="D18" i="59" s="1"/>
  <c r="H88" i="14"/>
  <c r="N90"/>
  <c r="F88"/>
  <c r="F18" i="59" s="1"/>
  <c r="E77" i="14"/>
  <c r="D20" i="18"/>
  <c r="L20"/>
  <c r="G77" i="14"/>
  <c r="E90"/>
  <c r="O90"/>
  <c r="F20" i="18"/>
  <c r="D11" i="14"/>
  <c r="C4" i="48"/>
  <c r="O18" i="18"/>
  <c r="E78" i="14" l="1"/>
  <c r="E9" i="59"/>
  <c r="E10" s="1"/>
  <c r="O78" i="14"/>
  <c r="O9" i="59"/>
  <c r="O10" s="1"/>
  <c r="G78" i="14"/>
  <c r="G9" i="59"/>
  <c r="G10" s="1"/>
  <c r="H90" i="14"/>
  <c r="H18" i="59"/>
  <c r="H20" s="1"/>
  <c r="H78" i="14"/>
  <c r="H9" i="59"/>
  <c r="H10" s="1"/>
  <c r="N78" i="14"/>
  <c r="N9" i="59"/>
  <c r="N10" s="1"/>
  <c r="I33" i="48"/>
  <c r="K15"/>
  <c r="K33"/>
  <c r="M24"/>
  <c r="M32"/>
  <c r="J27" i="14"/>
  <c r="Q89"/>
  <c r="P19" i="59" s="1"/>
  <c r="P22" i="48"/>
  <c r="L8"/>
  <c r="L22" i="16"/>
  <c r="M43" i="14" s="1"/>
  <c r="C17" i="18"/>
  <c r="C20" s="1"/>
  <c r="D10" i="14"/>
  <c r="B88"/>
  <c r="B18" i="59" s="1"/>
  <c r="C88" i="14"/>
  <c r="C18" i="59" s="1"/>
  <c r="B77" i="14"/>
  <c r="B9" i="59" s="1"/>
  <c r="J46" i="14"/>
  <c r="J61" s="1"/>
  <c r="C77"/>
  <c r="C9" i="59" s="1"/>
  <c r="L46" i="14"/>
  <c r="L61" s="1"/>
  <c r="L16"/>
  <c r="L27" s="1"/>
  <c r="B35" i="13"/>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B47" i="13"/>
  <c r="N12" i="16"/>
  <c r="J12"/>
  <c r="F12"/>
  <c r="E12"/>
  <c r="Q11" i="48"/>
  <c r="O5"/>
  <c r="R9" i="14"/>
  <c r="O29" i="48"/>
  <c r="H23"/>
  <c r="B46" i="13"/>
  <c r="E5" s="1"/>
  <c r="E8" s="1"/>
  <c r="E12" s="1"/>
  <c r="F41" i="14" s="1"/>
  <c r="L27" i="48"/>
  <c r="M30"/>
  <c r="M26"/>
  <c r="M25"/>
  <c r="C50" i="13"/>
  <c r="J5" s="1"/>
  <c r="J8" s="1"/>
  <c r="C5" i="48"/>
  <c r="F78" i="14" l="1"/>
  <c r="F8" i="59"/>
  <c r="F10" s="1"/>
  <c r="F90" i="14"/>
  <c r="F17" i="59"/>
  <c r="F20" s="1"/>
  <c r="E13" i="14"/>
  <c r="P15" i="48"/>
  <c r="P33"/>
  <c r="O8"/>
  <c r="O26" s="1"/>
  <c r="O15"/>
  <c r="P13" i="14"/>
  <c r="P16" s="1"/>
  <c r="P27" s="1"/>
  <c r="E12" i="17"/>
  <c r="F54" i="14" s="1"/>
  <c r="F56" s="1"/>
  <c r="E7" i="48"/>
  <c r="E25" s="1"/>
  <c r="M28"/>
  <c r="C15"/>
  <c r="I8" i="18"/>
  <c r="I10" s="1"/>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76" i="14"/>
  <c r="I8" i="59" s="1"/>
  <c r="I10" s="1"/>
  <c r="G58" i="22"/>
  <c r="H49" i="14" s="1"/>
  <c r="G10" i="48"/>
  <c r="G9"/>
  <c r="R18" i="14"/>
  <c r="Q13" i="48"/>
  <c r="I20" i="14"/>
  <c r="I22" s="1"/>
  <c r="I27" s="1"/>
  <c r="M18" i="22"/>
  <c r="N50" i="14" s="1"/>
  <c r="M9" i="48"/>
  <c r="M15" s="1"/>
  <c r="N20" i="14"/>
  <c r="B8" i="48"/>
  <c r="J5"/>
  <c r="J23" s="1"/>
  <c r="J20" i="15"/>
  <c r="K40" i="14" s="1"/>
  <c r="J63"/>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D90" i="14" l="1"/>
  <c r="D17" i="59"/>
  <c r="D20" s="1"/>
  <c r="I90" i="14"/>
  <c r="I17" i="59"/>
  <c r="I20" s="1"/>
  <c r="J78" i="14"/>
  <c r="J8" i="59"/>
  <c r="J10" s="1"/>
  <c r="E27" i="48"/>
  <c r="G15"/>
  <c r="O17" i="18"/>
  <c r="O20" s="1"/>
  <c r="Q76" i="14"/>
  <c r="P8" i="59" s="1"/>
  <c r="P10" s="1"/>
  <c r="D78" i="14"/>
  <c r="B76"/>
  <c r="B8" i="59" s="1"/>
  <c r="B10" s="1"/>
  <c r="F23" i="48"/>
  <c r="L23"/>
  <c r="L33" s="1"/>
  <c r="L15"/>
  <c r="B20" i="6"/>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Q90" l="1"/>
  <c r="B17" i="6" s="1"/>
  <c r="B22" s="1"/>
  <c r="P17" i="59"/>
  <c r="P20" s="1"/>
  <c r="J90" i="14"/>
  <c r="J17" i="59"/>
  <c r="J20" s="1"/>
  <c r="Q5" i="48"/>
  <c r="G33"/>
  <c r="Q9"/>
  <c r="H15"/>
  <c r="F22" i="16"/>
  <c r="G43" i="14" s="1"/>
  <c r="F8" i="48"/>
  <c r="F15" s="1"/>
  <c r="O13" i="14"/>
  <c r="O16" s="1"/>
  <c r="O27" s="1"/>
  <c r="C87"/>
  <c r="B87"/>
  <c r="G46"/>
  <c r="G61" s="1"/>
  <c r="G63" s="1"/>
  <c r="Q78" s="1"/>
  <c r="B9" i="6" s="1"/>
  <c r="I52" i="14"/>
  <c r="I61" s="1"/>
  <c r="I63" s="1"/>
  <c r="F46"/>
  <c r="F61" s="1"/>
  <c r="M46"/>
  <c r="M61" s="1"/>
  <c r="M63" s="1"/>
  <c r="B3" i="6"/>
  <c r="N22" i="16"/>
  <c r="O43" i="14" s="1"/>
  <c r="E8" i="48"/>
  <c r="E26" s="1"/>
  <c r="E33" s="1"/>
  <c r="F13" i="14"/>
  <c r="J22" i="16"/>
  <c r="K43" i="14" s="1"/>
  <c r="J8" i="48"/>
  <c r="N26"/>
  <c r="N33" s="1"/>
  <c r="N63" i="14"/>
  <c r="H63"/>
  <c r="R20"/>
  <c r="R22" s="1"/>
  <c r="H27" i="48"/>
  <c r="H33" s="1"/>
  <c r="C22" i="59" l="1"/>
  <c r="C29" i="20"/>
  <c r="C18" i="15"/>
  <c r="C20" s="1"/>
  <c r="D40" i="14" s="1"/>
  <c r="C10" i="13"/>
  <c r="C12" s="1"/>
  <c r="C10" i="17"/>
  <c r="C12" s="1"/>
  <c r="D54" i="14" s="1"/>
  <c r="D56" s="1"/>
  <c r="C20" i="16"/>
  <c r="C22" s="1"/>
  <c r="D43" i="14" s="1"/>
  <c r="C56" i="22"/>
  <c r="C58" s="1"/>
  <c r="D49" i="14" s="1"/>
  <c r="D52" s="1"/>
  <c r="C17" i="49"/>
  <c r="C16" i="22"/>
  <c r="C17" i="19"/>
  <c r="C19" s="1"/>
  <c r="D39" i="14" s="1"/>
  <c r="C90"/>
  <c r="C17" i="59"/>
  <c r="C20" s="1"/>
  <c r="B90" i="14"/>
  <c r="B17" i="59"/>
  <c r="B20" s="1"/>
  <c r="F26" i="48"/>
  <c r="F33" s="1"/>
  <c r="J26"/>
  <c r="J33" s="1"/>
  <c r="J15"/>
  <c r="E15"/>
  <c r="C17"/>
  <c r="C24" s="1"/>
  <c r="D41" i="14"/>
  <c r="O46"/>
  <c r="O61" s="1"/>
  <c r="O63" s="1"/>
  <c r="K46"/>
  <c r="K61" s="1"/>
  <c r="K63" s="1"/>
  <c r="F16"/>
  <c r="R13"/>
  <c r="R16" s="1"/>
  <c r="R27" s="1"/>
  <c r="Q8" i="48"/>
  <c r="Q15" s="1"/>
  <c r="D46" i="14" l="1"/>
  <c r="D61" s="1"/>
  <c r="D63" s="1"/>
  <c r="C28" i="48"/>
  <c r="C30"/>
  <c r="C27"/>
  <c r="C29"/>
  <c r="C32"/>
  <c r="C25"/>
  <c r="C31"/>
  <c r="C26"/>
  <c r="C22"/>
  <c r="C23"/>
  <c r="F27" i="14"/>
  <c r="F63" s="1"/>
  <c r="C78"/>
  <c r="B78"/>
  <c r="B4" i="6" s="1"/>
  <c r="B12" s="1"/>
  <c r="C12" i="59" l="1"/>
  <c r="C33" i="48"/>
  <c r="C55" i="14"/>
  <c r="R55" s="1"/>
  <c r="B56" i="22"/>
  <c r="B58" s="1"/>
  <c r="B10" i="17"/>
  <c r="B12" s="1"/>
  <c r="B16" i="22"/>
  <c r="B18" s="1"/>
  <c r="B18" i="15"/>
  <c r="B20" s="1"/>
  <c r="B20" i="16"/>
  <c r="B22" s="1"/>
  <c r="B17" i="19"/>
  <c r="B19" s="1"/>
  <c r="B29" i="20"/>
  <c r="B31" s="1"/>
  <c r="B10" i="9"/>
  <c r="B12" s="1"/>
  <c r="B10" i="13"/>
  <c r="B17" i="49"/>
  <c r="B19" s="1"/>
  <c r="C54" i="14" l="1"/>
  <c r="R54" s="1"/>
  <c r="R56" s="1"/>
  <c r="C43"/>
  <c r="R43" s="1"/>
  <c r="C49"/>
  <c r="R49" s="1"/>
  <c r="C39"/>
  <c r="R39" s="1"/>
  <c r="C42"/>
  <c r="R42" s="1"/>
  <c r="C48"/>
  <c r="R48" s="1"/>
  <c r="C50"/>
  <c r="R50"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<sst xmlns="http://schemas.openxmlformats.org/spreadsheetml/2006/main" count="2394" uniqueCount="895">
  <si>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</si>
  <si>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</si>
  <si>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</si>
  <si>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</si>
  <si>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</si>
  <si>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</si>
  <si>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</si>
  <si>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</si>
  <si>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</si>
  <si>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</si>
  <si>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</si>
  <si>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</si>
  <si>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</si>
  <si>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</si>
  <si>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</si>
  <si>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</si>
  <si>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</si>
  <si>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</si>
  <si>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</si>
  <si>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</si>
  <si>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</si>
  <si>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</si>
  <si>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</si>
  <si>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</si>
  <si>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</si>
  <si>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</si>
  <si>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</si>
  <si>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</si>
  <si>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</si>
  <si>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</si>
  <si>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</si>
  <si>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</si>
  <si>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</si>
  <si>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</si>
  <si>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</si>
  <si>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</si>
  <si>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</si>
  <si>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</si>
  <si>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</si>
  <si>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</si>
  <si>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</si>
  <si>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</si>
  <si>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</si>
  <si>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</si>
  <si>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</si>
  <si>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</si>
  <si>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</si>
  <si>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</si>
  <si>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</si>
  <si>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</si>
  <si>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</si>
  <si>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</si>
  <si>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</si>
  <si>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</si>
  <si>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</si>
  <si>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</si>
  <si>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</si>
  <si>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</si>
  <si>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</si>
  <si>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</si>
  <si>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</si>
  <si>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</si>
  <si>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</si>
  <si>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</si>
  <si>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</si>
  <si>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</si>
  <si>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</si>
  <si>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</si>
  <si>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</si>
  <si>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</si>
  <si>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</si>
  <si>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</si>
  <si>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</si>
  <si>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</si>
  <si>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</si>
  <si>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</si>
  <si>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</si>
  <si>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</si>
  <si>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</si>
  <si>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</si>
  <si>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</si>
  <si>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</si>
  <si>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</si>
  <si>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</si>
  <si>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</si>
  <si>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</si>
  <si>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</si>
  <si>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</si>
  <si>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</si>
  <si>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</si>
  <si>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</si>
  <si>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</si>
  <si>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</si>
  <si>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</si>
  <si>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</si>
  <si>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</si>
  <si>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</si>
  <si>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</si>
  <si>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</si>
  <si>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</si>
  <si>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</si>
  <si>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</si>
  <si>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</si>
  <si>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</si>
  <si>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</si>
  <si>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</si>
  <si>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</si>
  <si>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</si>
  <si>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</si>
  <si>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</si>
  <si>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</si>
  <si>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</si>
  <si>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</si>
  <si>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</si>
  <si>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</si>
  <si>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</si>
  <si>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</si>
  <si>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</si>
  <si>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</si>
  <si>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</si>
  <si>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</si>
  <si>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</si>
  <si>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</si>
  <si>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</si>
  <si>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</si>
  <si>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</si>
  <si>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</si>
  <si>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</si>
  <si>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</si>
  <si>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</si>
  <si>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</si>
  <si>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</si>
  <si>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</si>
  <si>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</si>
  <si>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</si>
  <si>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</si>
  <si>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</si>
  <si>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</si>
  <si>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</si>
  <si>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</si>
  <si>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</si>
  <si>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</si>
  <si>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</si>
  <si>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</si>
  <si>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</si>
  <si>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</si>
  <si>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</si>
  <si>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</si>
  <si>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</si>
  <si>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</si>
  <si>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</si>
  <si>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</si>
  <si>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</si>
  <si>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</si>
  <si>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</si>
  <si>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</si>
  <si>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</si>
  <si>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</si>
  <si>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</si>
  <si>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</si>
  <si>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</si>
  <si>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</si>
  <si>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</si>
  <si>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</si>
  <si>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</si>
  <si>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</si>
  <si>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</si>
  <si>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</si>
  <si>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</si>
  <si>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</si>
  <si>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</si>
  <si>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</si>
  <si>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</si>
  <si>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</si>
  <si>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</si>
  <si>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</si>
  <si>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</si>
  <si>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</si>
  <si>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</si>
  <si>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</si>
  <si>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</si>
  <si>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</si>
  <si>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</si>
  <si>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</si>
  <si>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</si>
  <si>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</si>
  <si>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</si>
  <si>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</si>
  <si>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</si>
  <si>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</si>
  <si>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</si>
  <si>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</si>
  <si>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</si>
  <si>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</si>
  <si>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</si>
  <si>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</si>
  <si>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</si>
  <si>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</si>
  <si>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</si>
  <si>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</si>
  <si>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</si>
  <si>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</si>
  <si>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</si>
  <si>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</si>
  <si>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</si>
  <si>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</si>
  <si>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</si>
  <si>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</si>
  <si>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</si>
  <si>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</si>
  <si>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</si>
  <si>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</si>
  <si>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</si>
  <si>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</si>
  <si>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</si>
  <si>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</si>
  <si>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</si>
  <si>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</si>
  <si>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</si>
  <si>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</si>
  <si>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</si>
  <si>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</si>
  <si>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</si>
  <si>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</si>
  <si>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</si>
  <si>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</si>
  <si>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</si>
  <si>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</si>
  <si>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</si>
  <si>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</si>
  <si>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</si>
  <si>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</si>
  <si>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</si>
  <si>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</si>
  <si>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</si>
  <si>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</si>
  <si>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</si>
  <si>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</si>
  <si>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</si>
  <si>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</si>
  <si>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</si>
  <si>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</si>
  <si>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</si>
  <si>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</si>
  <si>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</si>
  <si>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</si>
  <si>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</si>
  <si>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</si>
  <si>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</si>
  <si>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</si>
  <si>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</si>
  <si>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</si>
  <si>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</si>
  <si>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</si>
  <si>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</si>
  <si>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</si>
  <si>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</si>
  <si>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</si>
  <si>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</si>
  <si>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</si>
  <si>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</si>
  <si>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</si>
  <si>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</si>
  <si>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</si>
  <si>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</si>
  <si>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</si>
  <si>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</si>
  <si>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</si>
  <si>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</si>
  <si>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</si>
  <si>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</si>
  <si>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</si>
  <si>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</si>
  <si>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</si>
  <si>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</si>
  <si>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</si>
  <si>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</si>
  <si>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</si>
  <si>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</si>
  <si>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</si>
  <si>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</si>
  <si>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</si>
  <si>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</si>
  <si>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</si>
  <si>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</si>
  <si>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</si>
  <si>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</si>
  <si>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</si>
  <si>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</si>
  <si>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</si>
  <si>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</si>
  <si>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</si>
  <si>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</si>
  <si>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</si>
  <si>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</si>
  <si>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</si>
  <si>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</si>
  <si>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</si>
  <si>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</si>
  <si>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</si>
  <si>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</si>
  <si>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</si>
  <si>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</si>
  <si>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</si>
  <si>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</si>
  <si>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</si>
  <si>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</si>
  <si>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</si>
  <si>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</si>
  <si>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</si>
  <si>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</si>
  <si>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</si>
  <si>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</si>
  <si>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</si>
  <si>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</si>
  <si>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</si>
  <si>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</si>
  <si>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</si>
  <si>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</si>
  <si>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</si>
  <si>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</si>
  <si>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</si>
  <si>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</si>
  <si>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</si>
  <si>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</si>
  <si>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</si>
  <si>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</si>
  <si>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</si>
  <si>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</si>
  <si>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</si>
  <si>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</si>
  <si>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</si>
  <si>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</si>
  <si>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</si>
  <si>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</si>
  <si>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</si>
  <si>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</si>
  <si>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</si>
  <si>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</si>
  <si>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</si>
  <si>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</si>
  <si>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</si>
  <si>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</si>
  <si>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</si>
  <si>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</si>
  <si>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</si>
  <si>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</si>
  <si>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</si>
  <si>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</si>
  <si>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</si>
  <si>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</si>
  <si>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</si>
  <si>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</si>
  <si>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</si>
  <si>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</si>
  <si>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</si>
  <si>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</si>
  <si>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</si>
  <si>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</si>
  <si>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</si>
  <si>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</si>
  <si>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</si>
  <si>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</si>
  <si>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</si>
  <si>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</si>
  <si>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</si>
  <si>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</si>
  <si>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</si>
  <si>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</si>
  <si>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</si>
  <si>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</si>
  <si>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</si>
  <si>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</si>
  <si>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</si>
  <si>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</si>
  <si>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</si>
  <si>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</si>
  <si>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</si>
  <si>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</si>
  <si>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</si>
  <si>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</si>
  <si>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</si>
  <si>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</si>
  <si>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</si>
  <si>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</si>
  <si>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</si>
  <si>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</si>
  <si>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</si>
  <si>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</si>
  <si>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</si>
  <si>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</si>
  <si>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</si>
  <si>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</si>
  <si>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</si>
  <si>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</si>
  <si>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</si>
  <si>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</si>
  <si>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</si>
  <si>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</si>
  <si>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</si>
  <si>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</si>
  <si>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</si>
  <si>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</si>
  <si>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</si>
  <si>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</si>
  <si>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</si>
  <si>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</si>
  <si>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</si>
  <si>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</si>
  <si>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</si>
  <si>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</si>
  <si>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</si>
  <si>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</si>
  <si>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</si>
  <si>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</si>
  <si>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</si>
  <si>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</si>
  <si>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</si>
  <si>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</si>
  <si>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</si>
  <si>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</si>
  <si>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</si>
  <si>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</si>
  <si>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</si>
  <si>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</si>
  <si>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</si>
  <si>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</si>
  <si>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</si>
  <si>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</si>
  <si>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</si>
  <si>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</si>
  <si>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</si>
  <si>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</si>
  <si>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</si>
  <si>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</si>
  <si>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</si>
  <si>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</si>
  <si>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</si>
  <si>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</si>
  <si>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</si>
  <si>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</si>
  <si>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</si>
  <si>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</si>
  <si>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</si>
  <si>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</si>
  <si>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</si>
  <si>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</si>
  <si>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</si>
  <si>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</si>
  <si>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</si>
  <si>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</si>
  <si>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</si>
  <si>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</si>
  <si>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</si>
  <si>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</si>
  <si>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</si>
  <si>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</si>
  <si>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</si>
  <si>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</si>
  <si>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</si>
  <si>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</si>
  <si>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</si>
  <si>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</si>
  <si>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</si>
  <si>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</si>
  <si>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</si>
  <si>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</si>
  <si>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</si>
  <si>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</si>
  <si>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</si>
  <si>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</si>
  <si>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</si>
  <si>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</si>
  <si>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</si>
  <si>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</si>
  <si>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</si>
  <si>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</si>
  <si>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</si>
  <si>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</si>
  <si>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</si>
  <si>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</si>
  <si>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</si>
  <si>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</si>
  <si>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</si>
  <si>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</si>
  <si>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</si>
  <si>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</si>
  <si>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</si>
  <si>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</si>
  <si>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</si>
  <si>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</si>
  <si>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</si>
  <si>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</si>
  <si>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</si>
  <si>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</si>
  <si>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</si>
  <si>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</si>
  <si>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</si>
  <si>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</si>
  <si>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</si>
  <si>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</si>
  <si>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</si>
  <si>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</si>
  <si>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</si>
  <si>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</si>
  <si>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</si>
  <si>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</si>
  <si>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</si>
  <si>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</si>
  <si>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</si>
  <si>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</si>
  <si>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</si>
  <si>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</si>
  <si>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</si>
  <si>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</si>
  <si>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</si>
  <si>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</si>
  <si>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</si>
  <si>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</si>
  <si>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</si>
  <si>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</si>
  <si>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</si>
  <si>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</si>
  <si>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</si>
  <si>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</si>
  <si>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</si>
  <si>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</si>
  <si>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</si>
  <si>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</si>
  <si>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</si>
  <si>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</si>
  <si>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</si>
  <si>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</si>
  <si>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</si>
  <si>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</si>
  <si>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</si>
  <si>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</si>
  <si>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</si>
  <si>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</si>
  <si>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</si>
  <si>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</si>
  <si>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</si>
  <si>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</si>
  <si>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</si>
  <si>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</si>
  <si>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</si>
  <si>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</si>
  <si>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</si>
  <si>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</si>
  <si>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</si>
  <si>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</si>
  <si>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</si>
  <si>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</si>
  <si>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</si>
  <si>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</si>
  <si>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</si>
  <si>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</si>
  <si>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</si>
  <si>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</si>
  <si>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</si>
  <si>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</si>
  <si>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</si>
  <si>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</si>
  <si>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</si>
  <si>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</si>
  <si>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</si>
  <si>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</si>
  <si>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</si>
  <si>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</si>
  <si>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</si>
  <si>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</si>
  <si>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</si>
  <si>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</si>
  <si>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</si>
  <si>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</si>
  <si>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</si>
  <si>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</si>
  <si>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</si>
  <si>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</si>
  <si>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</si>
  <si>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</si>
  <si>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</si>
  <si>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</si>
  <si>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</si>
  <si>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</si>
  <si>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</si>
  <si>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</si>
  <si>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</si>
  <si>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</si>
  <si>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</si>
  <si>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</si>
  <si>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</si>
  <si>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</si>
  <si>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</si>
  <si>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</si>
  <si>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</si>
  <si>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</si>
  <si>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</si>
  <si>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</si>
  <si>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</si>
  <si>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</si>
  <si>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</si>
  <si>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</si>
  <si>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</si>
  <si>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</si>
  <si>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</si>
  <si>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</si>
  <si>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</si>
  <si>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</si>
  <si>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</si>
  <si>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</si>
  <si>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</si>
  <si>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</si>
  <si>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</si>
  <si>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</si>
  <si>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</si>
  <si>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</si>
  <si>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</si>
  <si>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</si>
  <si>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</si>
  <si>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</si>
  <si>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</si>
  <si>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</si>
  <si>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</si>
  <si>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</si>
  <si>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</si>
  <si>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</si>
  <si>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</si>
  <si>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</si>
  <si>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</si>
  <si>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</si>
  <si>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</si>
  <si>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</si>
  <si>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</si>
  <si>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</si>
  <si>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</si>
  <si>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</si>
  <si>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</si>
  <si>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</si>
  <si>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</si>
  <si>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</si>
  <si>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</si>
  <si>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</si>
  <si>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</si>
  <si>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</si>
  <si>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</si>
  <si>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</si>
  <si>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</si>
  <si>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</si>
  <si>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</si>
  <si>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</si>
  <si>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</si>
  <si>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</si>
  <si>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</si>
  <si>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</si>
  <si>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</si>
  <si>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</si>
  <si>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</si>
  <si>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</si>
  <si>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</si>
  <si>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</si>
  <si>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</si>
  <si>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</si>
  <si>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</si>
  <si>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</si>
  <si>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</si>
  <si>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</si>
  <si>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</si>
  <si>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</si>
  <si>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</si>
  <si>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</si>
  <si>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</si>
  <si>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</si>
  <si>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</si>
  <si>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</si>
  <si>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</si>
  <si>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</si>
  <si>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</si>
  <si>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</si>
  <si>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</si>
  <si>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</si>
  <si>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</si>
  <si>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</si>
  <si>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</si>
  <si>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</si>
  <si>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</si>
  <si>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</si>
  <si>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</si>
  <si>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</si>
  <si>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</si>
  <si>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</si>
  <si>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</si>
  <si>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</si>
  <si>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</si>
  <si>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</si>
  <si>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</si>
  <si>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</si>
  <si>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</si>
  <si>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</si>
  <si>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</si>
  <si>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</si>
  <si>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</si>
  <si>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</si>
  <si>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</si>
  <si>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</si>
  <si>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</si>
  <si>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</si>
  <si>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</si>
  <si>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</si>
  <si>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</si>
  <si>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</si>
  <si>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</si>
  <si>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</si>
  <si>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</si>
  <si>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</si>
  <si>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</si>
  <si>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</si>
  <si>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</si>
  <si>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</si>
  <si>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</si>
  <si>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</si>
  <si>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</si>
  <si>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</si>
  <si>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</si>
  <si>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</si>
  <si>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</si>
  <si>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</si>
  <si>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</si>
  <si>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</si>
  <si>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</si>
  <si>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</si>
  <si>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</si>
  <si>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</si>
  <si>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</si>
  <si>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</si>
  <si>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</si>
  <si>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</si>
  <si>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</si>
  <si>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</si>
  <si>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</si>
  <si>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</si>
  <si>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</si>
  <si>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</si>
  <si>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</si>
  <si>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</si>
  <si>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</si>
  <si>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</si>
  <si>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</si>
  <si>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</si>
  <si>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</si>
  <si>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</si>
  <si>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</si>
  <si>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</si>
  <si>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</si>
  <si>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</si>
  <si>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</si>
  <si>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</si>
  <si>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</si>
  <si>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</si>
  <si>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</si>
  <si>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</si>
  <si>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</si>
  <si>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</si>
  <si>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</si>
  <si>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</si>
  <si>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</si>
  <si>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</si>
  <si>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</si>
  <si>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</si>
  <si>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</si>
  <si>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</si>
  <si>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</si>
  <si>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</si>
  <si>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</si>
  <si>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</si>
  <si>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</si>
  <si>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</si>
  <si>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</si>
  <si>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</si>
  <si>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versie: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</si>
  <si>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</si>
  <si>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</si>
  <si>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</si>
  <si>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</si>
  <si>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</si>
  <si>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</si>
  <si>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</si>
  <si>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</si>
  <si>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</si>
  <si>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</si>
  <si>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</si>
  <si>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</si>
  <si>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</si>
  <si>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</si>
  <si>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</si>
  <si>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</si>
  <si>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</si>
  <si>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</si>
  <si>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</si>
  <si>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</si>
  <si>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</si>
  <si>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</si>
  <si>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</si>
  <si>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</si>
  <si>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</si>
  <si>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</si>
  <si>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</si>
  <si>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</si>
  <si>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</si>
  <si>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</si>
  <si>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</si>
  <si>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</si>
  <si>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</si>
  <si>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</si>
  <si>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</si>
  <si>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</si>
  <si>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</si>
  <si>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</si>
  <si>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</si>
  <si>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</si>
  <si>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</si>
  <si>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</si>
  <si>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</si>
  <si>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</si>
  <si>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</si>
  <si>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</si>
  <si>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</si>
  <si>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</si>
  <si>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</si>
  <si>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</si>
  <si>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</si>
  <si>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</si>
  <si>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</si>
  <si>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</si>
  <si>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</si>
  <si>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</si>
  <si>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</si>
  <si>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</si>
  <si>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</si>
  <si>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</si>
  <si>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</si>
  <si>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</si>
  <si>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</si>
  <si>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</si>
  <si>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</si>
  <si>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</si>
  <si>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</si>
  <si>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</si>
  <si>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</si>
  <si>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</si>
  <si>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</si>
  <si>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</si>
  <si>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</si>
  <si>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</si>
  <si>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</si>
  <si>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</si>
  <si>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</si>
  <si>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</si>
  <si>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</si>
  <si>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</si>
  <si>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</si>
  <si>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</si>
  <si>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</si>
  <si>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</si>
  <si>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</si>
  <si>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</si>
  <si>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</si>
  <si>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</si>
  <si>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</si>
  <si>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</si>
  <si>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</si>
  <si>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</si>
  <si>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</si>
  <si>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</si>
  <si>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72003</t>
  </si>
  <si>
    <t>BOCHOLT</t>
  </si>
  <si>
    <t>Mestbank (maart 2019)</t>
  </si>
  <si>
    <t>Fluvius (februari 2019)</t>
  </si>
  <si>
    <t>referentietaak LNE (2017); Jaarverslag De Lijn (2018)</t>
  </si>
  <si>
    <t>VEA (30 april 2019)</t>
  </si>
  <si>
    <t>VEA (mei 2018)</t>
  </si>
  <si>
    <t>VEA (mei 2019)</t>
  </si>
  <si>
    <t>Biolectric nv</t>
  </si>
  <si>
    <t>Jan de Malschelaan 4 B, 9140 Temse</t>
  </si>
  <si>
    <t>WKK-0445 Maurits Ceyssens</t>
  </si>
  <si>
    <t>interne verbrandingsmotor</t>
  </si>
  <si>
    <t>WKK interne verbrandinsgmotor (gas)</t>
  </si>
  <si>
    <t>Brogelerweg 121 , 3950 Bocholt</t>
  </si>
  <si>
    <t>Inter-Energa</t>
  </si>
  <si>
    <t>WKK-0481 Hendrix</t>
  </si>
  <si>
    <t>Goolderstraat 3 A, 3950 Bocholt</t>
  </si>
  <si>
    <t>NPG Bocholt NV</t>
  </si>
  <si>
    <t>Maastrichtersteenweg 523 2, 3700 Tongeren</t>
  </si>
  <si>
    <t>WKK-0536 NPG Bocholt</t>
  </si>
  <si>
    <t>Kreyelerstraat 7 , 3950 Bocholt</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</si>
</sst>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115536.74624565172</c:v>
                </c:pt>
                <c:pt idx="1">
                  <c:v>53549.292640913693</c:v>
                </c:pt>
                <c:pt idx="2">
                  <c:v>960.88699999999994</c:v>
                </c:pt>
                <c:pt idx="3">
                  <c:v>17283.913295439132</c:v>
                </c:pt>
                <c:pt idx="4">
                  <c:v>137338.55974839177</c:v>
                </c:pt>
                <c:pt idx="5">
                  <c:v>59835.208470919664</c:v>
                </c:pt>
                <c:pt idx="6">
                  <c:v>966.31264506452987</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76624640"/>
        <c:axId val="76626176"/>
      </c:barChart>
      <c:catAx>
        <c:axId val="76624640"/>
        <c:scaling>
          <c:orientation val="minMax"/>
        </c:scaling>
        <c:axPos val="b"/>
        <c:numFmt formatCode="General" sourceLinked="0"/>
        <c:tickLblPos val="nextTo"/>
        <c:crossAx val="76626176"/>
        <c:crosses val="autoZero"/>
        <c:auto val="1"/>
        <c:lblAlgn val="ctr"/>
        <c:lblOffset val="100"/>
      </c:catAx>
      <c:valAx>
        <c:axId val="76626176"/>
        <c:scaling>
          <c:orientation val="minMax"/>
        </c:scaling>
        <c:axPos val="l"/>
        <c:majorGridlines/>
        <c:numFmt formatCode="#,##0" sourceLinked="1"/>
        <c:tickLblPos val="nextTo"/>
        <c:crossAx val="7662464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115536.74624565172</c:v>
                </c:pt>
                <c:pt idx="1">
                  <c:v>53549.292640913693</c:v>
                </c:pt>
                <c:pt idx="2">
                  <c:v>960.88699999999994</c:v>
                </c:pt>
                <c:pt idx="3">
                  <c:v>17283.913295439132</c:v>
                </c:pt>
                <c:pt idx="4">
                  <c:v>137338.55974839177</c:v>
                </c:pt>
                <c:pt idx="5">
                  <c:v>59835.208470919664</c:v>
                </c:pt>
                <c:pt idx="6">
                  <c:v>966.31264506452987</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20889.246731626885</c:v>
                </c:pt>
                <c:pt idx="1">
                  <c:v>6309.8074891886954</c:v>
                </c:pt>
                <c:pt idx="2">
                  <c:v>167.56778342463159</c:v>
                </c:pt>
                <c:pt idx="3">
                  <c:v>4330.6739935699497</c:v>
                </c:pt>
                <c:pt idx="4">
                  <c:v>26082.392648809167</c:v>
                </c:pt>
                <c:pt idx="5">
                  <c:v>14868.568020281171</c:v>
                </c:pt>
                <c:pt idx="6">
                  <c:v>244.42055475528215</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76848512"/>
        <c:axId val="76854400"/>
      </c:barChart>
      <c:catAx>
        <c:axId val="76848512"/>
        <c:scaling>
          <c:orientation val="minMax"/>
        </c:scaling>
        <c:axPos val="b"/>
        <c:numFmt formatCode="General" sourceLinked="0"/>
        <c:tickLblPos val="nextTo"/>
        <c:crossAx val="76854400"/>
        <c:crosses val="autoZero"/>
        <c:auto val="1"/>
        <c:lblAlgn val="ctr"/>
        <c:lblOffset val="100"/>
      </c:catAx>
      <c:valAx>
        <c:axId val="76854400"/>
        <c:scaling>
          <c:orientation val="minMax"/>
        </c:scaling>
        <c:axPos val="l"/>
        <c:majorGridlines/>
        <c:numFmt formatCode="#,##0" sourceLinked="1"/>
        <c:tickLblPos val="nextTo"/>
        <c:crossAx val="7684851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20889.246731626885</c:v>
                </c:pt>
                <c:pt idx="1">
                  <c:v>6309.8074891886954</c:v>
                </c:pt>
                <c:pt idx="2">
                  <c:v>167.56778342463159</c:v>
                </c:pt>
                <c:pt idx="3">
                  <c:v>4330.6739935699497</c:v>
                </c:pt>
                <c:pt idx="4">
                  <c:v>26082.392648809167</c:v>
                </c:pt>
                <c:pt idx="5">
                  <c:v>14868.568020281171</c:v>
                </c:pt>
                <c:pt idx="6">
                  <c:v>244.42055475528215</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13"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779</v>
      </c>
      <c r="B4" s="106"/>
      <c r="C4" s="107"/>
    </row>
    <row r="5" spans="1:7" s="413" customFormat="1" ht="15.75" customHeight="1">
      <c r="A5" s="410" t="s">
        <v>0</v>
      </c>
      <c r="B5" s="411"/>
      <c r="C5" s="412"/>
    </row>
    <row r="6" spans="1:7" s="413" customFormat="1" ht="15" customHeight="1">
      <c r="A6" s="414" t="str">
        <f>txtNIS</f>
        <v>72003</v>
      </c>
      <c r="B6" s="415"/>
      <c r="C6" s="416"/>
    </row>
    <row r="7" spans="1:7" s="413" customFormat="1" ht="15.75" customHeight="1">
      <c r="A7" s="417" t="str">
        <f>txtMunicipality</f>
        <v>BOCHOLT</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780</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781</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0.17438864655743244</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0.17438864655743244</v>
      </c>
      <c r="C29" s="528">
        <f ca="1">'EF ele_warmte'!B22</f>
        <v>0</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847</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72003</v>
      </c>
      <c r="B1" s="332"/>
      <c r="C1" s="332"/>
      <c r="D1" s="332"/>
      <c r="E1" s="332"/>
      <c r="F1" s="333"/>
    </row>
    <row r="3" spans="1:6" ht="19.5">
      <c r="A3" s="335" t="s">
        <v>0</v>
      </c>
    </row>
    <row r="4" spans="1:6" ht="22.5">
      <c r="A4" s="1305" t="s">
        <v>874</v>
      </c>
    </row>
    <row r="5" spans="1:6" ht="22.5">
      <c r="A5" s="1305" t="s">
        <v>875</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5303</v>
      </c>
      <c r="C9" s="342"/>
      <c r="D9" s="342"/>
      <c r="E9" s="342"/>
      <c r="F9" s="342"/>
    </row>
    <row r="10" spans="1:6">
      <c r="A10" s="343"/>
    </row>
    <row r="11" spans="1:6" ht="15.75" thickBot="1">
      <c r="A11" s="343"/>
    </row>
    <row r="12" spans="1:6" ht="20.25" thickBot="1">
      <c r="A12" s="336" t="s">
        <v>3</v>
      </c>
      <c r="B12" s="337" t="s">
        <v>393</v>
      </c>
      <c r="C12" s="337" t="s">
        <v>876</v>
      </c>
      <c r="D12" s="337"/>
      <c r="E12" s="337"/>
      <c r="F12" s="344"/>
    </row>
    <row r="13" spans="1:6" ht="16.5" thickTop="1" thickBot="1">
      <c r="A13" s="345" t="s">
        <v>4</v>
      </c>
      <c r="B13" s="346" t="s">
        <v>5</v>
      </c>
      <c r="C13" s="346"/>
      <c r="D13" s="346"/>
      <c r="E13" s="346"/>
      <c r="F13" s="347"/>
    </row>
    <row r="14" spans="1:6">
      <c r="A14" s="348" t="s">
        <v>669</v>
      </c>
      <c r="B14" s="334">
        <v>3109.59</v>
      </c>
    </row>
    <row r="15" spans="1:6">
      <c r="A15" s="348" t="s">
        <v>183</v>
      </c>
      <c r="B15" s="334">
        <v>69</v>
      </c>
    </row>
    <row r="16" spans="1:6">
      <c r="A16" s="348" t="s">
        <v>6</v>
      </c>
      <c r="B16" s="334">
        <v>3534</v>
      </c>
    </row>
    <row r="17" spans="1:6">
      <c r="A17" s="348" t="s">
        <v>7</v>
      </c>
      <c r="B17" s="334">
        <v>353</v>
      </c>
    </row>
    <row r="18" spans="1:6">
      <c r="A18" s="348" t="s">
        <v>8</v>
      </c>
      <c r="B18" s="334">
        <v>1918</v>
      </c>
    </row>
    <row r="19" spans="1:6">
      <c r="A19" s="348" t="s">
        <v>9</v>
      </c>
      <c r="B19" s="334">
        <v>2126</v>
      </c>
    </row>
    <row r="20" spans="1:6">
      <c r="A20" s="348" t="s">
        <v>10</v>
      </c>
      <c r="B20" s="334">
        <v>968</v>
      </c>
    </row>
    <row r="21" spans="1:6">
      <c r="A21" s="348" t="s">
        <v>11</v>
      </c>
      <c r="B21" s="334">
        <v>9542</v>
      </c>
    </row>
    <row r="22" spans="1:6">
      <c r="A22" s="348" t="s">
        <v>12</v>
      </c>
      <c r="B22" s="334">
        <v>22072</v>
      </c>
    </row>
    <row r="23" spans="1:6">
      <c r="A23" s="348" t="s">
        <v>13</v>
      </c>
      <c r="B23" s="334">
        <v>441</v>
      </c>
    </row>
    <row r="24" spans="1:6">
      <c r="A24" s="348" t="s">
        <v>14</v>
      </c>
      <c r="B24" s="334">
        <v>110</v>
      </c>
    </row>
    <row r="25" spans="1:6">
      <c r="A25" s="348" t="s">
        <v>15</v>
      </c>
      <c r="B25" s="334">
        <v>2416</v>
      </c>
    </row>
    <row r="26" spans="1:6">
      <c r="A26" s="348" t="s">
        <v>16</v>
      </c>
      <c r="B26" s="334">
        <v>43</v>
      </c>
    </row>
    <row r="27" spans="1:6">
      <c r="A27" s="348" t="s">
        <v>17</v>
      </c>
      <c r="B27" s="334">
        <v>15</v>
      </c>
    </row>
    <row r="28" spans="1:6" s="356" customFormat="1">
      <c r="A28" s="355" t="s">
        <v>18</v>
      </c>
      <c r="B28" s="355">
        <v>174033</v>
      </c>
    </row>
    <row r="29" spans="1:6">
      <c r="A29" s="355" t="s">
        <v>713</v>
      </c>
      <c r="B29" s="355">
        <v>396</v>
      </c>
      <c r="C29" s="356"/>
      <c r="D29" s="356"/>
      <c r="E29" s="356"/>
      <c r="F29" s="356"/>
    </row>
    <row r="30" spans="1:6">
      <c r="A30" s="341" t="s">
        <v>714</v>
      </c>
      <c r="B30" s="341">
        <v>114</v>
      </c>
      <c r="C30" s="342"/>
      <c r="D30" s="342"/>
      <c r="E30" s="342"/>
      <c r="F30" s="342"/>
    </row>
    <row r="31" spans="1:6" ht="15.75" thickBot="1">
      <c r="A31" s="343"/>
    </row>
    <row r="32" spans="1:6" ht="20.25" thickBot="1">
      <c r="A32" s="336" t="s">
        <v>19</v>
      </c>
      <c r="B32" s="337" t="s">
        <v>393</v>
      </c>
      <c r="C32" s="337" t="s">
        <v>877</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10</v>
      </c>
      <c r="F36" s="334">
        <v>34502</v>
      </c>
    </row>
    <row r="37" spans="1:6">
      <c r="A37" s="348" t="s">
        <v>24</v>
      </c>
      <c r="B37" s="348" t="s">
        <v>27</v>
      </c>
      <c r="C37" s="334">
        <v>0</v>
      </c>
      <c r="D37" s="334">
        <v>0</v>
      </c>
      <c r="E37" s="334">
        <v>0</v>
      </c>
      <c r="F37" s="334">
        <v>0</v>
      </c>
    </row>
    <row r="38" spans="1:6">
      <c r="A38" s="348" t="s">
        <v>24</v>
      </c>
      <c r="B38" s="348" t="s">
        <v>28</v>
      </c>
      <c r="C38" s="334">
        <v>0</v>
      </c>
      <c r="D38" s="334">
        <v>0</v>
      </c>
      <c r="E38" s="334">
        <v>1</v>
      </c>
      <c r="F38" s="334">
        <v>3133</v>
      </c>
    </row>
    <row r="39" spans="1:6">
      <c r="A39" s="348" t="s">
        <v>29</v>
      </c>
      <c r="B39" s="348" t="s">
        <v>30</v>
      </c>
      <c r="C39" s="334">
        <v>2620</v>
      </c>
      <c r="D39" s="334">
        <v>37779182.350000001</v>
      </c>
      <c r="E39" s="334">
        <v>5263</v>
      </c>
      <c r="F39" s="334">
        <v>17234865.5</v>
      </c>
    </row>
    <row r="40" spans="1:6">
      <c r="A40" s="348" t="s">
        <v>29</v>
      </c>
      <c r="B40" s="348" t="s">
        <v>28</v>
      </c>
      <c r="C40" s="334">
        <v>0</v>
      </c>
      <c r="D40" s="334">
        <v>0</v>
      </c>
      <c r="E40" s="334">
        <v>0</v>
      </c>
      <c r="F40" s="334">
        <v>0</v>
      </c>
    </row>
    <row r="41" spans="1:6">
      <c r="A41" s="348" t="s">
        <v>31</v>
      </c>
      <c r="B41" s="348" t="s">
        <v>32</v>
      </c>
      <c r="C41" s="334">
        <v>50</v>
      </c>
      <c r="D41" s="334">
        <v>1188792.3999999999</v>
      </c>
      <c r="E41" s="334">
        <v>119</v>
      </c>
      <c r="F41" s="334">
        <v>4568592.8</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8</v>
      </c>
      <c r="D44" s="334">
        <v>4000408.2</v>
      </c>
      <c r="E44" s="334">
        <v>25</v>
      </c>
      <c r="F44" s="334">
        <v>3379395.307</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0</v>
      </c>
      <c r="D47" s="334">
        <v>0</v>
      </c>
      <c r="E47" s="334">
        <v>0</v>
      </c>
      <c r="F47" s="334">
        <v>0</v>
      </c>
    </row>
    <row r="48" spans="1:6">
      <c r="A48" s="348" t="s">
        <v>31</v>
      </c>
      <c r="B48" s="348" t="s">
        <v>28</v>
      </c>
      <c r="C48" s="334">
        <v>5</v>
      </c>
      <c r="D48" s="334">
        <v>181609</v>
      </c>
      <c r="E48" s="334">
        <v>3</v>
      </c>
      <c r="F48" s="334">
        <v>95374</v>
      </c>
    </row>
    <row r="49" spans="1:6">
      <c r="A49" s="348" t="s">
        <v>31</v>
      </c>
      <c r="B49" s="348" t="s">
        <v>39</v>
      </c>
      <c r="C49" s="334">
        <v>0</v>
      </c>
      <c r="D49" s="334">
        <v>0</v>
      </c>
      <c r="E49" s="334">
        <v>5</v>
      </c>
      <c r="F49" s="334">
        <v>87914</v>
      </c>
    </row>
    <row r="50" spans="1:6">
      <c r="A50" s="348" t="s">
        <v>31</v>
      </c>
      <c r="B50" s="348" t="s">
        <v>40</v>
      </c>
      <c r="C50" s="334">
        <v>8</v>
      </c>
      <c r="D50" s="334">
        <v>74183187.900000006</v>
      </c>
      <c r="E50" s="334">
        <v>11</v>
      </c>
      <c r="F50" s="334">
        <v>46362534.299999997</v>
      </c>
    </row>
    <row r="51" spans="1:6">
      <c r="A51" s="348" t="s">
        <v>41</v>
      </c>
      <c r="B51" s="348" t="s">
        <v>42</v>
      </c>
      <c r="C51" s="334">
        <v>4</v>
      </c>
      <c r="D51" s="334">
        <v>67796</v>
      </c>
      <c r="E51" s="334">
        <v>139</v>
      </c>
      <c r="F51" s="334">
        <v>3532050.55</v>
      </c>
    </row>
    <row r="52" spans="1:6">
      <c r="A52" s="348" t="s">
        <v>41</v>
      </c>
      <c r="B52" s="348" t="s">
        <v>28</v>
      </c>
      <c r="C52" s="334">
        <v>0</v>
      </c>
      <c r="D52" s="334">
        <v>0</v>
      </c>
      <c r="E52" s="334">
        <v>0</v>
      </c>
      <c r="F52" s="334">
        <v>0</v>
      </c>
    </row>
    <row r="53" spans="1:6">
      <c r="A53" s="348" t="s">
        <v>43</v>
      </c>
      <c r="B53" s="348" t="s">
        <v>44</v>
      </c>
      <c r="C53" s="334">
        <v>39</v>
      </c>
      <c r="D53" s="334">
        <v>788308.45</v>
      </c>
      <c r="E53" s="334">
        <v>77</v>
      </c>
      <c r="F53" s="334">
        <v>242677.15</v>
      </c>
    </row>
    <row r="54" spans="1:6">
      <c r="A54" s="348" t="s">
        <v>45</v>
      </c>
      <c r="B54" s="348" t="s">
        <v>46</v>
      </c>
      <c r="C54" s="334">
        <v>0</v>
      </c>
      <c r="D54" s="334">
        <v>0</v>
      </c>
      <c r="E54" s="334">
        <v>3</v>
      </c>
      <c r="F54" s="334">
        <v>960887</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25</v>
      </c>
      <c r="D57" s="334">
        <v>1350656.4</v>
      </c>
      <c r="E57" s="334">
        <v>88</v>
      </c>
      <c r="F57" s="334">
        <v>1817476</v>
      </c>
    </row>
    <row r="58" spans="1:6">
      <c r="A58" s="348" t="s">
        <v>48</v>
      </c>
      <c r="B58" s="348" t="s">
        <v>50</v>
      </c>
      <c r="C58" s="334">
        <v>15</v>
      </c>
      <c r="D58" s="334">
        <v>361451</v>
      </c>
      <c r="E58" s="334">
        <v>25</v>
      </c>
      <c r="F58" s="334">
        <v>134317</v>
      </c>
    </row>
    <row r="59" spans="1:6">
      <c r="A59" s="348" t="s">
        <v>48</v>
      </c>
      <c r="B59" s="348" t="s">
        <v>51</v>
      </c>
      <c r="C59" s="334">
        <v>50</v>
      </c>
      <c r="D59" s="334">
        <v>1950634</v>
      </c>
      <c r="E59" s="334">
        <v>123</v>
      </c>
      <c r="F59" s="334">
        <v>3617497.25</v>
      </c>
    </row>
    <row r="60" spans="1:6">
      <c r="A60" s="348" t="s">
        <v>48</v>
      </c>
      <c r="B60" s="348" t="s">
        <v>52</v>
      </c>
      <c r="C60" s="334">
        <v>27</v>
      </c>
      <c r="D60" s="334">
        <v>885997</v>
      </c>
      <c r="E60" s="334">
        <v>66</v>
      </c>
      <c r="F60" s="334">
        <v>1869356.8</v>
      </c>
    </row>
    <row r="61" spans="1:6">
      <c r="A61" s="348" t="s">
        <v>48</v>
      </c>
      <c r="B61" s="348" t="s">
        <v>53</v>
      </c>
      <c r="C61" s="334">
        <v>56</v>
      </c>
      <c r="D61" s="334">
        <v>2090669.85</v>
      </c>
      <c r="E61" s="334">
        <v>160</v>
      </c>
      <c r="F61" s="334">
        <v>4978641.9000000004</v>
      </c>
    </row>
    <row r="62" spans="1:6">
      <c r="A62" s="348" t="s">
        <v>48</v>
      </c>
      <c r="B62" s="348" t="s">
        <v>54</v>
      </c>
      <c r="C62" s="334">
        <v>11</v>
      </c>
      <c r="D62" s="334">
        <v>675807</v>
      </c>
      <c r="E62" s="334">
        <v>13</v>
      </c>
      <c r="F62" s="334">
        <v>227352</v>
      </c>
    </row>
    <row r="63" spans="1:6">
      <c r="A63" s="348" t="s">
        <v>48</v>
      </c>
      <c r="B63" s="348" t="s">
        <v>28</v>
      </c>
      <c r="C63" s="334">
        <v>0</v>
      </c>
      <c r="D63" s="334">
        <v>0</v>
      </c>
      <c r="E63" s="334">
        <v>0</v>
      </c>
      <c r="F63" s="334">
        <v>0</v>
      </c>
    </row>
    <row r="64" spans="1:6">
      <c r="A64" s="348" t="s">
        <v>55</v>
      </c>
      <c r="B64" s="348" t="s">
        <v>56</v>
      </c>
      <c r="C64" s="334">
        <v>0</v>
      </c>
      <c r="D64" s="334">
        <v>0</v>
      </c>
      <c r="E64" s="334">
        <v>0</v>
      </c>
      <c r="F64" s="334">
        <v>0</v>
      </c>
    </row>
    <row r="65" spans="1:6">
      <c r="A65" s="348" t="s">
        <v>55</v>
      </c>
      <c r="B65" s="348" t="s">
        <v>28</v>
      </c>
      <c r="C65" s="334">
        <v>0</v>
      </c>
      <c r="D65" s="334">
        <v>0</v>
      </c>
      <c r="E65" s="334">
        <v>0</v>
      </c>
      <c r="F65" s="334">
        <v>0</v>
      </c>
    </row>
    <row r="66" spans="1:6">
      <c r="A66" s="348" t="s">
        <v>55</v>
      </c>
      <c r="B66" s="348" t="s">
        <v>57</v>
      </c>
      <c r="C66" s="334">
        <v>0</v>
      </c>
      <c r="D66" s="334">
        <v>0</v>
      </c>
      <c r="E66" s="334">
        <v>5</v>
      </c>
      <c r="F66" s="334">
        <v>89785</v>
      </c>
    </row>
    <row r="67" spans="1:6">
      <c r="A67" s="355" t="s">
        <v>55</v>
      </c>
      <c r="B67" s="355" t="s">
        <v>58</v>
      </c>
      <c r="C67" s="334">
        <v>0</v>
      </c>
      <c r="D67" s="334">
        <v>0</v>
      </c>
      <c r="E67" s="334">
        <v>0</v>
      </c>
      <c r="F67" s="334">
        <v>0</v>
      </c>
    </row>
    <row r="68" spans="1:6">
      <c r="A68" s="341" t="s">
        <v>55</v>
      </c>
      <c r="B68" s="341" t="s">
        <v>59</v>
      </c>
      <c r="C68" s="334">
        <v>0</v>
      </c>
      <c r="D68" s="334">
        <v>0</v>
      </c>
      <c r="E68" s="334">
        <v>7</v>
      </c>
      <c r="F68" s="334">
        <v>72729</v>
      </c>
    </row>
    <row r="69" spans="1:6" ht="15.75" thickBot="1">
      <c r="A69" s="343"/>
    </row>
    <row r="70" spans="1:6" ht="19.5">
      <c r="A70" s="336" t="s">
        <v>60</v>
      </c>
      <c r="B70" s="337"/>
      <c r="C70" s="337" t="s">
        <v>398</v>
      </c>
      <c r="D70" s="337" t="s">
        <v>796</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43619713</v>
      </c>
      <c r="E73" s="476"/>
    </row>
    <row r="74" spans="1:6">
      <c r="A74" s="348" t="s">
        <v>63</v>
      </c>
      <c r="B74" s="348" t="s">
        <v>651</v>
      </c>
      <c r="C74" s="1307" t="s">
        <v>653</v>
      </c>
      <c r="D74" s="476">
        <v>5366862</v>
      </c>
      <c r="E74" s="476"/>
    </row>
    <row r="75" spans="1:6">
      <c r="A75" s="348" t="s">
        <v>64</v>
      </c>
      <c r="B75" s="348" t="s">
        <v>650</v>
      </c>
      <c r="C75" s="1307" t="s">
        <v>654</v>
      </c>
      <c r="D75" s="476">
        <v>20289318</v>
      </c>
      <c r="E75" s="476"/>
    </row>
    <row r="76" spans="1:6">
      <c r="A76" s="348" t="s">
        <v>64</v>
      </c>
      <c r="B76" s="348" t="s">
        <v>651</v>
      </c>
      <c r="C76" s="1307" t="s">
        <v>655</v>
      </c>
      <c r="D76" s="476">
        <v>233607</v>
      </c>
      <c r="E76" s="476"/>
    </row>
    <row r="77" spans="1:6">
      <c r="A77" s="348" t="s">
        <v>65</v>
      </c>
      <c r="B77" s="348" t="s">
        <v>650</v>
      </c>
      <c r="C77" s="1307" t="s">
        <v>656</v>
      </c>
      <c r="D77" s="476">
        <v>0</v>
      </c>
      <c r="E77" s="476"/>
    </row>
    <row r="78" spans="1:6">
      <c r="A78" s="341" t="s">
        <v>65</v>
      </c>
      <c r="B78" s="341" t="s">
        <v>651</v>
      </c>
      <c r="C78" s="341" t="s">
        <v>657</v>
      </c>
      <c r="D78" s="1308">
        <v>0</v>
      </c>
      <c r="E78" s="1308"/>
      <c r="F78" s="342"/>
    </row>
    <row r="79" spans="1:6">
      <c r="A79" s="362"/>
      <c r="B79" s="362"/>
    </row>
    <row r="80" spans="1:6" ht="15.75" thickBot="1">
      <c r="A80" s="362"/>
      <c r="B80" s="362"/>
    </row>
    <row r="81" spans="1:6" ht="20.25" thickBot="1">
      <c r="A81" s="336" t="s">
        <v>333</v>
      </c>
      <c r="B81" s="363" t="s">
        <v>393</v>
      </c>
      <c r="C81" s="337" t="s">
        <v>878</v>
      </c>
      <c r="D81" s="337"/>
      <c r="E81" s="337"/>
      <c r="F81" s="344"/>
    </row>
    <row r="82" spans="1:6" ht="16.5" thickTop="1" thickBot="1">
      <c r="A82" s="345" t="s">
        <v>334</v>
      </c>
      <c r="B82" s="361">
        <v>2017</v>
      </c>
      <c r="C82" s="361"/>
      <c r="D82" s="346"/>
      <c r="E82" s="346"/>
      <c r="F82" s="347"/>
    </row>
    <row r="83" spans="1:6">
      <c r="A83" s="348" t="s">
        <v>335</v>
      </c>
      <c r="B83" s="476">
        <v>268454</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879</v>
      </c>
      <c r="D87" s="337"/>
      <c r="E87" s="337"/>
      <c r="F87" s="344"/>
    </row>
    <row r="88" spans="1:6" ht="16.5" thickTop="1" thickBot="1">
      <c r="A88" s="345" t="s">
        <v>4</v>
      </c>
      <c r="B88" s="346" t="s">
        <v>169</v>
      </c>
      <c r="C88" s="346"/>
      <c r="D88" s="346"/>
      <c r="E88" s="346"/>
      <c r="F88" s="347"/>
    </row>
    <row r="89" spans="1:6">
      <c r="A89" s="348" t="s">
        <v>542</v>
      </c>
      <c r="B89" s="334">
        <v>254.78253681515613</v>
      </c>
    </row>
    <row r="90" spans="1:6">
      <c r="A90" s="348" t="s">
        <v>543</v>
      </c>
      <c r="B90" s="1309">
        <v>0</v>
      </c>
    </row>
    <row r="91" spans="1:6">
      <c r="A91" s="348" t="s">
        <v>67</v>
      </c>
      <c r="B91" s="334">
        <v>5824.084226657822</v>
      </c>
    </row>
    <row r="92" spans="1:6">
      <c r="A92" s="341" t="s">
        <v>68</v>
      </c>
      <c r="B92" s="342">
        <v>3303.2033542154031</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538</v>
      </c>
    </row>
    <row r="98" spans="1:6">
      <c r="A98" s="348" t="s">
        <v>71</v>
      </c>
      <c r="B98" s="334">
        <v>6</v>
      </c>
    </row>
    <row r="99" spans="1:6">
      <c r="A99" s="348" t="s">
        <v>72</v>
      </c>
      <c r="B99" s="334">
        <v>56</v>
      </c>
    </row>
    <row r="100" spans="1:6">
      <c r="A100" s="348" t="s">
        <v>73</v>
      </c>
      <c r="B100" s="334">
        <v>172</v>
      </c>
    </row>
    <row r="101" spans="1:6">
      <c r="A101" s="348" t="s">
        <v>74</v>
      </c>
      <c r="B101" s="334">
        <v>69</v>
      </c>
    </row>
    <row r="102" spans="1:6">
      <c r="A102" s="348" t="s">
        <v>75</v>
      </c>
      <c r="B102" s="334">
        <v>50</v>
      </c>
    </row>
    <row r="103" spans="1:6">
      <c r="A103" s="348" t="s">
        <v>76</v>
      </c>
      <c r="B103" s="334">
        <v>73</v>
      </c>
    </row>
    <row r="104" spans="1:6">
      <c r="A104" s="348" t="s">
        <v>77</v>
      </c>
      <c r="B104" s="334">
        <v>3316</v>
      </c>
    </row>
    <row r="105" spans="1:6">
      <c r="A105" s="341" t="s">
        <v>78</v>
      </c>
      <c r="B105" s="341">
        <v>0</v>
      </c>
      <c r="C105" s="342"/>
      <c r="D105" s="342"/>
      <c r="E105" s="342"/>
      <c r="F105" s="342"/>
    </row>
    <row r="106" spans="1:6">
      <c r="A106" s="343"/>
    </row>
    <row r="107" spans="1:6" ht="15.75" thickBot="1">
      <c r="A107" s="343"/>
    </row>
    <row r="108" spans="1:6" ht="20.25" thickBot="1">
      <c r="A108" s="336" t="s">
        <v>639</v>
      </c>
      <c r="B108" s="337" t="s">
        <v>393</v>
      </c>
      <c r="C108" s="337" t="s">
        <v>880</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881</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21</v>
      </c>
      <c r="C123" s="334">
        <v>31</v>
      </c>
    </row>
    <row r="124" spans="1:6">
      <c r="A124" s="341" t="s">
        <v>88</v>
      </c>
      <c r="B124" s="334">
        <v>2</v>
      </c>
      <c r="C124" s="334">
        <v>2</v>
      </c>
      <c r="D124" s="342"/>
      <c r="E124" s="342"/>
      <c r="F124" s="342"/>
    </row>
    <row r="125" spans="1:6">
      <c r="A125" s="362"/>
    </row>
    <row r="126" spans="1:6" ht="15.75" thickBot="1">
      <c r="A126" s="362"/>
    </row>
    <row r="127" spans="1:6" ht="20.25" thickBot="1">
      <c r="A127" s="336" t="s">
        <v>292</v>
      </c>
      <c r="B127" s="337" t="s">
        <v>393</v>
      </c>
      <c r="C127" s="337" t="s">
        <v>880</v>
      </c>
      <c r="D127" s="337"/>
      <c r="E127" s="337"/>
      <c r="F127" s="344"/>
    </row>
    <row r="128" spans="1:6" ht="16.5" thickTop="1" thickBot="1">
      <c r="A128" s="345" t="s">
        <v>4</v>
      </c>
      <c r="B128" s="346" t="s">
        <v>5</v>
      </c>
      <c r="C128" s="346"/>
      <c r="D128" s="346"/>
      <c r="E128" s="346"/>
      <c r="F128" s="347"/>
    </row>
    <row r="129" spans="1:6">
      <c r="A129" s="348" t="s">
        <v>293</v>
      </c>
      <c r="B129" s="334">
        <v>207</v>
      </c>
    </row>
    <row r="130" spans="1:6">
      <c r="A130" s="348" t="s">
        <v>294</v>
      </c>
      <c r="B130" s="334">
        <v>7</v>
      </c>
    </row>
    <row r="131" spans="1:6">
      <c r="A131" s="348" t="s">
        <v>295</v>
      </c>
      <c r="B131" s="334">
        <v>2</v>
      </c>
    </row>
    <row r="132" spans="1:6">
      <c r="A132" s="341" t="s">
        <v>296</v>
      </c>
      <c r="B132" s="342">
        <v>38</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821</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823</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821</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822</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824</v>
      </c>
    </row>
    <row r="5" spans="1:3" ht="15.75" thickBot="1">
      <c r="A5" s="958" t="s">
        <v>619</v>
      </c>
      <c r="B5" s="966">
        <v>675419.64000000013</v>
      </c>
      <c r="C5" s="967" t="s">
        <v>825</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C31" sqref="C31"/>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108350.72193799255</v>
      </c>
      <c r="C3" s="43" t="s">
        <v>169</v>
      </c>
      <c r="D3" s="43"/>
      <c r="E3" s="154"/>
      <c r="F3" s="43"/>
      <c r="G3" s="43"/>
      <c r="H3" s="43"/>
      <c r="I3" s="43"/>
      <c r="J3" s="43"/>
      <c r="K3" s="96"/>
    </row>
    <row r="4" spans="1:11">
      <c r="A4" s="383" t="s">
        <v>170</v>
      </c>
      <c r="B4" s="49">
        <f>IF(ISERROR('SEAP template'!B78),0,'SEAP template'!B78)</f>
        <v>22852.370117688377</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0</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0.17438864655743244</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0</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19243.285714285714</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795</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960.88699999999994</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960.88699999999994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0.17438864655743244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167.56778342463159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17234.8655</v>
      </c>
      <c r="C5" s="17">
        <f>IF(ISERROR('Eigen informatie GS &amp; warmtenet'!B59),0,'Eigen informatie GS &amp; warmtenet'!B59)</f>
        <v>0</v>
      </c>
      <c r="D5" s="30">
        <f>(SUM(HH_hh_gas_kWh,HH_rest_gas_kWh)/1000)*0.902</f>
        <v>34076.8224797</v>
      </c>
      <c r="E5" s="17">
        <f>B46*B57</f>
        <v>8714.4560456927593</v>
      </c>
      <c r="F5" s="17">
        <f>B51*B62</f>
        <v>29986.247320177874</v>
      </c>
      <c r="G5" s="18"/>
      <c r="H5" s="17"/>
      <c r="I5" s="17"/>
      <c r="J5" s="17">
        <f>B50*B61+C50*C61</f>
        <v>0</v>
      </c>
      <c r="K5" s="17"/>
      <c r="L5" s="17"/>
      <c r="M5" s="17"/>
      <c r="N5" s="17">
        <f>B48*B59+C48*C59</f>
        <v>18581.549183001596</v>
      </c>
      <c r="O5" s="17">
        <f>B69*B70*B71</f>
        <v>476.14997265288758</v>
      </c>
      <c r="P5" s="17">
        <f>B77*B78*B79/1000-B77*B78*B79/1000/B80</f>
        <v>642.57151776878641</v>
      </c>
    </row>
    <row r="6" spans="1:16">
      <c r="A6" s="16" t="s">
        <v>615</v>
      </c>
      <c r="B6" s="809">
        <f>kWh_PV_kleiner_dan_10kW</f>
        <v>5824.084226657822</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23058.949726657822</v>
      </c>
      <c r="C8" s="21">
        <f>C5</f>
        <v>0</v>
      </c>
      <c r="D8" s="21">
        <f>D5</f>
        <v>34076.8224797</v>
      </c>
      <c r="E8" s="21">
        <f>E5</f>
        <v>8714.4560456927593</v>
      </c>
      <c r="F8" s="21">
        <f>F5</f>
        <v>29986.247320177874</v>
      </c>
      <c r="G8" s="21"/>
      <c r="H8" s="21"/>
      <c r="I8" s="21"/>
      <c r="J8" s="21">
        <f>J5</f>
        <v>0</v>
      </c>
      <c r="K8" s="21"/>
      <c r="L8" s="21">
        <f>L5</f>
        <v>0</v>
      </c>
      <c r="M8" s="21">
        <f>M5</f>
        <v>0</v>
      </c>
      <c r="N8" s="21">
        <f>N5</f>
        <v>18581.549183001596</v>
      </c>
      <c r="O8" s="21">
        <f>O5</f>
        <v>476.14997265288758</v>
      </c>
      <c r="P8" s="21">
        <f>P5</f>
        <v>642.57151776878641</v>
      </c>
    </row>
    <row r="9" spans="1:16">
      <c r="B9" s="19"/>
      <c r="C9" s="19"/>
      <c r="D9" s="258"/>
      <c r="E9" s="19"/>
      <c r="F9" s="19"/>
      <c r="G9" s="19"/>
      <c r="H9" s="19"/>
      <c r="I9" s="19"/>
      <c r="J9" s="19"/>
      <c r="K9" s="19"/>
      <c r="L9" s="19"/>
      <c r="M9" s="19"/>
      <c r="N9" s="19"/>
      <c r="O9" s="19"/>
      <c r="P9" s="19"/>
    </row>
    <row r="10" spans="1:16">
      <c r="A10" s="24" t="s">
        <v>213</v>
      </c>
      <c r="B10" s="25">
        <f ca="1">'EF ele_warmte'!B12</f>
        <v>0.17438864655743244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4021.2190338677342</v>
      </c>
      <c r="C12" s="23">
        <f ca="1">C10*C8</f>
        <v>0</v>
      </c>
      <c r="D12" s="23">
        <f>D8*D10</f>
        <v>6883.5181408994004</v>
      </c>
      <c r="E12" s="23">
        <f>E10*E8</f>
        <v>1978.1815223722565</v>
      </c>
      <c r="F12" s="23">
        <f>F10*F8</f>
        <v>8006.3280344874929</v>
      </c>
      <c r="G12" s="23"/>
      <c r="H12" s="23"/>
      <c r="I12" s="23"/>
      <c r="J12" s="23">
        <f>J10*J8</f>
        <v>0</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538</v>
      </c>
      <c r="C18" s="166" t="s">
        <v>110</v>
      </c>
      <c r="D18" s="228"/>
      <c r="E18" s="15"/>
    </row>
    <row r="19" spans="1:7">
      <c r="A19" s="171" t="s">
        <v>71</v>
      </c>
      <c r="B19" s="37">
        <f>aantalw2001_ander</f>
        <v>6</v>
      </c>
      <c r="C19" s="166" t="s">
        <v>110</v>
      </c>
      <c r="D19" s="229"/>
      <c r="E19" s="15"/>
    </row>
    <row r="20" spans="1:7">
      <c r="A20" s="171" t="s">
        <v>72</v>
      </c>
      <c r="B20" s="37">
        <f>aantalw2001_propaan</f>
        <v>56</v>
      </c>
      <c r="C20" s="167">
        <f>IF(ISERROR(B20/SUM($B$20,$B$21,$B$22)*100),0,B20/SUM($B$20,$B$21,$B$22)*100)</f>
        <v>18.855218855218855</v>
      </c>
      <c r="D20" s="229"/>
      <c r="E20" s="15"/>
    </row>
    <row r="21" spans="1:7">
      <c r="A21" s="171" t="s">
        <v>73</v>
      </c>
      <c r="B21" s="37">
        <f>aantalw2001_elektriciteit</f>
        <v>172</v>
      </c>
      <c r="C21" s="167">
        <f>IF(ISERROR(B21/SUM($B$20,$B$21,$B$22)*100),0,B21/SUM($B$20,$B$21,$B$22)*100)</f>
        <v>57.912457912457917</v>
      </c>
      <c r="D21" s="229"/>
      <c r="E21" s="15"/>
    </row>
    <row r="22" spans="1:7">
      <c r="A22" s="171" t="s">
        <v>74</v>
      </c>
      <c r="B22" s="37">
        <f>aantalw2001_hout</f>
        <v>69</v>
      </c>
      <c r="C22" s="167">
        <f>IF(ISERROR(B22/SUM($B$20,$B$21,$B$22)*100),0,B22/SUM($B$20,$B$21,$B$22)*100)</f>
        <v>23.232323232323232</v>
      </c>
      <c r="D22" s="229"/>
      <c r="E22" s="15"/>
    </row>
    <row r="23" spans="1:7">
      <c r="A23" s="171" t="s">
        <v>75</v>
      </c>
      <c r="B23" s="37">
        <f>aantalw2001_niet_gespec</f>
        <v>50</v>
      </c>
      <c r="C23" s="166" t="s">
        <v>110</v>
      </c>
      <c r="D23" s="228"/>
      <c r="E23" s="15"/>
    </row>
    <row r="24" spans="1:7">
      <c r="A24" s="171" t="s">
        <v>76</v>
      </c>
      <c r="B24" s="37">
        <f>aantalw2001_steenkool</f>
        <v>73</v>
      </c>
      <c r="C24" s="166" t="s">
        <v>110</v>
      </c>
      <c r="D24" s="229"/>
      <c r="E24" s="15"/>
    </row>
    <row r="25" spans="1:7">
      <c r="A25" s="171" t="s">
        <v>77</v>
      </c>
      <c r="B25" s="37">
        <f>aantalw2001_stookolie</f>
        <v>3316</v>
      </c>
      <c r="C25" s="166" t="s">
        <v>110</v>
      </c>
      <c r="D25" s="228"/>
      <c r="E25" s="52"/>
    </row>
    <row r="26" spans="1:7">
      <c r="A26" s="171" t="s">
        <v>78</v>
      </c>
      <c r="B26" s="37">
        <f>aantalw2001_WP</f>
        <v>0</v>
      </c>
      <c r="C26" s="166" t="s">
        <v>110</v>
      </c>
      <c r="D26" s="228"/>
      <c r="E26" s="15"/>
    </row>
    <row r="27" spans="1:7" s="15" customFormat="1">
      <c r="A27" s="171"/>
      <c r="B27" s="29"/>
      <c r="C27" s="36"/>
      <c r="D27" s="228"/>
    </row>
    <row r="28" spans="1:7" s="15" customFormat="1">
      <c r="A28" s="230" t="s">
        <v>837</v>
      </c>
      <c r="B28" s="37">
        <f>aantalHuishoudens2011</f>
        <v>5303</v>
      </c>
      <c r="C28" s="36"/>
      <c r="D28" s="228"/>
    </row>
    <row r="29" spans="1:7" s="15" customFormat="1">
      <c r="A29" s="230" t="s">
        <v>838</v>
      </c>
      <c r="B29" s="37">
        <f>SUM(HH_hh_gas_aantal,HH_rest_gas_aantal)</f>
        <v>2620</v>
      </c>
      <c r="C29" s="36"/>
      <c r="D29" s="228"/>
    </row>
    <row r="30" spans="1:7" s="15" customFormat="1">
      <c r="A30" s="231"/>
      <c r="B30" s="29"/>
      <c r="C30" s="36"/>
      <c r="D30" s="232"/>
    </row>
    <row r="31" spans="1:7">
      <c r="A31" s="172" t="s">
        <v>839</v>
      </c>
      <c r="B31" s="168" t="s">
        <v>215</v>
      </c>
      <c r="C31" s="165" t="s">
        <v>216</v>
      </c>
      <c r="D31" s="174"/>
      <c r="G31" s="15"/>
    </row>
    <row r="32" spans="1:7">
      <c r="A32" s="171" t="s">
        <v>70</v>
      </c>
      <c r="B32" s="37">
        <f>B29</f>
        <v>2620</v>
      </c>
      <c r="C32" s="167">
        <f>IF(ISERROR(B32/SUM($B$32,$B$34,$B$35,$B$36,$B$38,$B$39)*100),0,B32/SUM($B$32,$B$34,$B$35,$B$36,$B$38,$B$39)*100)</f>
        <v>49.980923311713084</v>
      </c>
      <c r="D32" s="233"/>
      <c r="G32" s="15"/>
    </row>
    <row r="33" spans="1:7">
      <c r="A33" s="171" t="s">
        <v>71</v>
      </c>
      <c r="B33" s="34" t="s">
        <v>110</v>
      </c>
      <c r="C33" s="167"/>
      <c r="D33" s="233"/>
      <c r="G33" s="15"/>
    </row>
    <row r="34" spans="1:7">
      <c r="A34" s="171" t="s">
        <v>72</v>
      </c>
      <c r="B34" s="33">
        <f>IF((($B$28-$B$32-$B$39-$B$77-$B$38)*C20/100)&lt;0,0,($B$28-$B$32-$B$39-$B$77-$B$38)*C20/100)</f>
        <v>222.45387205387203</v>
      </c>
      <c r="C34" s="167">
        <f>IF(ISERROR(B34/SUM($B$32,$B$34,$B$35,$B$36,$B$38,$B$39)*100),0,B34/SUM($B$32,$B$34,$B$35,$B$36,$B$38,$B$39)*100)</f>
        <v>4.2436831753886306</v>
      </c>
      <c r="D34" s="233"/>
      <c r="G34" s="15"/>
    </row>
    <row r="35" spans="1:7">
      <c r="A35" s="171" t="s">
        <v>73</v>
      </c>
      <c r="B35" s="33">
        <f>IF((($B$28-$B$32-$B$39-$B$77-$B$38)*C21/100)&lt;0,0,($B$28-$B$32-$B$39-$B$77-$B$38)*C21/100)</f>
        <v>683.25117845117848</v>
      </c>
      <c r="C35" s="167">
        <f>IF(ISERROR(B35/SUM($B$32,$B$34,$B$35,$B$36,$B$38,$B$39)*100),0,B35/SUM($B$32,$B$34,$B$35,$B$36,$B$38,$B$39)*100)</f>
        <v>13.034169752979368</v>
      </c>
      <c r="D35" s="233"/>
      <c r="G35" s="15"/>
    </row>
    <row r="36" spans="1:7">
      <c r="A36" s="171" t="s">
        <v>74</v>
      </c>
      <c r="B36" s="33">
        <f>IF((($B$28-$B$32-$B$39-$B$77-$B$38)*C22/100)&lt;0,0,($B$28-$B$32-$B$39-$B$77-$B$38)*C22/100)</f>
        <v>274.09494949494945</v>
      </c>
      <c r="C36" s="167">
        <f>IF(ISERROR(B36/SUM($B$32,$B$34,$B$35,$B$36,$B$38,$B$39)*100),0,B36/SUM($B$32,$B$34,$B$35,$B$36,$B$38,$B$39)*100)</f>
        <v>5.2288239125324196</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1442.2</v>
      </c>
      <c r="C39" s="167">
        <f>IF(ISERROR(B39/SUM($B$32,$B$34,$B$35,$B$36,$B$38,$B$39)*100),0,B39/SUM($B$32,$B$34,$B$35,$B$36,$B$38,$B$39)*100)</f>
        <v>27.512399847386494</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835</v>
      </c>
      <c r="C43" s="169" t="s">
        <v>836</v>
      </c>
      <c r="D43" s="174"/>
    </row>
    <row r="44" spans="1:7">
      <c r="A44" s="171" t="s">
        <v>70</v>
      </c>
      <c r="B44" s="33">
        <f t="shared" ref="B44:B52" si="0">B32</f>
        <v>2620</v>
      </c>
      <c r="C44" s="34" t="s">
        <v>110</v>
      </c>
      <c r="D44" s="174"/>
    </row>
    <row r="45" spans="1:7">
      <c r="A45" s="171" t="s">
        <v>71</v>
      </c>
      <c r="B45" s="33" t="str">
        <f t="shared" si="0"/>
        <v>-</v>
      </c>
      <c r="C45" s="34" t="s">
        <v>110</v>
      </c>
      <c r="D45" s="174"/>
    </row>
    <row r="46" spans="1:7">
      <c r="A46" s="171" t="s">
        <v>72</v>
      </c>
      <c r="B46" s="33">
        <f t="shared" si="0"/>
        <v>222.45387205387203</v>
      </c>
      <c r="C46" s="34" t="s">
        <v>110</v>
      </c>
      <c r="D46" s="174"/>
    </row>
    <row r="47" spans="1:7">
      <c r="A47" s="171" t="s">
        <v>73</v>
      </c>
      <c r="B47" s="33">
        <f t="shared" si="0"/>
        <v>683.25117845117848</v>
      </c>
      <c r="C47" s="34" t="s">
        <v>110</v>
      </c>
      <c r="D47" s="174"/>
    </row>
    <row r="48" spans="1:7">
      <c r="A48" s="171" t="s">
        <v>74</v>
      </c>
      <c r="B48" s="33">
        <f t="shared" si="0"/>
        <v>274.09494949494945</v>
      </c>
      <c r="C48" s="33">
        <f>B48*10</f>
        <v>2740.9494949494947</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1442.2</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833</v>
      </c>
      <c r="C54" s="165" t="s">
        <v>834</v>
      </c>
      <c r="D54" s="301" t="s">
        <v>832</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240</v>
      </c>
      <c r="C69" s="43"/>
      <c r="D69" s="173"/>
    </row>
    <row r="70" spans="1:6">
      <c r="A70" s="171" t="s">
        <v>471</v>
      </c>
      <c r="B70" s="315">
        <v>5.3300370073084435</v>
      </c>
      <c r="C70" s="43"/>
      <c r="D70" s="309" t="s">
        <v>860</v>
      </c>
    </row>
    <row r="71" spans="1:6">
      <c r="A71" s="245" t="s">
        <v>472</v>
      </c>
      <c r="B71" s="320">
        <f>1.34/3.6</f>
        <v>0.37222222222222223</v>
      </c>
      <c r="C71" s="43" t="s">
        <v>217</v>
      </c>
      <c r="D71" s="309" t="s">
        <v>861</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61</v>
      </c>
      <c r="C77" s="32"/>
      <c r="D77" s="177"/>
    </row>
    <row r="78" spans="1:6">
      <c r="A78" s="171" t="s">
        <v>441</v>
      </c>
      <c r="B78" s="315">
        <v>8.5956185892968069</v>
      </c>
      <c r="C78" s="32" t="s">
        <v>262</v>
      </c>
      <c r="D78" s="309" t="s">
        <v>860</v>
      </c>
    </row>
    <row r="79" spans="1:6">
      <c r="A79" s="171" t="s">
        <v>442</v>
      </c>
      <c r="B79" s="315">
        <v>1671.14092090028</v>
      </c>
      <c r="C79" s="32" t="s">
        <v>264</v>
      </c>
      <c r="D79" s="309" t="s">
        <v>860</v>
      </c>
    </row>
    <row r="80" spans="1:6">
      <c r="A80" s="171" t="s">
        <v>404</v>
      </c>
      <c r="B80" s="315">
        <v>3.75</v>
      </c>
      <c r="C80" s="43"/>
      <c r="D80" s="309" t="s">
        <v>861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12644.640950000001</v>
      </c>
      <c r="C5" s="17">
        <f>IF(ISERROR('Eigen informatie GS &amp; warmtenet'!B60),0,'Eigen informatie GS &amp; warmtenet'!B60)</f>
        <v>0</v>
      </c>
      <c r="D5" s="30">
        <f>SUM(D6:D12)</f>
        <v>6598.3241555000004</v>
      </c>
      <c r="E5" s="17">
        <f>SUM(E6:E12)</f>
        <v>166.06882840547664</v>
      </c>
      <c r="F5" s="17">
        <f>SUM(F6:F12)</f>
        <v>1499.297322891048</v>
      </c>
      <c r="G5" s="18"/>
      <c r="H5" s="17"/>
      <c r="I5" s="17"/>
      <c r="J5" s="17">
        <f>SUM(J6:J12)</f>
        <v>3.0853571855262704E-2</v>
      </c>
      <c r="K5" s="17"/>
      <c r="L5" s="17"/>
      <c r="M5" s="17"/>
      <c r="N5" s="17">
        <f>SUM(N6:N12)</f>
        <v>1208.3246300705832</v>
      </c>
      <c r="O5" s="17">
        <f>B38*B39*B40</f>
        <v>34.280825360888088</v>
      </c>
      <c r="P5" s="17">
        <f>B46*B47*B48/1000-B46*B47*B48/1000/B49</f>
        <v>105.07827661299004</v>
      </c>
      <c r="R5" s="32"/>
    </row>
    <row r="6" spans="1:18">
      <c r="A6" s="32" t="s">
        <v>53</v>
      </c>
      <c r="B6" s="37">
        <f>B26</f>
        <v>4978.6419000000005</v>
      </c>
      <c r="C6" s="33"/>
      <c r="D6" s="37">
        <f>IF(ISERROR(TER_kantoor_gas_kWh/1000),0,TER_kantoor_gas_kWh/1000)*0.902</f>
        <v>1885.7842047000001</v>
      </c>
      <c r="E6" s="33">
        <f>$C$26*'E Balans VL '!I12/100/3.6*1000000</f>
        <v>40.061535090948233</v>
      </c>
      <c r="F6" s="33">
        <f>$C$26*('E Balans VL '!L12+'E Balans VL '!N12)/100/3.6*1000000</f>
        <v>608.69134591101169</v>
      </c>
      <c r="G6" s="34"/>
      <c r="H6" s="33"/>
      <c r="I6" s="33"/>
      <c r="J6" s="33">
        <f>$C$26*('E Balans VL '!D12+'E Balans VL '!E12)/100/3.6*1000000</f>
        <v>0</v>
      </c>
      <c r="K6" s="33"/>
      <c r="L6" s="33"/>
      <c r="M6" s="33"/>
      <c r="N6" s="33">
        <f>$C$26*'E Balans VL '!Y12/100/3.6*1000000</f>
        <v>2.6757748496724476</v>
      </c>
      <c r="O6" s="33"/>
      <c r="P6" s="33"/>
      <c r="R6" s="32"/>
    </row>
    <row r="7" spans="1:18">
      <c r="A7" s="32" t="s">
        <v>52</v>
      </c>
      <c r="B7" s="37">
        <f t="shared" ref="B7:B12" si="0">B27</f>
        <v>1869.3568</v>
      </c>
      <c r="C7" s="33"/>
      <c r="D7" s="37">
        <f>IF(ISERROR(TER_horeca_gas_kWh/1000),0,TER_horeca_gas_kWh/1000)*0.902</f>
        <v>799.16929400000004</v>
      </c>
      <c r="E7" s="33">
        <f>$C$27*'E Balans VL '!I9/100/3.6*1000000</f>
        <v>20.072301694220005</v>
      </c>
      <c r="F7" s="33">
        <f>$C$27*('E Balans VL '!L9+'E Balans VL '!N9)/100/3.6*1000000</f>
        <v>224.83829358139997</v>
      </c>
      <c r="G7" s="34"/>
      <c r="H7" s="33"/>
      <c r="I7" s="33"/>
      <c r="J7" s="33">
        <f>$C$27*('E Balans VL '!D9+'E Balans VL '!E9)/100/3.6*1000000</f>
        <v>0</v>
      </c>
      <c r="K7" s="33"/>
      <c r="L7" s="33"/>
      <c r="M7" s="33"/>
      <c r="N7" s="33">
        <f>$C$27*'E Balans VL '!Y9/100/3.6*1000000</f>
        <v>0.28025447178365698</v>
      </c>
      <c r="O7" s="33"/>
      <c r="P7" s="33"/>
      <c r="R7" s="32"/>
    </row>
    <row r="8" spans="1:18">
      <c r="A8" s="6" t="s">
        <v>51</v>
      </c>
      <c r="B8" s="37">
        <f t="shared" si="0"/>
        <v>3617.4972499999999</v>
      </c>
      <c r="C8" s="33"/>
      <c r="D8" s="37">
        <f>IF(ISERROR(TER_handel_gas_kWh/1000),0,TER_handel_gas_kWh/1000)*0.902</f>
        <v>1759.4718680000001</v>
      </c>
      <c r="E8" s="33">
        <f>$C$28*'E Balans VL '!I13/100/3.6*1000000</f>
        <v>97.082551329604058</v>
      </c>
      <c r="F8" s="33">
        <f>$C$28*('E Balans VL '!L13+'E Balans VL '!N13)/100/3.6*1000000</f>
        <v>345.22073179009391</v>
      </c>
      <c r="G8" s="34"/>
      <c r="H8" s="33"/>
      <c r="I8" s="33"/>
      <c r="J8" s="33">
        <f>$C$28*('E Balans VL '!D13+'E Balans VL '!E13)/100/3.6*1000000</f>
        <v>0</v>
      </c>
      <c r="K8" s="33"/>
      <c r="L8" s="33"/>
      <c r="M8" s="33"/>
      <c r="N8" s="33">
        <f>$C$28*'E Balans VL '!Y13/100/3.6*1000000</f>
        <v>1.4340170422382075</v>
      </c>
      <c r="O8" s="33"/>
      <c r="P8" s="33"/>
      <c r="R8" s="32"/>
    </row>
    <row r="9" spans="1:18">
      <c r="A9" s="32" t="s">
        <v>50</v>
      </c>
      <c r="B9" s="37">
        <f t="shared" si="0"/>
        <v>134.31700000000001</v>
      </c>
      <c r="C9" s="33"/>
      <c r="D9" s="37">
        <f>IF(ISERROR(TER_gezond_gas_kWh/1000),0,TER_gezond_gas_kWh/1000)*0.902</f>
        <v>326.02880200000004</v>
      </c>
      <c r="E9" s="33">
        <f>$C$29*'E Balans VL '!I10/100/3.6*1000000</f>
        <v>0.25175379351436217</v>
      </c>
      <c r="F9" s="33">
        <f>$C$29*('E Balans VL '!L10+'E Balans VL '!N10)/100/3.6*1000000</f>
        <v>11.042082948192451</v>
      </c>
      <c r="G9" s="34"/>
      <c r="H9" s="33"/>
      <c r="I9" s="33"/>
      <c r="J9" s="33">
        <f>$C$29*('E Balans VL '!D10+'E Balans VL '!E10)/100/3.6*1000000</f>
        <v>0</v>
      </c>
      <c r="K9" s="33"/>
      <c r="L9" s="33"/>
      <c r="M9" s="33"/>
      <c r="N9" s="33">
        <f>$C$29*'E Balans VL '!Y10/100/3.6*1000000</f>
        <v>1.0450864748815714</v>
      </c>
      <c r="O9" s="33"/>
      <c r="P9" s="33"/>
      <c r="R9" s="32"/>
    </row>
    <row r="10" spans="1:18">
      <c r="A10" s="32" t="s">
        <v>49</v>
      </c>
      <c r="B10" s="37">
        <f t="shared" si="0"/>
        <v>1817.4760000000001</v>
      </c>
      <c r="C10" s="33"/>
      <c r="D10" s="37">
        <f>IF(ISERROR(TER_ander_gas_kWh/1000),0,TER_ander_gas_kWh/1000)*0.902</f>
        <v>1218.2920727999999</v>
      </c>
      <c r="E10" s="33">
        <f>$C$30*'E Balans VL '!I14/100/3.6*1000000</f>
        <v>2.8016576701997549</v>
      </c>
      <c r="F10" s="33">
        <f>$C$30*('E Balans VL '!L14+'E Balans VL '!N14)/100/3.6*1000000</f>
        <v>282.163650741835</v>
      </c>
      <c r="G10" s="34"/>
      <c r="H10" s="33"/>
      <c r="I10" s="33"/>
      <c r="J10" s="33">
        <f>$C$30*('E Balans VL '!D14+'E Balans VL '!E14)/100/3.6*1000000</f>
        <v>3.0853571855262704E-2</v>
      </c>
      <c r="K10" s="33"/>
      <c r="L10" s="33"/>
      <c r="M10" s="33"/>
      <c r="N10" s="33">
        <f>$C$30*'E Balans VL '!Y14/100/3.6*1000000</f>
        <v>1202.383871931444</v>
      </c>
      <c r="O10" s="33"/>
      <c r="P10" s="33"/>
      <c r="R10" s="32"/>
    </row>
    <row r="11" spans="1:18">
      <c r="A11" s="32" t="s">
        <v>54</v>
      </c>
      <c r="B11" s="37">
        <f t="shared" si="0"/>
        <v>227.352</v>
      </c>
      <c r="C11" s="33"/>
      <c r="D11" s="37">
        <f>IF(ISERROR(TER_onderwijs_gas_kWh/1000),0,TER_onderwijs_gas_kWh/1000)*0.902</f>
        <v>609.57791400000008</v>
      </c>
      <c r="E11" s="33">
        <f>$C$31*'E Balans VL '!I11/100/3.6*1000000</f>
        <v>5.7990288269902361</v>
      </c>
      <c r="F11" s="33">
        <f>$C$31*('E Balans VL '!L11+'E Balans VL '!N11)/100/3.6*1000000</f>
        <v>27.34121791851495</v>
      </c>
      <c r="G11" s="34"/>
      <c r="H11" s="33"/>
      <c r="I11" s="33"/>
      <c r="J11" s="33">
        <f>$C$31*('E Balans VL '!D11+'E Balans VL '!E11)/100/3.6*1000000</f>
        <v>0</v>
      </c>
      <c r="K11" s="33"/>
      <c r="L11" s="33"/>
      <c r="M11" s="33"/>
      <c r="N11" s="33">
        <f>$C$31*'E Balans VL '!Y11/100/3.6*1000000</f>
        <v>0.5056253005633996</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482</v>
      </c>
      <c r="B13" s="247">
        <f ca="1">'lokale energieproductie'!N91+'lokale energieproductie'!N60</f>
        <v>13383</v>
      </c>
      <c r="C13" s="247">
        <f ca="1">'lokale energieproductie'!O91+'lokale energieproductie'!O60</f>
        <v>19118.571428571428</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-38237.142857142862</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26027.640950000001</v>
      </c>
      <c r="C16" s="21">
        <f t="shared" ca="1" si="1"/>
        <v>19118.571428571428</v>
      </c>
      <c r="D16" s="21">
        <f t="shared" ca="1" si="1"/>
        <v>6598.3241555000004</v>
      </c>
      <c r="E16" s="21">
        <f t="shared" si="1"/>
        <v>166.06882840547664</v>
      </c>
      <c r="F16" s="21">
        <f t="shared" ca="1" si="1"/>
        <v>1499.297322891048</v>
      </c>
      <c r="G16" s="21">
        <f t="shared" si="1"/>
        <v>0</v>
      </c>
      <c r="H16" s="21">
        <f t="shared" si="1"/>
        <v>0</v>
      </c>
      <c r="I16" s="21">
        <f t="shared" si="1"/>
        <v>0</v>
      </c>
      <c r="J16" s="21">
        <f t="shared" si="1"/>
        <v>3.0853571855262704E-2</v>
      </c>
      <c r="K16" s="21">
        <f t="shared" si="1"/>
        <v>0</v>
      </c>
      <c r="L16" s="21">
        <f t="shared" ca="1" si="1"/>
        <v>0</v>
      </c>
      <c r="M16" s="21">
        <f t="shared" si="1"/>
        <v>0</v>
      </c>
      <c r="N16" s="21">
        <f t="shared" ca="1" si="1"/>
        <v>0</v>
      </c>
      <c r="O16" s="21">
        <f>O5</f>
        <v>34.280825360888088</v>
      </c>
      <c r="P16" s="21">
        <f>P5</f>
        <v>105.07827661299004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0.17438864655743244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4538.9250783533053</v>
      </c>
      <c r="C20" s="23">
        <f t="shared" ref="C20:P20" ca="1" si="2">C16*C18</f>
        <v>0</v>
      </c>
      <c r="D20" s="23">
        <f t="shared" ca="1" si="2"/>
        <v>1332.8614794110001</v>
      </c>
      <c r="E20" s="23">
        <f t="shared" si="2"/>
        <v>37.697624048043195</v>
      </c>
      <c r="F20" s="23">
        <f t="shared" ca="1" si="2"/>
        <v>400.31238521190983</v>
      </c>
      <c r="G20" s="23">
        <f t="shared" si="2"/>
        <v>0</v>
      </c>
      <c r="H20" s="23">
        <f t="shared" si="2"/>
        <v>0</v>
      </c>
      <c r="I20" s="23">
        <f t="shared" si="2"/>
        <v>0</v>
      </c>
      <c r="J20" s="23">
        <f t="shared" si="2"/>
        <v>1.0922164436762997E-2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4978.6419000000005</v>
      </c>
      <c r="C26" s="39">
        <f>IF(ISERROR(B26*3.6/1000000/'E Balans VL '!Z12*100),0,B26*3.6/1000000/'E Balans VL '!Z12*100)</f>
        <v>0.10561733297422132</v>
      </c>
      <c r="D26" s="237" t="s">
        <v>716</v>
      </c>
      <c r="F26" s="6"/>
    </row>
    <row r="27" spans="1:18">
      <c r="A27" s="231" t="s">
        <v>52</v>
      </c>
      <c r="B27" s="33">
        <f>IF(ISERROR(TER_horeca_ele_kWh/1000),0,TER_horeca_ele_kWh/1000)</f>
        <v>1869.3568</v>
      </c>
      <c r="C27" s="39">
        <f>IF(ISERROR(B27*3.6/1000000/'E Balans VL '!Z9*100),0,B27*3.6/1000000/'E Balans VL '!Z9*100)</f>
        <v>0.14077912674947127</v>
      </c>
      <c r="D27" s="237" t="s">
        <v>716</v>
      </c>
      <c r="F27" s="6"/>
    </row>
    <row r="28" spans="1:18">
      <c r="A28" s="171" t="s">
        <v>51</v>
      </c>
      <c r="B28" s="33">
        <f>IF(ISERROR(TER_handel_ele_kWh/1000),0,TER_handel_ele_kWh/1000)</f>
        <v>3617.4972499999999</v>
      </c>
      <c r="C28" s="39">
        <f>IF(ISERROR(B28*3.6/1000000/'E Balans VL '!Z13*100),0,B28*3.6/1000000/'E Balans VL '!Z13*100)</f>
        <v>0.10500312737467593</v>
      </c>
      <c r="D28" s="237" t="s">
        <v>716</v>
      </c>
      <c r="F28" s="6"/>
    </row>
    <row r="29" spans="1:18">
      <c r="A29" s="231" t="s">
        <v>50</v>
      </c>
      <c r="B29" s="33">
        <f>IF(ISERROR(TER_gezond_ele_kWh/1000),0,TER_gezond_ele_kWh/1000)</f>
        <v>134.31700000000001</v>
      </c>
      <c r="C29" s="39">
        <f>IF(ISERROR(B29*3.6/1000000/'E Balans VL '!Z10*100),0,B29*3.6/1000000/'E Balans VL '!Z10*100)</f>
        <v>1.3546029629546473E-2</v>
      </c>
      <c r="D29" s="237" t="s">
        <v>716</v>
      </c>
      <c r="F29" s="6"/>
    </row>
    <row r="30" spans="1:18">
      <c r="A30" s="231" t="s">
        <v>49</v>
      </c>
      <c r="B30" s="33">
        <f>IF(ISERROR(TER_ander_ele_kWh/1000),0,TER_ander_ele_kWh/1000)</f>
        <v>1817.4760000000001</v>
      </c>
      <c r="C30" s="39">
        <f>IF(ISERROR(B30*3.6/1000000/'E Balans VL '!Z14*100),0,B30*3.6/1000000/'E Balans VL '!Z14*100)</f>
        <v>0.13188267871891446</v>
      </c>
      <c r="D30" s="237" t="s">
        <v>716</v>
      </c>
      <c r="F30" s="6"/>
    </row>
    <row r="31" spans="1:18">
      <c r="A31" s="231" t="s">
        <v>54</v>
      </c>
      <c r="B31" s="33">
        <f>IF(ISERROR(TER_onderwijs_ele_kWh/1000),0,TER_onderwijs_ele_kWh/1000)</f>
        <v>227.352</v>
      </c>
      <c r="C31" s="39">
        <f>IF(ISERROR(B31*3.6/1000000/'E Balans VL '!Z11*100),0,B31*3.6/1000000/'E Balans VL '!Z11*100)</f>
        <v>6.4804578204535584E-2</v>
      </c>
      <c r="D31" s="237" t="s">
        <v>716</v>
      </c>
    </row>
    <row r="32" spans="1:18">
      <c r="A32" s="231" t="s">
        <v>259</v>
      </c>
      <c r="B32" s="33">
        <f>IF(ISERROR(TER_rest_ele_kWh/1000),0,TER_rest_ele_kWh/1000)</f>
        <v>0</v>
      </c>
      <c r="C32" s="39">
        <f>IF(ISERROR(B32*3.6/1000000/'E Balans VL '!Z8*100),0,B32*3.6/1000000/'E Balans VL '!Z8*100)</f>
        <v>0</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7</v>
      </c>
      <c r="C38" s="43"/>
      <c r="D38" s="232"/>
    </row>
    <row r="39" spans="1:4">
      <c r="A39" s="171" t="s">
        <v>471</v>
      </c>
      <c r="B39" s="315">
        <v>13.15681996793146</v>
      </c>
      <c r="C39" s="43"/>
      <c r="D39" s="309" t="s">
        <v>860</v>
      </c>
    </row>
    <row r="40" spans="1:4">
      <c r="A40" s="6" t="s">
        <v>472</v>
      </c>
      <c r="B40" s="320">
        <f>1.34/3.6</f>
        <v>0.37222222222222223</v>
      </c>
      <c r="C40" s="43" t="s">
        <v>217</v>
      </c>
      <c r="D40" s="309" t="s">
        <v>861</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2</v>
      </c>
      <c r="C46" s="32"/>
      <c r="D46" s="232"/>
    </row>
    <row r="47" spans="1:4">
      <c r="A47" s="171" t="s">
        <v>441</v>
      </c>
      <c r="B47" s="559">
        <v>37.963784638354454</v>
      </c>
      <c r="C47" s="32" t="s">
        <v>262</v>
      </c>
      <c r="D47" s="309" t="s">
        <v>860</v>
      </c>
    </row>
    <row r="48" spans="1:4">
      <c r="A48" s="171" t="s">
        <v>442</v>
      </c>
      <c r="B48" s="559">
        <v>1887.1743212997605</v>
      </c>
      <c r="C48" s="32" t="s">
        <v>264</v>
      </c>
      <c r="D48" s="309" t="s">
        <v>860</v>
      </c>
    </row>
    <row r="49" spans="1:4">
      <c r="A49" s="171" t="s">
        <v>404</v>
      </c>
      <c r="B49" s="559">
        <v>3.75</v>
      </c>
      <c r="C49" s="32"/>
      <c r="D49" s="309" t="s">
        <v>861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54493.810406999997</v>
      </c>
      <c r="C5" s="17">
        <f>IF(ISERROR('Eigen informatie GS &amp; warmtenet'!B61),0,'Eigen informatie GS &amp; warmtenet'!B61)</f>
        <v>0</v>
      </c>
      <c r="D5" s="30">
        <f>SUM(D6:D15)</f>
        <v>71757.705744999999</v>
      </c>
      <c r="E5" s="17">
        <f>SUM(E6:E15)</f>
        <v>1377.2928461566285</v>
      </c>
      <c r="F5" s="17">
        <f>SUM(F6:F15)</f>
        <v>6629.6127332610349</v>
      </c>
      <c r="G5" s="18"/>
      <c r="H5" s="17"/>
      <c r="I5" s="17"/>
      <c r="J5" s="17">
        <f>SUM(J6:J15)</f>
        <v>4.1869204148482471</v>
      </c>
      <c r="K5" s="17"/>
      <c r="L5" s="17"/>
      <c r="M5" s="17"/>
      <c r="N5" s="17">
        <f>SUM(N6:N15)</f>
        <v>3075.9510965592281</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3379.3953070000002</v>
      </c>
      <c r="C8" s="33"/>
      <c r="D8" s="37">
        <f>IF( ISERROR(IND_metaal_Gas_kWH/1000),0,IND_metaal_Gas_kWH/1000)*0.902</f>
        <v>3608.3681964000002</v>
      </c>
      <c r="E8" s="33">
        <f>C30*'E Balans VL '!I18/100/3.6*1000000</f>
        <v>24.379965258703557</v>
      </c>
      <c r="F8" s="33">
        <f>C30*'E Balans VL '!L18/100/3.6*1000000+C30*'E Balans VL '!N18/100/3.6*1000000</f>
        <v>319.62848435768564</v>
      </c>
      <c r="G8" s="34"/>
      <c r="H8" s="33"/>
      <c r="I8" s="33"/>
      <c r="J8" s="40">
        <f>C30*'E Balans VL '!D18/100/3.6*1000000+C30*'E Balans VL '!E18/100/3.6*1000000</f>
        <v>3.3990154381162445</v>
      </c>
      <c r="K8" s="33"/>
      <c r="L8" s="33"/>
      <c r="M8" s="33"/>
      <c r="N8" s="33">
        <f>C30*'E Balans VL '!Y18/100/3.6*1000000</f>
        <v>42.72449767774939</v>
      </c>
      <c r="O8" s="33"/>
      <c r="P8" s="33"/>
      <c r="R8" s="32"/>
    </row>
    <row r="9" spans="1:18">
      <c r="A9" s="6" t="s">
        <v>32</v>
      </c>
      <c r="B9" s="37">
        <f t="shared" si="0"/>
        <v>4568.5927999999994</v>
      </c>
      <c r="C9" s="33"/>
      <c r="D9" s="37">
        <f>IF( ISERROR(IND_andere_gas_kWh/1000),0,IND_andere_gas_kWh/1000)*0.902</f>
        <v>1072.2907447999999</v>
      </c>
      <c r="E9" s="33">
        <f>C31*'E Balans VL '!I19/100/3.6*1000000</f>
        <v>1266.0181546191948</v>
      </c>
      <c r="F9" s="33">
        <f>C31*'E Balans VL '!L19/100/3.6*1000000+C31*'E Balans VL '!N19/100/3.6*1000000</f>
        <v>3786.4595854451304</v>
      </c>
      <c r="G9" s="34"/>
      <c r="H9" s="33"/>
      <c r="I9" s="33"/>
      <c r="J9" s="40">
        <f>C31*'E Balans VL '!D19/100/3.6*1000000+C31*'E Balans VL '!E19/100/3.6*1000000</f>
        <v>0</v>
      </c>
      <c r="K9" s="33"/>
      <c r="L9" s="33"/>
      <c r="M9" s="33"/>
      <c r="N9" s="33">
        <f>C31*'E Balans VL '!Y19/100/3.6*1000000</f>
        <v>331.62395734059083</v>
      </c>
      <c r="O9" s="33"/>
      <c r="P9" s="33"/>
      <c r="R9" s="32"/>
    </row>
    <row r="10" spans="1:18">
      <c r="A10" s="6" t="s">
        <v>40</v>
      </c>
      <c r="B10" s="37">
        <f t="shared" si="0"/>
        <v>46362.534299999999</v>
      </c>
      <c r="C10" s="33"/>
      <c r="D10" s="37">
        <f>IF( ISERROR(IND_voed_gas_kWh/1000),0,IND_voed_gas_kWh/1000)*0.902</f>
        <v>66913.235485800004</v>
      </c>
      <c r="E10" s="33">
        <f>C32*'E Balans VL '!I20/100/3.6*1000000</f>
        <v>82.077389708195639</v>
      </c>
      <c r="F10" s="33">
        <f>C32*'E Balans VL '!L20/100/3.6*1000000+C32*'E Balans VL '!N20/100/3.6*1000000</f>
        <v>2503.9877596556007</v>
      </c>
      <c r="G10" s="34"/>
      <c r="H10" s="33"/>
      <c r="I10" s="33"/>
      <c r="J10" s="40">
        <f>C32*'E Balans VL '!D20/100/3.6*1000000+C32*'E Balans VL '!E20/100/3.6*1000000</f>
        <v>0</v>
      </c>
      <c r="K10" s="33"/>
      <c r="L10" s="33"/>
      <c r="M10" s="33"/>
      <c r="N10" s="33">
        <f>C32*'E Balans VL '!Y20/100/3.6*1000000</f>
        <v>2694.0173179165395</v>
      </c>
      <c r="O10" s="33"/>
      <c r="P10" s="33"/>
      <c r="R10" s="32"/>
    </row>
    <row r="11" spans="1:18">
      <c r="A11" s="6" t="s">
        <v>39</v>
      </c>
      <c r="B11" s="37">
        <f t="shared" si="0"/>
        <v>87.914000000000001</v>
      </c>
      <c r="C11" s="33"/>
      <c r="D11" s="37">
        <f>IF( ISERROR(IND_textiel_gas_kWh/1000),0,IND_textiel_gas_kWh/1000)*0.902</f>
        <v>0</v>
      </c>
      <c r="E11" s="33">
        <f>C33*'E Balans VL '!I21/100/3.6*1000000</f>
        <v>0.30990597503100109</v>
      </c>
      <c r="F11" s="33">
        <f>C33*'E Balans VL '!L21/100/3.6*1000000+C33*'E Balans VL '!N21/100/3.6*1000000</f>
        <v>2.5804073631969118</v>
      </c>
      <c r="G11" s="34"/>
      <c r="H11" s="33"/>
      <c r="I11" s="33"/>
      <c r="J11" s="40">
        <f>C33*'E Balans VL '!D21/100/3.6*1000000+C33*'E Balans VL '!E21/100/3.6*1000000</f>
        <v>0</v>
      </c>
      <c r="K11" s="33"/>
      <c r="L11" s="33"/>
      <c r="M11" s="33"/>
      <c r="N11" s="33">
        <f>C33*'E Balans VL '!Y21/100/3.6*1000000</f>
        <v>3.8734782554382461</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95.373999999999995</v>
      </c>
      <c r="C15" s="33"/>
      <c r="D15" s="37">
        <f>IF( ISERROR(IND_rest_gas_kWh/1000),0,IND_rest_gas_kWh/1000)*0.902</f>
        <v>163.811318</v>
      </c>
      <c r="E15" s="33">
        <f>C37*'E Balans VL '!I15/100/3.6*1000000</f>
        <v>4.5074305955035552</v>
      </c>
      <c r="F15" s="33">
        <f>C37*'E Balans VL '!L15/100/3.6*1000000+C37*'E Balans VL '!N15/100/3.6*1000000</f>
        <v>16.956496439421311</v>
      </c>
      <c r="G15" s="34"/>
      <c r="H15" s="33"/>
      <c r="I15" s="33"/>
      <c r="J15" s="40">
        <f>C37*'E Balans VL '!D15/100/3.6*1000000+C37*'E Balans VL '!E15/100/3.6*1000000</f>
        <v>0.78790497673200244</v>
      </c>
      <c r="K15" s="33"/>
      <c r="L15" s="33"/>
      <c r="M15" s="33"/>
      <c r="N15" s="33">
        <f>C37*'E Balans VL '!Y15/100/3.6*1000000</f>
        <v>3.711845368910013</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54493.810406999997</v>
      </c>
      <c r="C18" s="21">
        <f>C5+C16</f>
        <v>0</v>
      </c>
      <c r="D18" s="21">
        <f>MAX((D5+D16),0)</f>
        <v>71757.705744999999</v>
      </c>
      <c r="E18" s="21">
        <f>MAX((E5+E16),0)</f>
        <v>1377.2928461566285</v>
      </c>
      <c r="F18" s="21">
        <f>MAX((F5+F16),0)</f>
        <v>6629.6127332610349</v>
      </c>
      <c r="G18" s="21"/>
      <c r="H18" s="21"/>
      <c r="I18" s="21"/>
      <c r="J18" s="21">
        <f>MAX((J5+J16),0)</f>
        <v>4.1869204148482471</v>
      </c>
      <c r="K18" s="21"/>
      <c r="L18" s="21">
        <f>MAX((L5+L16),0)</f>
        <v>0</v>
      </c>
      <c r="M18" s="21"/>
      <c r="N18" s="21">
        <f>MAX((N5+N16),0)</f>
        <v>3075.9510965592281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0.17438864655743244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9503.1018426340561</v>
      </c>
      <c r="C22" s="23">
        <f ca="1">C18*C20</f>
        <v>0</v>
      </c>
      <c r="D22" s="23">
        <f>D18*D20</f>
        <v>14495.05656049</v>
      </c>
      <c r="E22" s="23">
        <f>E18*E20</f>
        <v>312.64547607755469</v>
      </c>
      <c r="F22" s="23">
        <f>F18*F20</f>
        <v>1770.1065997806963</v>
      </c>
      <c r="G22" s="23"/>
      <c r="H22" s="23"/>
      <c r="I22" s="23"/>
      <c r="J22" s="23">
        <f>J18*J20</f>
        <v>1.4821698268562793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3379.3953070000002</v>
      </c>
      <c r="C30" s="39">
        <f>IF(ISERROR(B30*3.6/1000000/'E Balans VL '!Z18*100),0,B30*3.6/1000000/'E Balans VL '!Z18*100)</f>
        <v>0.19508721804152415</v>
      </c>
      <c r="D30" s="237" t="s">
        <v>716</v>
      </c>
    </row>
    <row r="31" spans="1:18">
      <c r="A31" s="6" t="s">
        <v>32</v>
      </c>
      <c r="B31" s="37">
        <f>IF( ISERROR(IND_ander_ele_kWh/1000),0,IND_ander_ele_kWh/1000)</f>
        <v>4568.5927999999994</v>
      </c>
      <c r="C31" s="39">
        <f>IF(ISERROR(B31*3.6/1000000/'E Balans VL '!Z19*100),0,B31*3.6/1000000/'E Balans VL '!Z19*100)</f>
        <v>0.22978540931983915</v>
      </c>
      <c r="D31" s="237" t="s">
        <v>716</v>
      </c>
    </row>
    <row r="32" spans="1:18">
      <c r="A32" s="171" t="s">
        <v>40</v>
      </c>
      <c r="B32" s="37">
        <f>IF( ISERROR(IND_voed_ele_kWh/1000),0,IND_voed_ele_kWh/1000)</f>
        <v>46362.534299999999</v>
      </c>
      <c r="C32" s="39">
        <f>IF(ISERROR(B32*3.6/1000000/'E Balans VL '!Z20*100),0,B32*3.6/1000000/'E Balans VL '!Z20*100)</f>
        <v>1.5441477044205396</v>
      </c>
      <c r="D32" s="237" t="s">
        <v>716</v>
      </c>
    </row>
    <row r="33" spans="1:5">
      <c r="A33" s="171" t="s">
        <v>39</v>
      </c>
      <c r="B33" s="37">
        <f>IF( ISERROR(IND_textiel_ele_kWh/1000),0,IND_textiel_ele_kWh/1000)</f>
        <v>87.914000000000001</v>
      </c>
      <c r="C33" s="39">
        <f>IF(ISERROR(B33*3.6/1000000/'E Balans VL '!Z21*100),0,B33*3.6/1000000/'E Balans VL '!Z21*100)</f>
        <v>1.3706911519415088E-2</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0</v>
      </c>
      <c r="C35" s="39">
        <f>IF(ISERROR(B35*3.6/1000000/'E Balans VL '!Z22*100),0,B35*3.6/1000000/'E Balans VL '!Z22*100)</f>
        <v>0</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95.373999999999995</v>
      </c>
      <c r="C37" s="39">
        <f>IF(ISERROR(B37*3.6/1000000/'E Balans VL '!Z15*100),0,B37*3.6/1000000/'E Balans VL '!Z15*100)</f>
        <v>7.441780127154118E-4</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860</v>
      </c>
    </row>
    <row r="45" spans="1:5">
      <c r="A45" s="6" t="s">
        <v>472</v>
      </c>
      <c r="B45" s="320">
        <f>1.34/3.6</f>
        <v>0.37222222222222223</v>
      </c>
      <c r="C45" s="43" t="s">
        <v>217</v>
      </c>
      <c r="D45" s="309" t="s">
        <v>861</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3532.0505499999999</v>
      </c>
      <c r="C5" s="17">
        <f>'Eigen informatie GS &amp; warmtenet'!B62</f>
        <v>0</v>
      </c>
      <c r="D5" s="30">
        <f>IF(ISERROR(SUM(LB_lb_gas_kWh,LB_rest_gas_kWh)/1000),0,SUM(LB_lb_gas_kWh,LB_rest_gas_kWh)/1000)*0.902</f>
        <v>61.151992000000007</v>
      </c>
      <c r="E5" s="17">
        <f>B17*'E Balans VL '!I25/3.6*1000000/100</f>
        <v>110.23413293891848</v>
      </c>
      <c r="F5" s="17">
        <f>B17*('E Balans VL '!L25/3.6*1000000+'E Balans VL '!N25/3.6*1000000)/100</f>
        <v>12482.657913705032</v>
      </c>
      <c r="G5" s="18"/>
      <c r="H5" s="17"/>
      <c r="I5" s="17"/>
      <c r="J5" s="17">
        <f>('E Balans VL '!D25+'E Balans VL '!E25)/3.6*1000000*landbouw!B17/100</f>
        <v>973.10442108089558</v>
      </c>
      <c r="K5" s="17"/>
      <c r="L5" s="17">
        <f>L6*(-1)</f>
        <v>0</v>
      </c>
      <c r="M5" s="17"/>
      <c r="N5" s="17">
        <f>N6*(-1)</f>
        <v>249.42857142857139</v>
      </c>
      <c r="O5" s="17"/>
      <c r="P5" s="17"/>
      <c r="R5" s="32"/>
    </row>
    <row r="6" spans="1:18">
      <c r="A6" s="16" t="s">
        <v>482</v>
      </c>
      <c r="B6" s="17" t="s">
        <v>210</v>
      </c>
      <c r="C6" s="17">
        <f>'lokale energieproductie'!O92+'lokale energieproductie'!O61</f>
        <v>124.71428571428569</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-249.42857142857139</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3532.0505499999999</v>
      </c>
      <c r="C8" s="21">
        <f>C5+C6</f>
        <v>124.71428571428569</v>
      </c>
      <c r="D8" s="21">
        <f>MAX((D5+D6),0)</f>
        <v>61.151992000000007</v>
      </c>
      <c r="E8" s="21">
        <f>MAX((E5+E6),0)</f>
        <v>110.23413293891848</v>
      </c>
      <c r="F8" s="21">
        <f>MAX((F5+F6),0)</f>
        <v>12482.657913705032</v>
      </c>
      <c r="G8" s="21"/>
      <c r="H8" s="21"/>
      <c r="I8" s="21"/>
      <c r="J8" s="21">
        <f>MAX((J5+J6),0)</f>
        <v>973.10442108089558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0.17438864655743244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615.9495149869349</v>
      </c>
      <c r="C12" s="23">
        <f ca="1">C8*C10</f>
        <v>0</v>
      </c>
      <c r="D12" s="23">
        <f>D8*D10</f>
        <v>12.352702384000002</v>
      </c>
      <c r="E12" s="23">
        <f>E8*E10</f>
        <v>25.023148177134495</v>
      </c>
      <c r="F12" s="23">
        <f>F8*F10</f>
        <v>3332.8696629592437</v>
      </c>
      <c r="G12" s="23"/>
      <c r="H12" s="23"/>
      <c r="I12" s="23"/>
      <c r="J12" s="23">
        <f>J8*J10</f>
        <v>344.47896506263703</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0.52506463439422091</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851.0489933211984</v>
      </c>
      <c r="C26" s="247">
        <f>B26*'GWP N2O_CH4'!B5</f>
        <v>17872.028859745165</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313.82301135213919</v>
      </c>
      <c r="C27" s="247">
        <f>B27*'GWP N2O_CH4'!B5</f>
        <v>6590.2832383949226</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9.4650982481535788</v>
      </c>
      <c r="C28" s="247">
        <f>B28*'GWP N2O_CH4'!B4</f>
        <v>2934.1804569276096</v>
      </c>
      <c r="D28" s="50"/>
    </row>
    <row r="29" spans="1:4">
      <c r="A29" s="41" t="s">
        <v>276</v>
      </c>
      <c r="B29" s="247">
        <f>B34*'ha_N2O bodem landbouw'!B4</f>
        <v>20.995512078114473</v>
      </c>
      <c r="C29" s="247">
        <f>B29*'GWP N2O_CH4'!B4</f>
        <v>6508.6087442154867</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4.6039377830351504E-3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1.2494215560499998E-4</v>
      </c>
      <c r="C5" s="463" t="s">
        <v>210</v>
      </c>
      <c r="D5" s="448">
        <f>SUM(D6:D11)</f>
        <v>5.40611285584524E-4</v>
      </c>
      <c r="E5" s="448">
        <f>SUM(E6:E11)</f>
        <v>4.1188639264634998E-4</v>
      </c>
      <c r="F5" s="461" t="s">
        <v>210</v>
      </c>
      <c r="G5" s="448">
        <f>SUM(G6:G11)</f>
        <v>0.16222330033993762</v>
      </c>
      <c r="H5" s="448">
        <f>SUM(H6:H11)</f>
        <v>4.0115395574362014E-2</v>
      </c>
      <c r="I5" s="463" t="s">
        <v>210</v>
      </c>
      <c r="J5" s="463" t="s">
        <v>210</v>
      </c>
      <c r="K5" s="463" t="s">
        <v>210</v>
      </c>
      <c r="L5" s="463" t="s">
        <v>210</v>
      </c>
      <c r="M5" s="448">
        <f>SUM(M6:M11)</f>
        <v>1.1990614747175284E-2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8.5276538914999989E-5</v>
      </c>
      <c r="C6" s="449"/>
      <c r="D6" s="917">
        <f>vkm_2011_GW_PW*SUMIFS(TableVerdeelsleutelVkm[CNG],TableVerdeelsleutelVkm[Voertuigtype],"Lichte voertuigen")*SUMIFS(TableECFTransport[EnergieConsumptieFactor (PJ per km)],TableECFTransport[Index],CONCATENATE($A6,"_CNG_CNG"))</f>
        <v>2.9652105117188401E-4</v>
      </c>
      <c r="E6" s="917">
        <f>vkm_2011_GW_PW*SUMIFS(TableVerdeelsleutelVkm[LPG],TableVerdeelsleutelVkm[Voertuigtype],"Lichte voertuigen")*SUMIFS(TableECFTransport[EnergieConsumptieFactor (PJ per km)],TableECFTransport[Index],CONCATENATE($A6,"_LPG_LPG"))</f>
        <v>2.336097349428E-4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6.3591286134789204E-2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2.2252726513213441E-2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5.1297193152204127E-3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5.0771325549691118E-2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1.2790933004723329E-5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2.927633251862214E-3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3.9665616689999997E-5</v>
      </c>
      <c r="C8" s="449"/>
      <c r="D8" s="451">
        <f>vkm_2011_NGW_PW*SUMIFS(TableVerdeelsleutelVkm[CNG],TableVerdeelsleutelVkm[Voertuigtype],"Lichte voertuigen")*SUMIFS(TableECFTransport[EnergieConsumptieFactor (PJ per km)],TableECFTransport[Index],CONCATENATE($A8,"_CNG_CNG"))</f>
        <v>2.4409023441264002E-4</v>
      </c>
      <c r="E8" s="451">
        <f>vkm_2011_NGW_PW*SUMIFS(TableVerdeelsleutelVkm[LPG],TableVerdeelsleutelVkm[Voertuigtype],"Lichte voertuigen")*SUMIFS(TableECFTransport[EnergieConsumptieFactor (PJ per km)],TableECFTransport[Index],CONCATENATE($A8,"_LPG_LPG"))</f>
        <v>1.7827665770354999E-4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4.5033413461795749E-2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1.7849206051357102E-2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3.7702353042952403E-3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2.8272751936615492E-3</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6.7207678674826621E-7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1.6302687579741479E-4</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34.706154334722214</v>
      </c>
      <c r="C14" s="21"/>
      <c r="D14" s="21">
        <f t="shared" ref="D14:M14" si="0">((D5)*10^9/3600)+D12</f>
        <v>150.16980155125668</v>
      </c>
      <c r="E14" s="21">
        <f t="shared" si="0"/>
        <v>114.41288684620832</v>
      </c>
      <c r="F14" s="21"/>
      <c r="G14" s="21">
        <f t="shared" si="0"/>
        <v>45062.027872204897</v>
      </c>
      <c r="H14" s="21">
        <f t="shared" si="0"/>
        <v>11143.165437322783</v>
      </c>
      <c r="I14" s="21"/>
      <c r="J14" s="21"/>
      <c r="K14" s="21"/>
      <c r="L14" s="21"/>
      <c r="M14" s="21">
        <f t="shared" si="0"/>
        <v>3330.7263186598011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0.17438864655743244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6.0523592816455745</v>
      </c>
      <c r="C18" s="23"/>
      <c r="D18" s="23">
        <f t="shared" ref="D18:M18" si="1">D14*D16</f>
        <v>30.334299913353853</v>
      </c>
      <c r="E18" s="23">
        <f t="shared" si="1"/>
        <v>25.971725314089291</v>
      </c>
      <c r="F18" s="23"/>
      <c r="G18" s="23">
        <f t="shared" si="1"/>
        <v>12031.561441878708</v>
      </c>
      <c r="H18" s="23">
        <f t="shared" si="1"/>
        <v>2774.648193893373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798</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797</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3.2955580416442537E-3</v>
      </c>
      <c r="H50" s="321">
        <f t="shared" si="2"/>
        <v>0</v>
      </c>
      <c r="I50" s="321">
        <f t="shared" si="2"/>
        <v>0</v>
      </c>
      <c r="J50" s="321">
        <f t="shared" si="2"/>
        <v>0</v>
      </c>
      <c r="K50" s="321">
        <f t="shared" si="2"/>
        <v>0</v>
      </c>
      <c r="L50" s="321">
        <f t="shared" si="2"/>
        <v>0</v>
      </c>
      <c r="M50" s="321">
        <f t="shared" si="2"/>
        <v>1.8316748058805381E-4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3.2955580416442537E-3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1.8316748058805381E-4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915.43278934562602</v>
      </c>
      <c r="H54" s="21">
        <f t="shared" si="3"/>
        <v>0</v>
      </c>
      <c r="I54" s="21">
        <f t="shared" si="3"/>
        <v>0</v>
      </c>
      <c r="J54" s="21">
        <f t="shared" si="3"/>
        <v>0</v>
      </c>
      <c r="K54" s="21">
        <f t="shared" si="3"/>
        <v>0</v>
      </c>
      <c r="L54" s="21">
        <f t="shared" si="3"/>
        <v>0</v>
      </c>
      <c r="M54" s="21">
        <f t="shared" si="3"/>
        <v>50.879855718903841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0.17438864655743244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244.42055475528215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7" zoomScale="69" zoomScaleNormal="69" workbookViewId="0">
      <selection activeCell="B89" sqref="B89"/>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3" t="s">
        <v>220</v>
      </c>
      <c r="B2" s="1163"/>
      <c r="C2" s="1163"/>
      <c r="D2" s="59"/>
      <c r="E2" s="59"/>
      <c r="F2" s="59"/>
      <c r="G2" s="59"/>
      <c r="H2" s="60"/>
      <c r="I2" s="60"/>
      <c r="J2" s="61"/>
      <c r="K2" s="61"/>
      <c r="L2" s="60"/>
      <c r="M2" s="60"/>
      <c r="N2" s="60"/>
      <c r="O2" s="60"/>
      <c r="P2" s="60"/>
      <c r="Q2" s="60"/>
      <c r="R2" s="60"/>
    </row>
    <row r="3" spans="1:19">
      <c r="A3" s="1164"/>
      <c r="B3" s="1164"/>
      <c r="C3" s="1164"/>
      <c r="D3" s="1164"/>
      <c r="E3" s="1164"/>
      <c r="F3" s="1164"/>
      <c r="G3" s="1164"/>
      <c r="H3" s="1164"/>
      <c r="I3" s="1164"/>
      <c r="J3" s="1164"/>
      <c r="K3" s="1164"/>
      <c r="L3" s="1164"/>
      <c r="M3" s="1164"/>
      <c r="N3" s="1164"/>
      <c r="O3" s="1164"/>
      <c r="P3" s="1164"/>
      <c r="Q3" s="1164"/>
      <c r="R3" s="1164"/>
    </row>
    <row r="4" spans="1:19" ht="15.75" thickBot="1">
      <c r="A4" s="473"/>
      <c r="B4" s="473"/>
      <c r="C4" s="63"/>
      <c r="D4" s="63"/>
      <c r="E4" s="63"/>
      <c r="F4" s="63"/>
      <c r="G4" s="63"/>
      <c r="H4" s="63"/>
      <c r="I4" s="63"/>
      <c r="J4" s="63"/>
      <c r="K4" s="63"/>
      <c r="L4" s="63"/>
      <c r="M4" s="63"/>
      <c r="N4" s="63"/>
      <c r="O4" s="63"/>
      <c r="P4" s="63"/>
      <c r="Q4" s="63"/>
      <c r="R4" s="63"/>
    </row>
    <row r="5" spans="1:19" ht="16.5" thickBot="1">
      <c r="A5" s="1165" t="s">
        <v>221</v>
      </c>
      <c r="B5" s="825"/>
      <c r="C5" s="1168" t="s">
        <v>342</v>
      </c>
      <c r="D5" s="1169"/>
      <c r="E5" s="1169"/>
      <c r="F5" s="1169"/>
      <c r="G5" s="1169"/>
      <c r="H5" s="1169"/>
      <c r="I5" s="1169"/>
      <c r="J5" s="1169"/>
      <c r="K5" s="1169"/>
      <c r="L5" s="1169"/>
      <c r="M5" s="1169"/>
      <c r="N5" s="1169"/>
      <c r="O5" s="1169"/>
      <c r="P5" s="1169"/>
      <c r="Q5" s="1169"/>
      <c r="R5" s="1170"/>
    </row>
    <row r="6" spans="1:19" ht="16.5" thickTop="1">
      <c r="A6" s="1166"/>
      <c r="B6" s="826"/>
      <c r="C6" s="1171" t="s">
        <v>20</v>
      </c>
      <c r="D6" s="1173" t="s">
        <v>195</v>
      </c>
      <c r="E6" s="1175" t="s">
        <v>196</v>
      </c>
      <c r="F6" s="1176"/>
      <c r="G6" s="1176"/>
      <c r="H6" s="1176"/>
      <c r="I6" s="1176"/>
      <c r="J6" s="1176"/>
      <c r="K6" s="1176"/>
      <c r="L6" s="1177"/>
      <c r="M6" s="1175" t="s">
        <v>197</v>
      </c>
      <c r="N6" s="1176"/>
      <c r="O6" s="1176"/>
      <c r="P6" s="1176"/>
      <c r="Q6" s="1176"/>
      <c r="R6" s="1178" t="s">
        <v>115</v>
      </c>
    </row>
    <row r="7" spans="1:19" ht="45.75" thickBot="1">
      <c r="A7" s="1167"/>
      <c r="B7" s="827"/>
      <c r="C7" s="1172"/>
      <c r="D7" s="1174"/>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79"/>
    </row>
    <row r="8" spans="1:19" ht="18.75" customHeight="1" thickTop="1">
      <c r="A8" s="833" t="s">
        <v>343</v>
      </c>
      <c r="B8" s="838"/>
      <c r="C8" s="1180"/>
      <c r="D8" s="1180"/>
      <c r="E8" s="1180"/>
      <c r="F8" s="1180"/>
      <c r="G8" s="1180"/>
      <c r="H8" s="1180"/>
      <c r="I8" s="1180"/>
      <c r="J8" s="1180"/>
      <c r="K8" s="1180"/>
      <c r="L8" s="1180"/>
      <c r="M8" s="1180"/>
      <c r="N8" s="1180"/>
      <c r="O8" s="1180"/>
      <c r="P8" s="1180"/>
      <c r="Q8" s="1180"/>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26988.52795</v>
      </c>
      <c r="D10" s="712">
        <f ca="1">tertiair!C16</f>
        <v>19118.571428571428</v>
      </c>
      <c r="E10" s="712">
        <f ca="1">tertiair!D16</f>
        <v>6598.3241555000004</v>
      </c>
      <c r="F10" s="712">
        <f>tertiair!E16</f>
        <v>166.06882840547664</v>
      </c>
      <c r="G10" s="712">
        <f ca="1">tertiair!F16</f>
        <v>1499.297322891048</v>
      </c>
      <c r="H10" s="712">
        <f>tertiair!G16</f>
        <v>0</v>
      </c>
      <c r="I10" s="712">
        <f>tertiair!H16</f>
        <v>0</v>
      </c>
      <c r="J10" s="712">
        <f>tertiair!I16</f>
        <v>0</v>
      </c>
      <c r="K10" s="712">
        <f>tertiair!J16</f>
        <v>3.0853571855262704E-2</v>
      </c>
      <c r="L10" s="712">
        <f>tertiair!K16</f>
        <v>0</v>
      </c>
      <c r="M10" s="712">
        <f ca="1">tertiair!L16</f>
        <v>0</v>
      </c>
      <c r="N10" s="712">
        <f>tertiair!M16</f>
        <v>0</v>
      </c>
      <c r="O10" s="712">
        <f ca="1">tertiair!N16</f>
        <v>0</v>
      </c>
      <c r="P10" s="712">
        <f>tertiair!O16</f>
        <v>34.280825360888088</v>
      </c>
      <c r="Q10" s="713">
        <f>tertiair!P16</f>
        <v>105.07827661299004</v>
      </c>
      <c r="R10" s="715">
        <f ca="1">SUM(C10:Q10)</f>
        <v>54510.179640913688</v>
      </c>
      <c r="S10" s="67"/>
    </row>
    <row r="11" spans="1:19" s="474" customFormat="1">
      <c r="A11" s="834" t="s">
        <v>224</v>
      </c>
      <c r="B11" s="839"/>
      <c r="C11" s="712">
        <f>huishoudens!B8</f>
        <v>23058.949726657822</v>
      </c>
      <c r="D11" s="712">
        <f>huishoudens!C8</f>
        <v>0</v>
      </c>
      <c r="E11" s="712">
        <f>huishoudens!D8</f>
        <v>34076.8224797</v>
      </c>
      <c r="F11" s="712">
        <f>huishoudens!E8</f>
        <v>8714.4560456927593</v>
      </c>
      <c r="G11" s="712">
        <f>huishoudens!F8</f>
        <v>29986.247320177874</v>
      </c>
      <c r="H11" s="712">
        <f>huishoudens!G8</f>
        <v>0</v>
      </c>
      <c r="I11" s="712">
        <f>huishoudens!H8</f>
        <v>0</v>
      </c>
      <c r="J11" s="712">
        <f>huishoudens!I8</f>
        <v>0</v>
      </c>
      <c r="K11" s="712">
        <f>huishoudens!J8</f>
        <v>0</v>
      </c>
      <c r="L11" s="712">
        <f>huishoudens!K8</f>
        <v>0</v>
      </c>
      <c r="M11" s="712">
        <f>huishoudens!L8</f>
        <v>0</v>
      </c>
      <c r="N11" s="712">
        <f>huishoudens!M8</f>
        <v>0</v>
      </c>
      <c r="O11" s="712">
        <f>huishoudens!N8</f>
        <v>18581.549183001596</v>
      </c>
      <c r="P11" s="712">
        <f>huishoudens!O8</f>
        <v>476.14997265288758</v>
      </c>
      <c r="Q11" s="713">
        <f>huishoudens!P8</f>
        <v>642.57151776878641</v>
      </c>
      <c r="R11" s="715">
        <f>SUM(C11:Q11)</f>
        <v>115536.74624565172</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54493.810406999997</v>
      </c>
      <c r="D13" s="712">
        <f>industrie!C18</f>
        <v>0</v>
      </c>
      <c r="E13" s="712">
        <f>industrie!D18</f>
        <v>71757.705744999999</v>
      </c>
      <c r="F13" s="712">
        <f>industrie!E18</f>
        <v>1377.2928461566285</v>
      </c>
      <c r="G13" s="712">
        <f>industrie!F18</f>
        <v>6629.6127332610349</v>
      </c>
      <c r="H13" s="712">
        <f>industrie!G18</f>
        <v>0</v>
      </c>
      <c r="I13" s="712">
        <f>industrie!H18</f>
        <v>0</v>
      </c>
      <c r="J13" s="712">
        <f>industrie!I18</f>
        <v>0</v>
      </c>
      <c r="K13" s="712">
        <f>industrie!J18</f>
        <v>4.1869204148482471</v>
      </c>
      <c r="L13" s="712">
        <f>industrie!K18</f>
        <v>0</v>
      </c>
      <c r="M13" s="712">
        <f>industrie!L18</f>
        <v>0</v>
      </c>
      <c r="N13" s="712">
        <f>industrie!M18</f>
        <v>0</v>
      </c>
      <c r="O13" s="712">
        <f>industrie!N18</f>
        <v>3075.9510965592281</v>
      </c>
      <c r="P13" s="712">
        <f>industrie!O18</f>
        <v>0</v>
      </c>
      <c r="Q13" s="713">
        <f>industrie!P18</f>
        <v>0</v>
      </c>
      <c r="R13" s="715">
        <f>SUM(C13:Q13)</f>
        <v>137338.55974839177</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104541.28808365783</v>
      </c>
      <c r="D16" s="748">
        <f t="shared" ref="D16:R16" ca="1" si="0">SUM(D9:D15)</f>
        <v>19118.571428571428</v>
      </c>
      <c r="E16" s="748">
        <f t="shared" ca="1" si="0"/>
        <v>112432.8523802</v>
      </c>
      <c r="F16" s="748">
        <f t="shared" si="0"/>
        <v>10257.817720254863</v>
      </c>
      <c r="G16" s="748">
        <f t="shared" ca="1" si="0"/>
        <v>38115.15737632996</v>
      </c>
      <c r="H16" s="748">
        <f t="shared" si="0"/>
        <v>0</v>
      </c>
      <c r="I16" s="748">
        <f t="shared" si="0"/>
        <v>0</v>
      </c>
      <c r="J16" s="748">
        <f t="shared" si="0"/>
        <v>0</v>
      </c>
      <c r="K16" s="748">
        <f t="shared" si="0"/>
        <v>4.2177739867035093</v>
      </c>
      <c r="L16" s="748">
        <f t="shared" si="0"/>
        <v>0</v>
      </c>
      <c r="M16" s="748">
        <f t="shared" ca="1" si="0"/>
        <v>0</v>
      </c>
      <c r="N16" s="748">
        <f t="shared" si="0"/>
        <v>0</v>
      </c>
      <c r="O16" s="748">
        <f t="shared" ca="1" si="0"/>
        <v>21657.500279560823</v>
      </c>
      <c r="P16" s="748">
        <f t="shared" si="0"/>
        <v>510.43079801377564</v>
      </c>
      <c r="Q16" s="748">
        <f t="shared" si="0"/>
        <v>747.64979438177647</v>
      </c>
      <c r="R16" s="748">
        <f t="shared" ca="1" si="0"/>
        <v>307385.48563495721</v>
      </c>
      <c r="S16" s="67"/>
    </row>
    <row r="17" spans="1:19" s="474" customFormat="1" ht="15.75">
      <c r="A17" s="836" t="s">
        <v>226</v>
      </c>
      <c r="B17" s="752"/>
      <c r="C17" s="1120"/>
      <c r="D17" s="1120"/>
      <c r="E17" s="1120"/>
      <c r="F17" s="1120"/>
      <c r="G17" s="1120"/>
      <c r="H17" s="1120"/>
      <c r="I17" s="1120"/>
      <c r="J17" s="1120"/>
      <c r="K17" s="1120"/>
      <c r="L17" s="1120"/>
      <c r="M17" s="1120"/>
      <c r="N17" s="1120"/>
      <c r="O17" s="1120"/>
      <c r="P17" s="1120"/>
      <c r="Q17" s="1120"/>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915.43278934562602</v>
      </c>
      <c r="I19" s="712">
        <f>transport!H54</f>
        <v>0</v>
      </c>
      <c r="J19" s="712">
        <f>transport!I54</f>
        <v>0</v>
      </c>
      <c r="K19" s="712">
        <f>transport!J54</f>
        <v>0</v>
      </c>
      <c r="L19" s="712">
        <f>transport!K54</f>
        <v>0</v>
      </c>
      <c r="M19" s="712">
        <f>transport!L54</f>
        <v>0</v>
      </c>
      <c r="N19" s="712">
        <f>transport!M54</f>
        <v>50.879855718903841</v>
      </c>
      <c r="O19" s="712">
        <f>transport!N54</f>
        <v>0</v>
      </c>
      <c r="P19" s="712">
        <f>transport!O54</f>
        <v>0</v>
      </c>
      <c r="Q19" s="713">
        <f>transport!P54</f>
        <v>0</v>
      </c>
      <c r="R19" s="715">
        <f>SUM(C19:Q19)</f>
        <v>966.31264506452987</v>
      </c>
      <c r="S19" s="67"/>
    </row>
    <row r="20" spans="1:19" s="474" customFormat="1">
      <c r="A20" s="834" t="s">
        <v>306</v>
      </c>
      <c r="B20" s="839"/>
      <c r="C20" s="712">
        <f>transport!B14</f>
        <v>34.706154334722214</v>
      </c>
      <c r="D20" s="712">
        <f>transport!C14</f>
        <v>0</v>
      </c>
      <c r="E20" s="712">
        <f>transport!D14</f>
        <v>150.16980155125668</v>
      </c>
      <c r="F20" s="712">
        <f>transport!E14</f>
        <v>114.41288684620832</v>
      </c>
      <c r="G20" s="712">
        <f>transport!F14</f>
        <v>0</v>
      </c>
      <c r="H20" s="712">
        <f>transport!G14</f>
        <v>45062.027872204897</v>
      </c>
      <c r="I20" s="712">
        <f>transport!H14</f>
        <v>11143.165437322783</v>
      </c>
      <c r="J20" s="712">
        <f>transport!I14</f>
        <v>0</v>
      </c>
      <c r="K20" s="712">
        <f>transport!J14</f>
        <v>0</v>
      </c>
      <c r="L20" s="712">
        <f>transport!K14</f>
        <v>0</v>
      </c>
      <c r="M20" s="712">
        <f>transport!L14</f>
        <v>0</v>
      </c>
      <c r="N20" s="712">
        <f>transport!M14</f>
        <v>3330.7263186598011</v>
      </c>
      <c r="O20" s="712">
        <f>transport!N14</f>
        <v>0</v>
      </c>
      <c r="P20" s="712">
        <f>transport!O14</f>
        <v>0</v>
      </c>
      <c r="Q20" s="713">
        <f>transport!P14</f>
        <v>0</v>
      </c>
      <c r="R20" s="715">
        <f>SUM(C20:Q20)</f>
        <v>59835.208470919664</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34.706154334722214</v>
      </c>
      <c r="D22" s="837">
        <f t="shared" ref="D22:R22" si="1">SUM(D18:D21)</f>
        <v>0</v>
      </c>
      <c r="E22" s="837">
        <f t="shared" si="1"/>
        <v>150.16980155125668</v>
      </c>
      <c r="F22" s="837">
        <f t="shared" si="1"/>
        <v>114.41288684620832</v>
      </c>
      <c r="G22" s="837">
        <f t="shared" si="1"/>
        <v>0</v>
      </c>
      <c r="H22" s="837">
        <f t="shared" si="1"/>
        <v>45977.460661550525</v>
      </c>
      <c r="I22" s="837">
        <f t="shared" si="1"/>
        <v>11143.165437322783</v>
      </c>
      <c r="J22" s="837">
        <f t="shared" si="1"/>
        <v>0</v>
      </c>
      <c r="K22" s="837">
        <f t="shared" si="1"/>
        <v>0</v>
      </c>
      <c r="L22" s="837">
        <f t="shared" si="1"/>
        <v>0</v>
      </c>
      <c r="M22" s="837">
        <f t="shared" si="1"/>
        <v>0</v>
      </c>
      <c r="N22" s="837">
        <f t="shared" si="1"/>
        <v>3381.606174378705</v>
      </c>
      <c r="O22" s="837">
        <f t="shared" si="1"/>
        <v>0</v>
      </c>
      <c r="P22" s="837">
        <f t="shared" si="1"/>
        <v>0</v>
      </c>
      <c r="Q22" s="837">
        <f t="shared" si="1"/>
        <v>0</v>
      </c>
      <c r="R22" s="837">
        <f t="shared" si="1"/>
        <v>60801.521115984193</v>
      </c>
      <c r="S22" s="67"/>
    </row>
    <row r="23" spans="1:19" s="474" customFormat="1" ht="15.75">
      <c r="A23" s="836" t="s">
        <v>236</v>
      </c>
      <c r="B23" s="752"/>
      <c r="C23" s="1120"/>
      <c r="D23" s="1120"/>
      <c r="E23" s="1120"/>
      <c r="F23" s="1120"/>
      <c r="G23" s="1120"/>
      <c r="H23" s="1120"/>
      <c r="I23" s="1120"/>
      <c r="J23" s="1120"/>
      <c r="K23" s="1120"/>
      <c r="L23" s="1120"/>
      <c r="M23" s="1120"/>
      <c r="N23" s="1120"/>
      <c r="O23" s="1120"/>
      <c r="P23" s="1120"/>
      <c r="Q23" s="1120"/>
      <c r="R23" s="717"/>
      <c r="S23" s="67"/>
    </row>
    <row r="24" spans="1:19" s="474" customFormat="1">
      <c r="A24" s="834" t="s">
        <v>627</v>
      </c>
      <c r="B24" s="839"/>
      <c r="C24" s="712">
        <f>+landbouw!B8</f>
        <v>3532.0505499999999</v>
      </c>
      <c r="D24" s="712">
        <f>+landbouw!C8</f>
        <v>124.71428571428569</v>
      </c>
      <c r="E24" s="712">
        <f>+landbouw!D8</f>
        <v>61.151992000000007</v>
      </c>
      <c r="F24" s="712">
        <f>+landbouw!E8</f>
        <v>110.23413293891848</v>
      </c>
      <c r="G24" s="712">
        <f>+landbouw!F8</f>
        <v>12482.657913705032</v>
      </c>
      <c r="H24" s="712">
        <f>+landbouw!G8</f>
        <v>0</v>
      </c>
      <c r="I24" s="712">
        <f>+landbouw!H8</f>
        <v>0</v>
      </c>
      <c r="J24" s="712">
        <f>+landbouw!I8</f>
        <v>0</v>
      </c>
      <c r="K24" s="712">
        <f>+landbouw!J8</f>
        <v>973.10442108089558</v>
      </c>
      <c r="L24" s="712">
        <f>+landbouw!K8</f>
        <v>0</v>
      </c>
      <c r="M24" s="712">
        <f>+landbouw!L8</f>
        <v>0</v>
      </c>
      <c r="N24" s="712">
        <f>+landbouw!M8</f>
        <v>0</v>
      </c>
      <c r="O24" s="712">
        <f>+landbouw!N8</f>
        <v>0</v>
      </c>
      <c r="P24" s="712">
        <f>+landbouw!O8</f>
        <v>0</v>
      </c>
      <c r="Q24" s="713">
        <f>+landbouw!P8</f>
        <v>0</v>
      </c>
      <c r="R24" s="715">
        <f>SUM(C24:Q24)</f>
        <v>17283.913295439132</v>
      </c>
      <c r="S24" s="67"/>
    </row>
    <row r="25" spans="1:19" s="474" customFormat="1" ht="15" thickBot="1">
      <c r="A25" s="856" t="s">
        <v>734</v>
      </c>
      <c r="B25" s="982"/>
      <c r="C25" s="983">
        <f>IF(Onbekend_ele_kWh="---",0,Onbekend_ele_kWh)/1000+IF(REST_rest_ele_kWh="---",0,REST_rest_ele_kWh)/1000</f>
        <v>242.67714999999998</v>
      </c>
      <c r="D25" s="983"/>
      <c r="E25" s="983">
        <f>IF(onbekend_gas_kWh="---",0,onbekend_gas_kWh)/1000+IF(REST_rest_gas_kWh="---",0,REST_rest_gas_kWh)/1000</f>
        <v>788.30844999999999</v>
      </c>
      <c r="F25" s="983"/>
      <c r="G25" s="983"/>
      <c r="H25" s="983"/>
      <c r="I25" s="983"/>
      <c r="J25" s="983"/>
      <c r="K25" s="983"/>
      <c r="L25" s="983"/>
      <c r="M25" s="983"/>
      <c r="N25" s="983"/>
      <c r="O25" s="983"/>
      <c r="P25" s="983"/>
      <c r="Q25" s="984"/>
      <c r="R25" s="715">
        <f>SUM(C25:Q25)</f>
        <v>1030.9856</v>
      </c>
      <c r="S25" s="67"/>
    </row>
    <row r="26" spans="1:19" s="474" customFormat="1" ht="15.75" thickBot="1">
      <c r="A26" s="720" t="s">
        <v>735</v>
      </c>
      <c r="B26" s="842"/>
      <c r="C26" s="837">
        <f>SUM(C24:C25)</f>
        <v>3774.7276999999999</v>
      </c>
      <c r="D26" s="837">
        <f t="shared" ref="D26:R26" si="2">SUM(D24:D25)</f>
        <v>124.71428571428569</v>
      </c>
      <c r="E26" s="837">
        <f t="shared" si="2"/>
        <v>849.46044200000006</v>
      </c>
      <c r="F26" s="837">
        <f t="shared" si="2"/>
        <v>110.23413293891848</v>
      </c>
      <c r="G26" s="837">
        <f t="shared" si="2"/>
        <v>12482.657913705032</v>
      </c>
      <c r="H26" s="837">
        <f t="shared" si="2"/>
        <v>0</v>
      </c>
      <c r="I26" s="837">
        <f t="shared" si="2"/>
        <v>0</v>
      </c>
      <c r="J26" s="837">
        <f t="shared" si="2"/>
        <v>0</v>
      </c>
      <c r="K26" s="837">
        <f t="shared" si="2"/>
        <v>973.10442108089558</v>
      </c>
      <c r="L26" s="837">
        <f t="shared" si="2"/>
        <v>0</v>
      </c>
      <c r="M26" s="837">
        <f t="shared" si="2"/>
        <v>0</v>
      </c>
      <c r="N26" s="837">
        <f t="shared" si="2"/>
        <v>0</v>
      </c>
      <c r="O26" s="837">
        <f t="shared" si="2"/>
        <v>0</v>
      </c>
      <c r="P26" s="837">
        <f t="shared" si="2"/>
        <v>0</v>
      </c>
      <c r="Q26" s="837">
        <f t="shared" si="2"/>
        <v>0</v>
      </c>
      <c r="R26" s="837">
        <f t="shared" si="2"/>
        <v>18314.898895439132</v>
      </c>
      <c r="S26" s="67"/>
    </row>
    <row r="27" spans="1:19" s="474" customFormat="1" ht="17.25" thickTop="1" thickBot="1">
      <c r="A27" s="721" t="s">
        <v>115</v>
      </c>
      <c r="B27" s="829"/>
      <c r="C27" s="722">
        <f ca="1">C22+C16+C26</f>
        <v>108350.72193799255</v>
      </c>
      <c r="D27" s="722">
        <f t="shared" ref="D27:R27" ca="1" si="3">D22+D16+D26</f>
        <v>19243.285714285714</v>
      </c>
      <c r="E27" s="722">
        <f t="shared" ca="1" si="3"/>
        <v>113432.48262375125</v>
      </c>
      <c r="F27" s="722">
        <f t="shared" si="3"/>
        <v>10482.46474003999</v>
      </c>
      <c r="G27" s="722">
        <f t="shared" ca="1" si="3"/>
        <v>50597.815290034996</v>
      </c>
      <c r="H27" s="722">
        <f t="shared" si="3"/>
        <v>45977.460661550525</v>
      </c>
      <c r="I27" s="722">
        <f t="shared" si="3"/>
        <v>11143.165437322783</v>
      </c>
      <c r="J27" s="722">
        <f t="shared" si="3"/>
        <v>0</v>
      </c>
      <c r="K27" s="722">
        <f t="shared" si="3"/>
        <v>977.32219506759907</v>
      </c>
      <c r="L27" s="722">
        <f t="shared" si="3"/>
        <v>0</v>
      </c>
      <c r="M27" s="722">
        <f t="shared" ca="1" si="3"/>
        <v>0</v>
      </c>
      <c r="N27" s="722">
        <f t="shared" si="3"/>
        <v>3381.606174378705</v>
      </c>
      <c r="O27" s="722">
        <f t="shared" ca="1" si="3"/>
        <v>21657.500279560823</v>
      </c>
      <c r="P27" s="722">
        <f t="shared" si="3"/>
        <v>510.43079801377564</v>
      </c>
      <c r="Q27" s="722">
        <f t="shared" si="3"/>
        <v>747.64979438177647</v>
      </c>
      <c r="R27" s="722">
        <f t="shared" ca="1" si="3"/>
        <v>386501.9056463805</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81"/>
      <c r="B31" s="1181"/>
      <c r="C31" s="1181"/>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137"/>
      <c r="B33" s="1137"/>
      <c r="C33" s="1137"/>
      <c r="D33" s="1137"/>
      <c r="E33" s="1137"/>
      <c r="F33" s="1137"/>
      <c r="G33" s="1137"/>
      <c r="H33" s="1137"/>
      <c r="I33" s="1137"/>
      <c r="J33" s="1137"/>
      <c r="K33" s="1137"/>
      <c r="L33" s="1137"/>
      <c r="M33" s="1137"/>
      <c r="N33" s="1137"/>
      <c r="O33" s="1137"/>
      <c r="P33" s="1137"/>
      <c r="Q33" s="1137"/>
      <c r="R33" s="113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49"/>
      <c r="B35" s="844"/>
      <c r="C35" s="1151" t="s">
        <v>346</v>
      </c>
      <c r="D35" s="1152"/>
      <c r="E35" s="1152"/>
      <c r="F35" s="1152"/>
      <c r="G35" s="1152"/>
      <c r="H35" s="1152"/>
      <c r="I35" s="1152"/>
      <c r="J35" s="1152"/>
      <c r="K35" s="1152"/>
      <c r="L35" s="1152"/>
      <c r="M35" s="1152"/>
      <c r="N35" s="1152"/>
      <c r="O35" s="1152"/>
      <c r="P35" s="1152"/>
      <c r="Q35" s="1152"/>
      <c r="R35" s="1153"/>
    </row>
    <row r="36" spans="1:18" ht="16.5" thickTop="1">
      <c r="A36" s="1150"/>
      <c r="B36" s="845"/>
      <c r="C36" s="1154" t="s">
        <v>20</v>
      </c>
      <c r="D36" s="1128" t="s">
        <v>231</v>
      </c>
      <c r="E36" s="1156" t="s">
        <v>196</v>
      </c>
      <c r="F36" s="1157"/>
      <c r="G36" s="1157"/>
      <c r="H36" s="1157"/>
      <c r="I36" s="1157"/>
      <c r="J36" s="1157"/>
      <c r="K36" s="1157"/>
      <c r="L36" s="1158"/>
      <c r="M36" s="1156" t="s">
        <v>197</v>
      </c>
      <c r="N36" s="1157"/>
      <c r="O36" s="1157"/>
      <c r="P36" s="1157"/>
      <c r="Q36" s="1157"/>
      <c r="R36" s="1138" t="s">
        <v>115</v>
      </c>
    </row>
    <row r="37" spans="1:18" ht="45.75" thickBot="1">
      <c r="A37" s="1150"/>
      <c r="B37" s="845"/>
      <c r="C37" s="1155"/>
      <c r="D37" s="1099"/>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4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4706.4928617779369</v>
      </c>
      <c r="D40" s="712">
        <f ca="1">tertiair!C20</f>
        <v>0</v>
      </c>
      <c r="E40" s="712">
        <f ca="1">tertiair!D20</f>
        <v>1332.8614794110001</v>
      </c>
      <c r="F40" s="712">
        <f>tertiair!E20</f>
        <v>37.697624048043195</v>
      </c>
      <c r="G40" s="712">
        <f ca="1">tertiair!F20</f>
        <v>400.31238521190983</v>
      </c>
      <c r="H40" s="712">
        <f>tertiair!G20</f>
        <v>0</v>
      </c>
      <c r="I40" s="712">
        <f>tertiair!H20</f>
        <v>0</v>
      </c>
      <c r="J40" s="712">
        <f>tertiair!I20</f>
        <v>0</v>
      </c>
      <c r="K40" s="712">
        <f>tertiair!J20</f>
        <v>1.0922164436762997E-2</v>
      </c>
      <c r="L40" s="712">
        <f>tertiair!K20</f>
        <v>0</v>
      </c>
      <c r="M40" s="712">
        <f ca="1">tertiair!L20</f>
        <v>0</v>
      </c>
      <c r="N40" s="712">
        <f>tertiair!M20</f>
        <v>0</v>
      </c>
      <c r="O40" s="712">
        <f ca="1">tertiair!N20</f>
        <v>0</v>
      </c>
      <c r="P40" s="712">
        <f>tertiair!O20</f>
        <v>0</v>
      </c>
      <c r="Q40" s="795">
        <f>tertiair!P20</f>
        <v>0</v>
      </c>
      <c r="R40" s="875">
        <f t="shared" ca="1" si="4"/>
        <v>6477.3752726133271</v>
      </c>
    </row>
    <row r="41" spans="1:18">
      <c r="A41" s="847" t="s">
        <v>224</v>
      </c>
      <c r="B41" s="854"/>
      <c r="C41" s="712">
        <f ca="1">huishoudens!B12</f>
        <v>4021.2190338677342</v>
      </c>
      <c r="D41" s="712">
        <f ca="1">huishoudens!C12</f>
        <v>0</v>
      </c>
      <c r="E41" s="712">
        <f>huishoudens!D12</f>
        <v>6883.5181408994004</v>
      </c>
      <c r="F41" s="712">
        <f>huishoudens!E12</f>
        <v>1978.1815223722565</v>
      </c>
      <c r="G41" s="712">
        <f>huishoudens!F12</f>
        <v>8006.3280344874929</v>
      </c>
      <c r="H41" s="712">
        <f>huishoudens!G12</f>
        <v>0</v>
      </c>
      <c r="I41" s="712">
        <f>huishoudens!H12</f>
        <v>0</v>
      </c>
      <c r="J41" s="712">
        <f>huishoudens!I12</f>
        <v>0</v>
      </c>
      <c r="K41" s="712">
        <f>huishoudens!J12</f>
        <v>0</v>
      </c>
      <c r="L41" s="712">
        <f>huishoudens!K12</f>
        <v>0</v>
      </c>
      <c r="M41" s="712">
        <f>huishoudens!L12</f>
        <v>0</v>
      </c>
      <c r="N41" s="712">
        <f>huishoudens!M12</f>
        <v>0</v>
      </c>
      <c r="O41" s="712">
        <f>huishoudens!N12</f>
        <v>0</v>
      </c>
      <c r="P41" s="712">
        <f>huishoudens!O12</f>
        <v>0</v>
      </c>
      <c r="Q41" s="795">
        <f>huishoudens!P12</f>
        <v>0</v>
      </c>
      <c r="R41" s="875">
        <f t="shared" ca="1" si="4"/>
        <v>20889.246731626885</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9503.1018426340561</v>
      </c>
      <c r="D43" s="712">
        <f ca="1">industrie!C22</f>
        <v>0</v>
      </c>
      <c r="E43" s="712">
        <f>industrie!D22</f>
        <v>14495.05656049</v>
      </c>
      <c r="F43" s="712">
        <f>industrie!E22</f>
        <v>312.64547607755469</v>
      </c>
      <c r="G43" s="712">
        <f>industrie!F22</f>
        <v>1770.1065997806963</v>
      </c>
      <c r="H43" s="712">
        <f>industrie!G22</f>
        <v>0</v>
      </c>
      <c r="I43" s="712">
        <f>industrie!H22</f>
        <v>0</v>
      </c>
      <c r="J43" s="712">
        <f>industrie!I22</f>
        <v>0</v>
      </c>
      <c r="K43" s="712">
        <f>industrie!J22</f>
        <v>1.4821698268562793</v>
      </c>
      <c r="L43" s="712">
        <f>industrie!K22</f>
        <v>0</v>
      </c>
      <c r="M43" s="712">
        <f>industrie!L22</f>
        <v>0</v>
      </c>
      <c r="N43" s="712">
        <f>industrie!M22</f>
        <v>0</v>
      </c>
      <c r="O43" s="712">
        <f>industrie!N22</f>
        <v>0</v>
      </c>
      <c r="P43" s="712">
        <f>industrie!O22</f>
        <v>0</v>
      </c>
      <c r="Q43" s="795">
        <f>industrie!P22</f>
        <v>0</v>
      </c>
      <c r="R43" s="874">
        <f t="shared" ca="1" si="4"/>
        <v>26082.392648809167</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18230.813738279729</v>
      </c>
      <c r="D46" s="748">
        <f t="shared" ref="D46:Q46" ca="1" si="5">SUM(D39:D45)</f>
        <v>0</v>
      </c>
      <c r="E46" s="748">
        <f t="shared" ca="1" si="5"/>
        <v>22711.436180800403</v>
      </c>
      <c r="F46" s="748">
        <f t="shared" si="5"/>
        <v>2328.5246224978546</v>
      </c>
      <c r="G46" s="748">
        <f t="shared" ca="1" si="5"/>
        <v>10176.747019480099</v>
      </c>
      <c r="H46" s="748">
        <f t="shared" si="5"/>
        <v>0</v>
      </c>
      <c r="I46" s="748">
        <f t="shared" si="5"/>
        <v>0</v>
      </c>
      <c r="J46" s="748">
        <f t="shared" si="5"/>
        <v>0</v>
      </c>
      <c r="K46" s="748">
        <f t="shared" si="5"/>
        <v>1.4930919912930423</v>
      </c>
      <c r="L46" s="748">
        <f t="shared" si="5"/>
        <v>0</v>
      </c>
      <c r="M46" s="748">
        <f t="shared" ca="1" si="5"/>
        <v>0</v>
      </c>
      <c r="N46" s="748">
        <f t="shared" si="5"/>
        <v>0</v>
      </c>
      <c r="O46" s="748">
        <f t="shared" ca="1" si="5"/>
        <v>0</v>
      </c>
      <c r="P46" s="748">
        <f t="shared" si="5"/>
        <v>0</v>
      </c>
      <c r="Q46" s="748">
        <f t="shared" si="5"/>
        <v>0</v>
      </c>
      <c r="R46" s="748">
        <f ca="1">SUM(R39:R45)</f>
        <v>53449.01465304938</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244.42055475528215</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244.42055475528215</v>
      </c>
    </row>
    <row r="50" spans="1:18">
      <c r="A50" s="850" t="s">
        <v>306</v>
      </c>
      <c r="B50" s="860"/>
      <c r="C50" s="718">
        <f ca="1">transport!B18</f>
        <v>6.0523592816455745</v>
      </c>
      <c r="D50" s="718">
        <f>transport!C18</f>
        <v>0</v>
      </c>
      <c r="E50" s="718">
        <f>transport!D18</f>
        <v>30.334299913353853</v>
      </c>
      <c r="F50" s="718">
        <f>transport!E18</f>
        <v>25.971725314089291</v>
      </c>
      <c r="G50" s="718">
        <f>transport!F18</f>
        <v>0</v>
      </c>
      <c r="H50" s="718">
        <f>transport!G18</f>
        <v>12031.561441878708</v>
      </c>
      <c r="I50" s="718">
        <f>transport!H18</f>
        <v>2774.648193893373</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14868.568020281171</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6.0523592816455745</v>
      </c>
      <c r="D52" s="748">
        <f t="shared" ref="D52:Q52" ca="1" si="6">SUM(D48:D51)</f>
        <v>0</v>
      </c>
      <c r="E52" s="748">
        <f t="shared" si="6"/>
        <v>30.334299913353853</v>
      </c>
      <c r="F52" s="748">
        <f t="shared" si="6"/>
        <v>25.971725314089291</v>
      </c>
      <c r="G52" s="748">
        <f t="shared" si="6"/>
        <v>0</v>
      </c>
      <c r="H52" s="748">
        <f t="shared" si="6"/>
        <v>12275.981996633991</v>
      </c>
      <c r="I52" s="748">
        <f t="shared" si="6"/>
        <v>2774.648193893373</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15112.988575036454</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615.9495149869349</v>
      </c>
      <c r="D54" s="718">
        <f ca="1">+landbouw!C12</f>
        <v>0</v>
      </c>
      <c r="E54" s="718">
        <f>+landbouw!D12</f>
        <v>12.352702384000002</v>
      </c>
      <c r="F54" s="718">
        <f>+landbouw!E12</f>
        <v>25.023148177134495</v>
      </c>
      <c r="G54" s="718">
        <f>+landbouw!F12</f>
        <v>3332.8696629592437</v>
      </c>
      <c r="H54" s="718">
        <f>+landbouw!G12</f>
        <v>0</v>
      </c>
      <c r="I54" s="718">
        <f>+landbouw!H12</f>
        <v>0</v>
      </c>
      <c r="J54" s="718">
        <f>+landbouw!I12</f>
        <v>0</v>
      </c>
      <c r="K54" s="718">
        <f>+landbouw!J12</f>
        <v>344.47896506263703</v>
      </c>
      <c r="L54" s="718">
        <f>+landbouw!K12</f>
        <v>0</v>
      </c>
      <c r="M54" s="718">
        <f>+landbouw!L12</f>
        <v>0</v>
      </c>
      <c r="N54" s="718">
        <f>+landbouw!M12</f>
        <v>0</v>
      </c>
      <c r="O54" s="718">
        <f>+landbouw!N12</f>
        <v>0</v>
      </c>
      <c r="P54" s="718">
        <f>+landbouw!O12</f>
        <v>0</v>
      </c>
      <c r="Q54" s="719">
        <f>+landbouw!P12</f>
        <v>0</v>
      </c>
      <c r="R54" s="747">
        <f ca="1">SUM(C54:Q54)</f>
        <v>4330.6739935699497</v>
      </c>
    </row>
    <row r="55" spans="1:18" ht="15" thickBot="1">
      <c r="A55" s="850" t="s">
        <v>734</v>
      </c>
      <c r="B55" s="860"/>
      <c r="C55" s="718">
        <f ca="1">C25*'EF ele_warmte'!B12</f>
        <v>42.32013973891501</v>
      </c>
      <c r="D55" s="718"/>
      <c r="E55" s="718">
        <f>E25*EF_CO2_aardgas</f>
        <v>159.2383069</v>
      </c>
      <c r="F55" s="718"/>
      <c r="G55" s="718"/>
      <c r="H55" s="718"/>
      <c r="I55" s="718"/>
      <c r="J55" s="718"/>
      <c r="K55" s="718"/>
      <c r="L55" s="718"/>
      <c r="M55" s="718"/>
      <c r="N55" s="718"/>
      <c r="O55" s="718"/>
      <c r="P55" s="718"/>
      <c r="Q55" s="719"/>
      <c r="R55" s="747">
        <f ca="1">SUM(C55:Q55)</f>
        <v>201.558446638915</v>
      </c>
    </row>
    <row r="56" spans="1:18" ht="15.75" thickBot="1">
      <c r="A56" s="848" t="s">
        <v>735</v>
      </c>
      <c r="B56" s="861"/>
      <c r="C56" s="748">
        <f ca="1">SUM(C54:C55)</f>
        <v>658.26965472584993</v>
      </c>
      <c r="D56" s="748">
        <f t="shared" ref="D56:Q56" ca="1" si="7">SUM(D54:D55)</f>
        <v>0</v>
      </c>
      <c r="E56" s="748">
        <f t="shared" si="7"/>
        <v>171.59100928399999</v>
      </c>
      <c r="F56" s="748">
        <f t="shared" si="7"/>
        <v>25.023148177134495</v>
      </c>
      <c r="G56" s="748">
        <f t="shared" si="7"/>
        <v>3332.8696629592437</v>
      </c>
      <c r="H56" s="748">
        <f t="shared" si="7"/>
        <v>0</v>
      </c>
      <c r="I56" s="748">
        <f t="shared" si="7"/>
        <v>0</v>
      </c>
      <c r="J56" s="748">
        <f t="shared" si="7"/>
        <v>0</v>
      </c>
      <c r="K56" s="748">
        <f t="shared" si="7"/>
        <v>344.47896506263703</v>
      </c>
      <c r="L56" s="748">
        <f t="shared" si="7"/>
        <v>0</v>
      </c>
      <c r="M56" s="748">
        <f t="shared" si="7"/>
        <v>0</v>
      </c>
      <c r="N56" s="748">
        <f t="shared" si="7"/>
        <v>0</v>
      </c>
      <c r="O56" s="748">
        <f t="shared" si="7"/>
        <v>0</v>
      </c>
      <c r="P56" s="748">
        <f t="shared" si="7"/>
        <v>0</v>
      </c>
      <c r="Q56" s="749">
        <f t="shared" si="7"/>
        <v>0</v>
      </c>
      <c r="R56" s="750">
        <f ca="1">SUM(R54:R55)</f>
        <v>4532.2324402088643</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159"/>
      <c r="D58" s="1160"/>
      <c r="E58" s="1160"/>
      <c r="F58" s="1160"/>
      <c r="G58" s="1160"/>
      <c r="H58" s="1160"/>
      <c r="I58" s="1160"/>
      <c r="J58" s="1160"/>
      <c r="K58" s="1160"/>
      <c r="L58" s="1160"/>
      <c r="M58" s="1160"/>
      <c r="N58" s="1160"/>
      <c r="O58" s="1160"/>
      <c r="P58" s="1160"/>
      <c r="Q58" s="1160"/>
      <c r="R58" s="754"/>
    </row>
    <row r="59" spans="1:18" ht="15">
      <c r="A59" s="852" t="s">
        <v>238</v>
      </c>
      <c r="B59" s="839"/>
      <c r="C59" s="1161"/>
      <c r="D59" s="1162"/>
      <c r="E59" s="1162"/>
      <c r="F59" s="1162"/>
      <c r="G59" s="1162"/>
      <c r="H59" s="1162"/>
      <c r="I59" s="1162"/>
      <c r="J59" s="1162"/>
      <c r="K59" s="1162"/>
      <c r="L59" s="1162"/>
      <c r="M59" s="1162"/>
      <c r="N59" s="1162"/>
      <c r="O59" s="1162"/>
      <c r="P59" s="1162"/>
      <c r="Q59" s="1162"/>
      <c r="R59" s="755"/>
    </row>
    <row r="60" spans="1:18" ht="15" thickBot="1">
      <c r="A60" s="863" t="s">
        <v>239</v>
      </c>
      <c r="B60" s="864"/>
      <c r="C60" s="1161"/>
      <c r="D60" s="1162"/>
      <c r="E60" s="1162"/>
      <c r="F60" s="1162"/>
      <c r="G60" s="1162"/>
      <c r="H60" s="1162"/>
      <c r="I60" s="1162"/>
      <c r="J60" s="1162"/>
      <c r="K60" s="1162"/>
      <c r="L60" s="1162"/>
      <c r="M60" s="1162"/>
      <c r="N60" s="1162"/>
      <c r="O60" s="1162"/>
      <c r="P60" s="1162"/>
      <c r="Q60" s="1162"/>
      <c r="R60" s="747"/>
    </row>
    <row r="61" spans="1:18" ht="16.5" thickBot="1">
      <c r="A61" s="866" t="s">
        <v>115</v>
      </c>
      <c r="B61" s="867"/>
      <c r="C61" s="756">
        <f ca="1">C46+C52+C56</f>
        <v>18895.135752287224</v>
      </c>
      <c r="D61" s="756">
        <f t="shared" ref="D61:Q61" ca="1" si="8">D46+D52+D56</f>
        <v>0</v>
      </c>
      <c r="E61" s="756">
        <f t="shared" ca="1" si="8"/>
        <v>22913.361489997755</v>
      </c>
      <c r="F61" s="756">
        <f t="shared" si="8"/>
        <v>2379.5194959890782</v>
      </c>
      <c r="G61" s="756">
        <f t="shared" ca="1" si="8"/>
        <v>13509.616682439342</v>
      </c>
      <c r="H61" s="756">
        <f t="shared" si="8"/>
        <v>12275.981996633991</v>
      </c>
      <c r="I61" s="756">
        <f t="shared" si="8"/>
        <v>2774.648193893373</v>
      </c>
      <c r="J61" s="756">
        <f t="shared" si="8"/>
        <v>0</v>
      </c>
      <c r="K61" s="756">
        <f t="shared" si="8"/>
        <v>345.97205705393009</v>
      </c>
      <c r="L61" s="756">
        <f t="shared" si="8"/>
        <v>0</v>
      </c>
      <c r="M61" s="756">
        <f t="shared" ca="1" si="8"/>
        <v>0</v>
      </c>
      <c r="N61" s="756">
        <f t="shared" si="8"/>
        <v>0</v>
      </c>
      <c r="O61" s="756">
        <f t="shared" ca="1" si="8"/>
        <v>0</v>
      </c>
      <c r="P61" s="756">
        <f t="shared" si="8"/>
        <v>0</v>
      </c>
      <c r="Q61" s="756">
        <f t="shared" si="8"/>
        <v>0</v>
      </c>
      <c r="R61" s="756">
        <f ca="1">R46+R52+R56</f>
        <v>73094.235668294699</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0.17438864655743244</v>
      </c>
      <c r="D63" s="802">
        <f t="shared" ca="1" si="9"/>
        <v>0</v>
      </c>
      <c r="E63" s="1008">
        <f t="shared" ca="1" si="9"/>
        <v>0.20200000000000001</v>
      </c>
      <c r="F63" s="802">
        <f t="shared" si="9"/>
        <v>0.22700000000000004</v>
      </c>
      <c r="G63" s="802">
        <f t="shared" ca="1" si="9"/>
        <v>0.26699999999999996</v>
      </c>
      <c r="H63" s="802">
        <f t="shared" si="9"/>
        <v>0.26700000000000002</v>
      </c>
      <c r="I63" s="802">
        <f t="shared" si="9"/>
        <v>0.249</v>
      </c>
      <c r="J63" s="802">
        <f t="shared" si="9"/>
        <v>0</v>
      </c>
      <c r="K63" s="802">
        <f t="shared" si="9"/>
        <v>0.35400000000000004</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137"/>
      <c r="B67" s="1137"/>
      <c r="C67" s="1137"/>
      <c r="D67" s="1137"/>
      <c r="E67" s="1137"/>
      <c r="F67" s="1137"/>
      <c r="G67" s="1137"/>
      <c r="H67" s="1137"/>
      <c r="I67" s="1137"/>
      <c r="J67" s="1137"/>
      <c r="K67" s="1137"/>
      <c r="L67" s="1137"/>
      <c r="M67" s="1137"/>
      <c r="N67" s="1137"/>
      <c r="O67" s="1137"/>
      <c r="P67" s="1137"/>
      <c r="Q67" s="113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138" t="s">
        <v>240</v>
      </c>
      <c r="B69" s="1124" t="s">
        <v>350</v>
      </c>
      <c r="C69" s="1125"/>
      <c r="D69" s="1104" t="s">
        <v>351</v>
      </c>
      <c r="E69" s="1105"/>
      <c r="F69" s="1105"/>
      <c r="G69" s="1105"/>
      <c r="H69" s="1105"/>
      <c r="I69" s="1105"/>
      <c r="J69" s="1105"/>
      <c r="K69" s="1105"/>
      <c r="L69" s="1105"/>
      <c r="M69" s="1105"/>
      <c r="N69" s="1105"/>
      <c r="O69" s="1106"/>
      <c r="P69" s="996" t="s">
        <v>636</v>
      </c>
      <c r="Q69" s="1096" t="s">
        <v>635</v>
      </c>
      <c r="R69" s="1097"/>
    </row>
    <row r="70" spans="1:18" ht="61.5" thickTop="1" thickBot="1">
      <c r="A70" s="1139"/>
      <c r="B70" s="1126"/>
      <c r="C70" s="1127"/>
      <c r="D70" s="1121" t="s">
        <v>196</v>
      </c>
      <c r="E70" s="1122"/>
      <c r="F70" s="1122"/>
      <c r="G70" s="1122"/>
      <c r="H70" s="1123"/>
      <c r="I70" s="970" t="s">
        <v>245</v>
      </c>
      <c r="J70" s="970" t="s">
        <v>233</v>
      </c>
      <c r="K70" s="970" t="s">
        <v>208</v>
      </c>
      <c r="L70" s="970" t="s">
        <v>209</v>
      </c>
      <c r="M70" s="766" t="s">
        <v>244</v>
      </c>
      <c r="N70" s="970" t="s">
        <v>246</v>
      </c>
      <c r="O70" s="972" t="s">
        <v>126</v>
      </c>
      <c r="P70" s="997"/>
      <c r="Q70" s="881"/>
      <c r="R70" s="882"/>
    </row>
    <row r="71" spans="1:18" ht="95.25" customHeight="1" thickTop="1" thickBot="1">
      <c r="A71" s="114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00"/>
      <c r="D72" s="1100"/>
      <c r="E72" s="1113"/>
      <c r="F72" s="1113"/>
      <c r="G72" s="1114"/>
      <c r="H72" s="1117"/>
      <c r="I72" s="1103"/>
      <c r="J72" s="973"/>
      <c r="K72" s="1107"/>
      <c r="L72" s="1107"/>
      <c r="M72" s="1107"/>
      <c r="N72" s="1107"/>
      <c r="O72" s="1110"/>
      <c r="P72" s="876">
        <v>0</v>
      </c>
      <c r="Q72" s="999"/>
      <c r="R72" s="876">
        <v>0</v>
      </c>
    </row>
    <row r="73" spans="1:18" ht="15">
      <c r="A73" s="770" t="s">
        <v>249</v>
      </c>
      <c r="B73" s="769">
        <f>'lokale energieproductie'!B5</f>
        <v>254.78253681515613</v>
      </c>
      <c r="C73" s="1101"/>
      <c r="D73" s="1101"/>
      <c r="E73" s="1108"/>
      <c r="F73" s="1108"/>
      <c r="G73" s="1115"/>
      <c r="H73" s="1118"/>
      <c r="I73" s="1101"/>
      <c r="J73" s="974"/>
      <c r="K73" s="1108"/>
      <c r="L73" s="1108"/>
      <c r="M73" s="1108"/>
      <c r="N73" s="1108"/>
      <c r="O73" s="1111"/>
      <c r="P73" s="877">
        <v>0</v>
      </c>
      <c r="Q73" s="883"/>
      <c r="R73" s="877">
        <v>0</v>
      </c>
    </row>
    <row r="74" spans="1:18" ht="15">
      <c r="A74" s="770" t="s">
        <v>250</v>
      </c>
      <c r="B74" s="769">
        <f>'lokale energieproductie'!B6</f>
        <v>9127.2875808732242</v>
      </c>
      <c r="C74" s="1101"/>
      <c r="D74" s="1101"/>
      <c r="E74" s="1108"/>
      <c r="F74" s="1108"/>
      <c r="G74" s="1115"/>
      <c r="H74" s="1118"/>
      <c r="I74" s="1101"/>
      <c r="J74" s="974"/>
      <c r="K74" s="1108"/>
      <c r="L74" s="1108"/>
      <c r="M74" s="1108"/>
      <c r="N74" s="1108"/>
      <c r="O74" s="1111"/>
      <c r="P74" s="877">
        <v>0</v>
      </c>
      <c r="Q74" s="883"/>
      <c r="R74" s="877">
        <v>0</v>
      </c>
    </row>
    <row r="75" spans="1:18" ht="15.75" thickBot="1">
      <c r="A75" s="770" t="s">
        <v>737</v>
      </c>
      <c r="B75" s="769">
        <f>'lokale energieproductie'!B7</f>
        <v>0</v>
      </c>
      <c r="C75" s="1102"/>
      <c r="D75" s="1102"/>
      <c r="E75" s="1109"/>
      <c r="F75" s="1109"/>
      <c r="G75" s="1116"/>
      <c r="H75" s="1119"/>
      <c r="I75" s="1102"/>
      <c r="J75" s="993"/>
      <c r="K75" s="1109"/>
      <c r="L75" s="1109"/>
      <c r="M75" s="1109"/>
      <c r="N75" s="1109"/>
      <c r="O75" s="1112"/>
      <c r="P75" s="877">
        <v>0</v>
      </c>
      <c r="Q75" s="1000"/>
      <c r="R75" s="877">
        <v>0</v>
      </c>
    </row>
    <row r="76" spans="1:18" ht="15">
      <c r="A76" s="771" t="s">
        <v>251</v>
      </c>
      <c r="B76" s="769">
        <f>'lokale energieproductie'!B8*IFERROR(SUM(I76:O76)/SUM(D76:O76),0)</f>
        <v>13470.3</v>
      </c>
      <c r="C76" s="769">
        <f>'lokale energieproductie'!B8*IFERROR(SUM(D76:H76)/SUM(D76:O76),0)</f>
        <v>0</v>
      </c>
      <c r="D76" s="991">
        <f>'lokale energieproductie'!C8</f>
        <v>0</v>
      </c>
      <c r="E76" s="992">
        <f>'lokale energieproductie'!D8</f>
        <v>0</v>
      </c>
      <c r="F76" s="992">
        <f>'lokale energieproductie'!E8</f>
        <v>0</v>
      </c>
      <c r="G76" s="992">
        <f>'lokale energieproductie'!F8</f>
        <v>0</v>
      </c>
      <c r="H76" s="992">
        <f>'lokale energieproductie'!G8</f>
        <v>0</v>
      </c>
      <c r="I76" s="992">
        <f>'lokale energieproductie'!I8</f>
        <v>0</v>
      </c>
      <c r="J76" s="992">
        <f>'lokale energieproductie'!J8</f>
        <v>15847.411764705885</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0</v>
      </c>
      <c r="R76" s="877">
        <v>0</v>
      </c>
    </row>
    <row r="77" spans="1:18" ht="15.75" thickBot="1">
      <c r="A77" s="772" t="s">
        <v>802</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22852.370117688377</v>
      </c>
      <c r="C78" s="774">
        <f>SUM(C72:C77)</f>
        <v>0</v>
      </c>
      <c r="D78" s="775">
        <f t="shared" ref="D78:H78" si="10">SUM(D76:D77)</f>
        <v>0</v>
      </c>
      <c r="E78" s="775">
        <f t="shared" si="10"/>
        <v>0</v>
      </c>
      <c r="F78" s="775">
        <f t="shared" si="10"/>
        <v>0</v>
      </c>
      <c r="G78" s="775">
        <f t="shared" si="10"/>
        <v>0</v>
      </c>
      <c r="H78" s="775">
        <f t="shared" si="10"/>
        <v>0</v>
      </c>
      <c r="I78" s="775">
        <f>SUM(I76:I77)</f>
        <v>0</v>
      </c>
      <c r="J78" s="775">
        <f>SUM(J76:J77)</f>
        <v>15847.411764705885</v>
      </c>
      <c r="K78" s="775">
        <f t="shared" ref="K78:L78" si="11">SUM(K76:K77)</f>
        <v>0</v>
      </c>
      <c r="L78" s="775">
        <f t="shared" si="11"/>
        <v>0</v>
      </c>
      <c r="M78" s="775">
        <f>SUM(M76:M77)</f>
        <v>0</v>
      </c>
      <c r="N78" s="775">
        <f>SUM(N76:N77)</f>
        <v>0</v>
      </c>
      <c r="O78" s="885">
        <f>SUM(O76:O77)</f>
        <v>0</v>
      </c>
      <c r="P78" s="776">
        <v>0</v>
      </c>
      <c r="Q78" s="776">
        <f>SUM(Q76:Q77)</f>
        <v>0</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137"/>
      <c r="B82" s="1137"/>
      <c r="C82" s="1137"/>
      <c r="D82" s="1137"/>
      <c r="E82" s="1137"/>
      <c r="F82" s="1137"/>
      <c r="G82" s="1137"/>
      <c r="H82" s="1137"/>
      <c r="I82" s="1137"/>
      <c r="J82" s="1137"/>
      <c r="K82" s="1137"/>
      <c r="L82" s="1137"/>
      <c r="M82" s="1137"/>
      <c r="N82" s="1137"/>
      <c r="O82" s="1137"/>
      <c r="P82" s="113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138" t="s">
        <v>252</v>
      </c>
      <c r="B84" s="1124" t="s">
        <v>354</v>
      </c>
      <c r="C84" s="1146"/>
      <c r="D84" s="1134" t="s">
        <v>355</v>
      </c>
      <c r="E84" s="1135"/>
      <c r="F84" s="1135"/>
      <c r="G84" s="1135"/>
      <c r="H84" s="1135"/>
      <c r="I84" s="1135"/>
      <c r="J84" s="1135"/>
      <c r="K84" s="1135"/>
      <c r="L84" s="1135"/>
      <c r="M84" s="1135"/>
      <c r="N84" s="1135"/>
      <c r="O84" s="1136"/>
      <c r="P84" s="996" t="s">
        <v>636</v>
      </c>
      <c r="Q84" s="1124" t="s">
        <v>635</v>
      </c>
      <c r="R84" s="1125"/>
    </row>
    <row r="85" spans="1:19" ht="16.5" customHeight="1" thickTop="1" thickBot="1">
      <c r="A85" s="1139"/>
      <c r="B85" s="1147"/>
      <c r="C85" s="1148"/>
      <c r="D85" s="1141" t="s">
        <v>196</v>
      </c>
      <c r="E85" s="1142"/>
      <c r="F85" s="1142"/>
      <c r="G85" s="1142"/>
      <c r="H85" s="1143"/>
      <c r="I85" s="1132" t="s">
        <v>245</v>
      </c>
      <c r="J85" s="1128" t="s">
        <v>233</v>
      </c>
      <c r="K85" s="1098" t="s">
        <v>208</v>
      </c>
      <c r="L85" s="1098" t="s">
        <v>209</v>
      </c>
      <c r="M85" s="1144" t="s">
        <v>244</v>
      </c>
      <c r="N85" s="1098" t="s">
        <v>256</v>
      </c>
      <c r="O85" s="1130" t="s">
        <v>126</v>
      </c>
      <c r="P85" s="997"/>
      <c r="Q85" s="881"/>
      <c r="R85" s="882"/>
    </row>
    <row r="86" spans="1:19" ht="110.25" customHeight="1" thickTop="1" thickBot="1">
      <c r="A86" s="1140"/>
      <c r="B86" s="869" t="s">
        <v>634</v>
      </c>
      <c r="C86" s="869" t="s">
        <v>738</v>
      </c>
      <c r="D86" s="783" t="s">
        <v>198</v>
      </c>
      <c r="E86" s="767" t="s">
        <v>199</v>
      </c>
      <c r="F86" s="784" t="s">
        <v>200</v>
      </c>
      <c r="G86" s="767" t="s">
        <v>202</v>
      </c>
      <c r="H86" s="785" t="s">
        <v>203</v>
      </c>
      <c r="I86" s="1133"/>
      <c r="J86" s="1129"/>
      <c r="K86" s="1099"/>
      <c r="L86" s="1099"/>
      <c r="M86" s="1145"/>
      <c r="N86" s="1099"/>
      <c r="O86" s="1131"/>
      <c r="P86" s="998"/>
      <c r="Q86" s="822" t="s">
        <v>637</v>
      </c>
      <c r="R86" s="820" t="s">
        <v>638</v>
      </c>
    </row>
    <row r="87" spans="1:19" ht="15.75" thickTop="1">
      <c r="A87" s="786" t="s">
        <v>251</v>
      </c>
      <c r="B87" s="787">
        <f>'lokale energieproductie'!B17*IFERROR(SUM(I87:O87)/SUM(D87:O87),0)</f>
        <v>19243.285714285714</v>
      </c>
      <c r="C87" s="787">
        <f>'lokale energieproductie'!B17*IFERROR(SUM(D87:H87)/SUM(D87:O87),0)</f>
        <v>0</v>
      </c>
      <c r="D87" s="798">
        <f>'lokale energieproductie'!C17</f>
        <v>0</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22639.15966386555</v>
      </c>
      <c r="K87" s="798">
        <f>'lokale energieproductie'!M17</f>
        <v>0</v>
      </c>
      <c r="L87" s="798">
        <f>'lokale energieproductie'!N17</f>
        <v>0</v>
      </c>
      <c r="M87" s="798">
        <f>'lokale energieproductie'!H17</f>
        <v>0</v>
      </c>
      <c r="N87" s="798">
        <f>'lokale energieproductie'!K17</f>
        <v>0</v>
      </c>
      <c r="O87" s="798">
        <f>'lokale energieproductie'!L17</f>
        <v>0</v>
      </c>
      <c r="P87" s="1093"/>
      <c r="Q87" s="884">
        <f>D87*EF_CO2_aardgas+E87*EF_VLgas_CO2+'SEAP template'!F87*EF_stookolie_CO2+EF_bruinkool_CO2*'SEAP template'!G87+'SEAP template'!H87*EF_steenkool_CO2+'EF brandstof'!M4*'SEAP template'!M87+'SEAP template'!O87*EF_anderfossiel_CO2</f>
        <v>0</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094"/>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095"/>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19243.285714285714</v>
      </c>
      <c r="C90" s="774">
        <f>SUM(C87:C89)</f>
        <v>0</v>
      </c>
      <c r="D90" s="774">
        <f t="shared" ref="D90:H90" si="12">SUM(D87:D89)</f>
        <v>0</v>
      </c>
      <c r="E90" s="774">
        <f t="shared" si="12"/>
        <v>0</v>
      </c>
      <c r="F90" s="774">
        <f t="shared" si="12"/>
        <v>0</v>
      </c>
      <c r="G90" s="774">
        <f t="shared" si="12"/>
        <v>0</v>
      </c>
      <c r="H90" s="774">
        <f t="shared" si="12"/>
        <v>0</v>
      </c>
      <c r="I90" s="774">
        <f>SUM(I87:I89)</f>
        <v>0</v>
      </c>
      <c r="J90" s="774">
        <f>SUM(J87:J89)</f>
        <v>22639.15966386555</v>
      </c>
      <c r="K90" s="774">
        <f t="shared" ref="K90:L90" si="13">SUM(K87:K89)</f>
        <v>0</v>
      </c>
      <c r="L90" s="774">
        <f t="shared" si="13"/>
        <v>0</v>
      </c>
      <c r="M90" s="774">
        <f>SUM(M87:M89)</f>
        <v>0</v>
      </c>
      <c r="N90" s="774">
        <f>SUM(N87:N89)</f>
        <v>0</v>
      </c>
      <c r="O90" s="774">
        <f>SUM(O87:O89)</f>
        <v>0</v>
      </c>
      <c r="P90" s="774">
        <v>0</v>
      </c>
      <c r="Q90" s="774">
        <f>SUM(Q87:Q89)</f>
        <v>0</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8" t="s">
        <v>240</v>
      </c>
      <c r="B1" s="1256" t="s">
        <v>241</v>
      </c>
      <c r="C1" s="1290" t="s">
        <v>242</v>
      </c>
      <c r="D1" s="1291"/>
      <c r="E1" s="1291"/>
      <c r="F1" s="1291"/>
      <c r="G1" s="1291"/>
      <c r="H1" s="1291"/>
      <c r="I1" s="1291"/>
      <c r="J1" s="1291"/>
      <c r="K1" s="1291"/>
      <c r="L1" s="1291"/>
      <c r="M1" s="1291"/>
      <c r="N1" s="1292"/>
      <c r="O1" s="1257" t="s">
        <v>243</v>
      </c>
      <c r="P1" s="1256" t="s">
        <v>541</v>
      </c>
      <c r="Q1" s="1257"/>
      <c r="S1" s="1255"/>
      <c r="T1" s="1255"/>
      <c r="U1" s="1255"/>
    </row>
    <row r="2" spans="1:21" s="560" customFormat="1" ht="15.75" thickBot="1">
      <c r="A2" s="1269"/>
      <c r="B2" s="1269"/>
      <c r="C2" s="1286" t="s">
        <v>196</v>
      </c>
      <c r="D2" s="1287"/>
      <c r="E2" s="1287"/>
      <c r="F2" s="1287"/>
      <c r="G2" s="1288"/>
      <c r="H2" s="1289" t="s">
        <v>244</v>
      </c>
      <c r="I2" s="1284" t="s">
        <v>245</v>
      </c>
      <c r="J2" s="1284" t="s">
        <v>233</v>
      </c>
      <c r="K2" s="1284" t="s">
        <v>246</v>
      </c>
      <c r="L2" s="1284" t="s">
        <v>126</v>
      </c>
      <c r="M2" s="1284" t="s">
        <v>739</v>
      </c>
      <c r="N2" s="1279" t="s">
        <v>740</v>
      </c>
      <c r="O2" s="1259"/>
      <c r="P2" s="1258"/>
      <c r="Q2" s="1259"/>
      <c r="S2" s="1255"/>
      <c r="T2" s="1255"/>
      <c r="U2" s="1255"/>
    </row>
    <row r="3" spans="1:21" s="560" customFormat="1" ht="53.45" customHeight="1" thickBot="1">
      <c r="A3" s="1270"/>
      <c r="B3" s="1260"/>
      <c r="C3" s="561" t="s">
        <v>198</v>
      </c>
      <c r="D3" s="562" t="s">
        <v>199</v>
      </c>
      <c r="E3" s="563" t="s">
        <v>200</v>
      </c>
      <c r="F3" s="564" t="s">
        <v>202</v>
      </c>
      <c r="G3" s="565" t="s">
        <v>203</v>
      </c>
      <c r="H3" s="1275"/>
      <c r="I3" s="1285"/>
      <c r="J3" s="1285"/>
      <c r="K3" s="1285"/>
      <c r="L3" s="1285"/>
      <c r="M3" s="1285"/>
      <c r="N3" s="1280"/>
      <c r="O3" s="1261"/>
      <c r="P3" s="1260"/>
      <c r="Q3" s="1261"/>
      <c r="S3" s="1255"/>
      <c r="T3" s="1255"/>
      <c r="U3" s="1255"/>
    </row>
    <row r="4" spans="1:21" s="560" customFormat="1" ht="15.75" thickTop="1">
      <c r="A4" s="566" t="s">
        <v>248</v>
      </c>
      <c r="B4" s="567">
        <f>IF(ISERROR(kWh_wind_land),0,kWh_wind_land)</f>
        <v>0</v>
      </c>
      <c r="C4" s="1296"/>
      <c r="D4" s="1281"/>
      <c r="E4" s="1281"/>
      <c r="F4" s="1299"/>
      <c r="G4" s="1302"/>
      <c r="H4" s="1293"/>
      <c r="I4" s="1281"/>
      <c r="J4" s="1281"/>
      <c r="K4" s="1281"/>
      <c r="L4" s="1281"/>
      <c r="M4" s="1281"/>
      <c r="N4" s="994"/>
      <c r="O4" s="568"/>
      <c r="P4" s="1262"/>
      <c r="Q4" s="1263"/>
      <c r="S4" s="569"/>
      <c r="T4" s="1252"/>
      <c r="U4" s="1252"/>
    </row>
    <row r="5" spans="1:21" s="560" customFormat="1">
      <c r="A5" s="570" t="s">
        <v>249</v>
      </c>
      <c r="B5" s="567">
        <f>IF(ISERROR(kWh_waterkracht),0,kWh_waterkracht)</f>
        <v>254.78253681515613</v>
      </c>
      <c r="C5" s="1297"/>
      <c r="D5" s="1282"/>
      <c r="E5" s="1282"/>
      <c r="F5" s="1300"/>
      <c r="G5" s="1303"/>
      <c r="H5" s="1294"/>
      <c r="I5" s="1282"/>
      <c r="J5" s="1282"/>
      <c r="K5" s="1282"/>
      <c r="L5" s="1282"/>
      <c r="M5" s="1282"/>
      <c r="N5" s="994"/>
      <c r="O5" s="571"/>
      <c r="P5" s="1264"/>
      <c r="Q5" s="1265"/>
      <c r="S5" s="569"/>
      <c r="T5" s="1252"/>
      <c r="U5" s="1252"/>
    </row>
    <row r="6" spans="1:21" s="560" customFormat="1">
      <c r="A6" s="570" t="s">
        <v>250</v>
      </c>
      <c r="B6" s="567">
        <f>IF(ISERROR((kWh_PV_kleiner_dan_10kW+kWh_PV_groter_dan_10kW)),0,(kWh_PV_kleiner_dan_10kW+kWh_PV_groter_dan_10kW))</f>
        <v>9127.2875808732242</v>
      </c>
      <c r="C6" s="1297"/>
      <c r="D6" s="1282"/>
      <c r="E6" s="1282"/>
      <c r="F6" s="1300"/>
      <c r="G6" s="1303"/>
      <c r="H6" s="1294"/>
      <c r="I6" s="1282"/>
      <c r="J6" s="1282"/>
      <c r="K6" s="1282"/>
      <c r="L6" s="1282"/>
      <c r="M6" s="1282"/>
      <c r="N6" s="994"/>
      <c r="O6" s="571"/>
      <c r="P6" s="1264"/>
      <c r="Q6" s="1265"/>
      <c r="S6" s="569"/>
      <c r="T6" s="1252"/>
      <c r="U6" s="1252"/>
    </row>
    <row r="7" spans="1:21" s="560" customFormat="1">
      <c r="A7" s="570" t="s">
        <v>737</v>
      </c>
      <c r="B7" s="567"/>
      <c r="C7" s="1298"/>
      <c r="D7" s="1283"/>
      <c r="E7" s="1283"/>
      <c r="F7" s="1301"/>
      <c r="G7" s="1304"/>
      <c r="H7" s="1295"/>
      <c r="I7" s="1283"/>
      <c r="J7" s="1283"/>
      <c r="K7" s="1283"/>
      <c r="L7" s="1283"/>
      <c r="M7" s="1283"/>
      <c r="N7" s="995"/>
      <c r="O7" s="571"/>
      <c r="P7" s="979"/>
      <c r="Q7" s="980"/>
      <c r="S7" s="978"/>
      <c r="T7" s="978"/>
      <c r="U7" s="978"/>
    </row>
    <row r="8" spans="1:21" s="560" customFormat="1">
      <c r="A8" s="572" t="s">
        <v>251</v>
      </c>
      <c r="B8" s="573">
        <f>N58</f>
        <v>13470.3</v>
      </c>
      <c r="C8" s="574">
        <f>B101</f>
        <v>0</v>
      </c>
      <c r="D8" s="575"/>
      <c r="E8" s="575">
        <f>E101</f>
        <v>0</v>
      </c>
      <c r="F8" s="576"/>
      <c r="G8" s="577"/>
      <c r="H8" s="575">
        <f>I101</f>
        <v>0</v>
      </c>
      <c r="I8" s="575">
        <f>G101+F101</f>
        <v>0</v>
      </c>
      <c r="J8" s="575">
        <f>H101+D101+C101</f>
        <v>15847.411764705885</v>
      </c>
      <c r="K8" s="575"/>
      <c r="L8" s="575"/>
      <c r="M8" s="575"/>
      <c r="N8" s="578"/>
      <c r="O8" s="579">
        <f>C8*$C$12+D8*$D$12+E8*$E$12+F8*$F$12+G8*$G$12+H8*$H$12+I8*$I$12+J8*$J$12</f>
        <v>0</v>
      </c>
      <c r="P8" s="1264"/>
      <c r="Q8" s="1265"/>
      <c r="S8" s="569"/>
      <c r="T8" s="1252"/>
      <c r="U8" s="1252"/>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66"/>
      <c r="Q9" s="1267"/>
      <c r="R9" s="586"/>
      <c r="S9" s="569"/>
      <c r="T9" s="1252"/>
      <c r="U9" s="1252"/>
    </row>
    <row r="10" spans="1:21" s="560" customFormat="1" ht="16.5" thickTop="1" thickBot="1">
      <c r="A10" s="587" t="s">
        <v>115</v>
      </c>
      <c r="B10" s="588">
        <f>SUM(B4:B9)</f>
        <v>22852.370117688377</v>
      </c>
      <c r="C10" s="589">
        <f t="shared" ref="C10:L10" si="0">SUM(C8:C9)</f>
        <v>0</v>
      </c>
      <c r="D10" s="589">
        <f t="shared" si="0"/>
        <v>0</v>
      </c>
      <c r="E10" s="589">
        <f t="shared" si="0"/>
        <v>0</v>
      </c>
      <c r="F10" s="589">
        <f t="shared" si="0"/>
        <v>0</v>
      </c>
      <c r="G10" s="589">
        <f t="shared" si="0"/>
        <v>0</v>
      </c>
      <c r="H10" s="589">
        <f t="shared" si="0"/>
        <v>0</v>
      </c>
      <c r="I10" s="589">
        <f t="shared" si="0"/>
        <v>0</v>
      </c>
      <c r="J10" s="589">
        <f t="shared" si="0"/>
        <v>15847.411764705885</v>
      </c>
      <c r="K10" s="589">
        <f t="shared" si="0"/>
        <v>0</v>
      </c>
      <c r="L10" s="589">
        <f t="shared" si="0"/>
        <v>0</v>
      </c>
      <c r="M10" s="1004"/>
      <c r="N10" s="1004"/>
      <c r="O10" s="590">
        <f>SUM(O4:O9)</f>
        <v>0</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8" t="s">
        <v>252</v>
      </c>
      <c r="B14" s="1268" t="s">
        <v>253</v>
      </c>
      <c r="C14" s="1276" t="s">
        <v>254</v>
      </c>
      <c r="D14" s="1277"/>
      <c r="E14" s="1277"/>
      <c r="F14" s="1277"/>
      <c r="G14" s="1277"/>
      <c r="H14" s="1277"/>
      <c r="I14" s="1277"/>
      <c r="J14" s="1277"/>
      <c r="K14" s="1277"/>
      <c r="L14" s="1277"/>
      <c r="M14" s="1277"/>
      <c r="N14" s="1278"/>
      <c r="O14" s="1257" t="s">
        <v>243</v>
      </c>
      <c r="P14" s="1256" t="s">
        <v>255</v>
      </c>
      <c r="Q14" s="1257"/>
      <c r="R14" s="1255"/>
      <c r="S14" s="1255"/>
      <c r="T14" s="1255"/>
    </row>
    <row r="15" spans="1:21" s="560" customFormat="1" ht="15.75" customHeight="1" thickBot="1">
      <c r="A15" s="1269"/>
      <c r="B15" s="1269"/>
      <c r="C15" s="1271" t="s">
        <v>196</v>
      </c>
      <c r="D15" s="1272"/>
      <c r="E15" s="1272"/>
      <c r="F15" s="1272"/>
      <c r="G15" s="1273"/>
      <c r="H15" s="1274" t="s">
        <v>244</v>
      </c>
      <c r="I15" s="1274" t="s">
        <v>245</v>
      </c>
      <c r="J15" s="1274" t="s">
        <v>233</v>
      </c>
      <c r="K15" s="1274" t="s">
        <v>256</v>
      </c>
      <c r="L15" s="1274" t="s">
        <v>126</v>
      </c>
      <c r="M15" s="1274" t="s">
        <v>739</v>
      </c>
      <c r="N15" s="1279" t="s">
        <v>740</v>
      </c>
      <c r="O15" s="1259"/>
      <c r="P15" s="1258"/>
      <c r="Q15" s="1259"/>
      <c r="R15" s="1255"/>
      <c r="S15" s="1255"/>
      <c r="T15" s="1255"/>
    </row>
    <row r="16" spans="1:21" s="560" customFormat="1" ht="40.700000000000003" customHeight="1" thickBot="1">
      <c r="A16" s="1270"/>
      <c r="B16" s="1270"/>
      <c r="C16" s="600" t="s">
        <v>198</v>
      </c>
      <c r="D16" s="562" t="s">
        <v>199</v>
      </c>
      <c r="E16" s="601" t="s">
        <v>200</v>
      </c>
      <c r="F16" s="562" t="s">
        <v>202</v>
      </c>
      <c r="G16" s="602" t="s">
        <v>203</v>
      </c>
      <c r="H16" s="1275"/>
      <c r="I16" s="1275"/>
      <c r="J16" s="1275"/>
      <c r="K16" s="1275"/>
      <c r="L16" s="1275"/>
      <c r="M16" s="1275"/>
      <c r="N16" s="1280"/>
      <c r="O16" s="1261"/>
      <c r="P16" s="1260"/>
      <c r="Q16" s="1261"/>
      <c r="R16" s="1255"/>
      <c r="S16" s="1255"/>
      <c r="T16" s="1255"/>
    </row>
    <row r="17" spans="1:26" s="560" customFormat="1" ht="15.75" thickTop="1">
      <c r="A17" s="603" t="s">
        <v>251</v>
      </c>
      <c r="B17" s="604">
        <f>O58</f>
        <v>19243.285714285714</v>
      </c>
      <c r="C17" s="605">
        <f>B102</f>
        <v>0</v>
      </c>
      <c r="D17" s="606"/>
      <c r="E17" s="606">
        <f>E102</f>
        <v>0</v>
      </c>
      <c r="F17" s="607"/>
      <c r="G17" s="608"/>
      <c r="H17" s="605">
        <f>I102</f>
        <v>0</v>
      </c>
      <c r="I17" s="606">
        <f>G102+F102</f>
        <v>0</v>
      </c>
      <c r="J17" s="606">
        <f>H102+D102+C102</f>
        <v>22639.15966386555</v>
      </c>
      <c r="K17" s="606"/>
      <c r="L17" s="606"/>
      <c r="M17" s="606"/>
      <c r="N17" s="1005"/>
      <c r="O17" s="609">
        <f>C17*$C$22+E17*$E$22+H17*$H$22+I17*$I$22+J17*$J$22+D17*$D$22+F17*$F$22+G17*$G$22+K17*$K$22+L17*$L$22</f>
        <v>0</v>
      </c>
      <c r="P17" s="1247"/>
      <c r="Q17" s="1248"/>
      <c r="R17" s="610"/>
      <c r="S17" s="1249"/>
      <c r="T17" s="1249"/>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250"/>
      <c r="Q18" s="1251"/>
      <c r="R18" s="569"/>
      <c r="S18" s="1252"/>
      <c r="T18" s="1252"/>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253"/>
      <c r="Q19" s="1254"/>
      <c r="R19" s="569"/>
      <c r="S19" s="1252"/>
      <c r="T19" s="1252"/>
    </row>
    <row r="20" spans="1:26" s="560" customFormat="1" ht="16.5" thickTop="1" thickBot="1">
      <c r="A20" s="587" t="s">
        <v>115</v>
      </c>
      <c r="B20" s="588">
        <f>SUM(B17:B19)</f>
        <v>19243.285714285714</v>
      </c>
      <c r="C20" s="588">
        <f>SUM(C17:C19)</f>
        <v>0</v>
      </c>
      <c r="D20" s="588">
        <f t="shared" ref="D20:L20" si="1">SUM(D17:D19)</f>
        <v>0</v>
      </c>
      <c r="E20" s="588">
        <f t="shared" si="1"/>
        <v>0</v>
      </c>
      <c r="F20" s="588">
        <f t="shared" si="1"/>
        <v>0</v>
      </c>
      <c r="G20" s="588">
        <f t="shared" si="1"/>
        <v>0</v>
      </c>
      <c r="H20" s="588">
        <f t="shared" si="1"/>
        <v>0</v>
      </c>
      <c r="I20" s="588">
        <f t="shared" si="1"/>
        <v>0</v>
      </c>
      <c r="J20" s="588">
        <f t="shared" si="1"/>
        <v>22639.15966386555</v>
      </c>
      <c r="K20" s="588">
        <f t="shared" si="1"/>
        <v>0</v>
      </c>
      <c r="L20" s="588">
        <f t="shared" si="1"/>
        <v>0</v>
      </c>
      <c r="M20" s="588"/>
      <c r="N20" s="588"/>
      <c r="O20" s="614">
        <f>SUM(O17:O19)</f>
        <v>0</v>
      </c>
      <c r="P20" s="1244"/>
      <c r="Q20" s="1245"/>
      <c r="R20" s="569"/>
      <c r="S20" s="1246"/>
      <c r="T20" s="1246"/>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25.5">
      <c r="A28" s="618"/>
      <c r="B28" s="817">
        <v>72003</v>
      </c>
      <c r="C28" s="817">
        <v>3950</v>
      </c>
      <c r="D28" s="666" t="s">
        <v>882</v>
      </c>
      <c r="E28" s="665" t="s">
        <v>883</v>
      </c>
      <c r="F28" s="665" t="s">
        <v>884</v>
      </c>
      <c r="G28" s="665" t="s">
        <v>885</v>
      </c>
      <c r="H28" s="665" t="s">
        <v>886</v>
      </c>
      <c r="I28" s="665" t="s">
        <v>887</v>
      </c>
      <c r="J28" s="816">
        <v>41078</v>
      </c>
      <c r="K28" s="816">
        <v>41244</v>
      </c>
      <c r="L28" s="665" t="s">
        <v>888</v>
      </c>
      <c r="M28" s="665">
        <v>9.6999999999999993</v>
      </c>
      <c r="N28" s="665">
        <v>43.649999999999991</v>
      </c>
      <c r="O28" s="665">
        <v>62.357142857142847</v>
      </c>
      <c r="P28" s="665">
        <v>0</v>
      </c>
      <c r="Q28" s="665">
        <v>124.71428571428569</v>
      </c>
      <c r="R28" s="665">
        <v>0</v>
      </c>
      <c r="S28" s="665">
        <v>0</v>
      </c>
      <c r="T28" s="665">
        <v>0</v>
      </c>
      <c r="U28" s="665">
        <v>0</v>
      </c>
      <c r="V28" s="665">
        <v>0</v>
      </c>
      <c r="W28" s="665">
        <v>0</v>
      </c>
      <c r="X28" s="665">
        <v>10</v>
      </c>
      <c r="Y28" s="665" t="s">
        <v>111</v>
      </c>
      <c r="Z28" s="667" t="s">
        <v>111</v>
      </c>
    </row>
    <row r="29" spans="1:26" s="619" customFormat="1" ht="25.5">
      <c r="A29" s="618"/>
      <c r="B29" s="817">
        <v>72003</v>
      </c>
      <c r="C29" s="817">
        <v>3950</v>
      </c>
      <c r="D29" s="666" t="s">
        <v>882</v>
      </c>
      <c r="E29" s="665" t="s">
        <v>883</v>
      </c>
      <c r="F29" s="665" t="s">
        <v>889</v>
      </c>
      <c r="G29" s="665" t="s">
        <v>885</v>
      </c>
      <c r="H29" s="665" t="s">
        <v>886</v>
      </c>
      <c r="I29" s="665" t="s">
        <v>890</v>
      </c>
      <c r="J29" s="816">
        <v>41078</v>
      </c>
      <c r="K29" s="816">
        <v>41275</v>
      </c>
      <c r="L29" s="665" t="s">
        <v>888</v>
      </c>
      <c r="M29" s="665">
        <v>9.6999999999999993</v>
      </c>
      <c r="N29" s="665">
        <v>43.649999999999991</v>
      </c>
      <c r="O29" s="665">
        <v>62.357142857142847</v>
      </c>
      <c r="P29" s="665">
        <v>0</v>
      </c>
      <c r="Q29" s="665">
        <v>124.71428571428569</v>
      </c>
      <c r="R29" s="665">
        <v>0</v>
      </c>
      <c r="S29" s="665">
        <v>0</v>
      </c>
      <c r="T29" s="665">
        <v>0</v>
      </c>
      <c r="U29" s="665">
        <v>0</v>
      </c>
      <c r="V29" s="665">
        <v>0</v>
      </c>
      <c r="W29" s="665">
        <v>0</v>
      </c>
      <c r="X29" s="665">
        <v>10</v>
      </c>
      <c r="Y29" s="665" t="s">
        <v>111</v>
      </c>
      <c r="Z29" s="667" t="s">
        <v>111</v>
      </c>
    </row>
    <row r="30" spans="1:26" s="619" customFormat="1" ht="63.75">
      <c r="A30" s="618"/>
      <c r="B30" s="817">
        <v>72003</v>
      </c>
      <c r="C30" s="817">
        <v>3950</v>
      </c>
      <c r="D30" s="666" t="s">
        <v>891</v>
      </c>
      <c r="E30" s="665" t="s">
        <v>892</v>
      </c>
      <c r="F30" s="665" t="s">
        <v>893</v>
      </c>
      <c r="G30" s="665" t="s">
        <v>885</v>
      </c>
      <c r="H30" s="665" t="s">
        <v>886</v>
      </c>
      <c r="I30" s="665" t="s">
        <v>894</v>
      </c>
      <c r="J30" s="816">
        <v>41961</v>
      </c>
      <c r="K30" s="816">
        <v>41961</v>
      </c>
      <c r="L30" s="665" t="s">
        <v>888</v>
      </c>
      <c r="M30" s="665">
        <v>2974</v>
      </c>
      <c r="N30" s="665">
        <v>13383</v>
      </c>
      <c r="O30" s="665">
        <v>19118.571428571428</v>
      </c>
      <c r="P30" s="665">
        <v>0</v>
      </c>
      <c r="Q30" s="665">
        <v>38237.142857142862</v>
      </c>
      <c r="R30" s="665">
        <v>0</v>
      </c>
      <c r="S30" s="665">
        <v>0</v>
      </c>
      <c r="T30" s="665">
        <v>0</v>
      </c>
      <c r="U30" s="665">
        <v>0</v>
      </c>
      <c r="V30" s="665">
        <v>0</v>
      </c>
      <c r="W30" s="665">
        <v>0</v>
      </c>
      <c r="X30" s="665">
        <v>1600</v>
      </c>
      <c r="Y30" s="665" t="s">
        <v>49</v>
      </c>
      <c r="Z30" s="667" t="s">
        <v>155</v>
      </c>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2993.4</v>
      </c>
      <c r="N58" s="623">
        <f>SUM(N28:N57)</f>
        <v>13470.3</v>
      </c>
      <c r="O58" s="623">
        <f t="shared" ref="O58:W58" si="2">SUM(O28:O57)</f>
        <v>19243.285714285714</v>
      </c>
      <c r="P58" s="623">
        <f t="shared" si="2"/>
        <v>0</v>
      </c>
      <c r="Q58" s="623">
        <f t="shared" si="2"/>
        <v>38486.571428571435</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2974</v>
      </c>
      <c r="N60" s="623">
        <f ca="1">SUMIF($Z$28:AD57,"tertiair",N28:N57)</f>
        <v>13383</v>
      </c>
      <c r="O60" s="623">
        <f ca="1">SUMIF($Z$28:AE57,"tertiair",O28:O57)</f>
        <v>19118.571428571428</v>
      </c>
      <c r="P60" s="623">
        <f ca="1">SUMIF($Z$28:AF57,"tertiair",P28:P57)</f>
        <v>0</v>
      </c>
      <c r="Q60" s="623">
        <f ca="1">SUMIF($Z$28:AG57,"tertiair",Q28:Q57)</f>
        <v>38237.142857142862</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19.399999999999999</v>
      </c>
      <c r="N61" s="628">
        <f t="shared" si="4"/>
        <v>87.299999999999983</v>
      </c>
      <c r="O61" s="628">
        <f t="shared" si="4"/>
        <v>124.71428571428569</v>
      </c>
      <c r="P61" s="628">
        <f t="shared" si="4"/>
        <v>0</v>
      </c>
      <c r="Q61" s="628">
        <f t="shared" si="4"/>
        <v>249.42857142857139</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0.58823529411764708</v>
      </c>
      <c r="C98" s="648">
        <f>IF(ISERROR(N58/(O58+N58)),0,N58/(N58+O58))</f>
        <v>0.41176470588235292</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0</v>
      </c>
      <c r="C101" s="657">
        <f t="shared" si="9"/>
        <v>15847.411764705885</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0</v>
      </c>
      <c r="C102" s="660">
        <f t="shared" si="10"/>
        <v>22639.15966386555</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784</v>
      </c>
      <c r="C2" s="373" t="s">
        <v>192</v>
      </c>
      <c r="D2" s="373" t="s">
        <v>785</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797</v>
      </c>
      <c r="B4" s="959" t="s">
        <v>799</v>
      </c>
      <c r="C4" s="373" t="s">
        <v>192</v>
      </c>
      <c r="D4" s="960" t="s">
        <v>786</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848</v>
      </c>
      <c r="B6" s="920" t="s">
        <v>831</v>
      </c>
      <c r="C6" s="368" t="s">
        <v>848</v>
      </c>
      <c r="D6" s="368" t="s">
        <v>701</v>
      </c>
      <c r="E6" s="370"/>
      <c r="F6" s="371" t="s">
        <v>851</v>
      </c>
      <c r="G6" s="371" t="s">
        <v>854</v>
      </c>
      <c r="H6" s="372" t="s">
        <v>850</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783</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830</v>
      </c>
      <c r="C10" s="373" t="s">
        <v>622</v>
      </c>
      <c r="D10" s="373" t="s">
        <v>623</v>
      </c>
      <c r="E10" s="374"/>
      <c r="F10" s="924" t="s">
        <v>675</v>
      </c>
      <c r="G10" s="924" t="s">
        <v>676</v>
      </c>
      <c r="H10" s="372" t="s">
        <v>677</v>
      </c>
    </row>
    <row r="11" spans="1:8">
      <c r="A11" s="368" t="s">
        <v>680</v>
      </c>
      <c r="B11" s="920" t="s">
        <v>720</v>
      </c>
      <c r="C11" s="368" t="s">
        <v>681</v>
      </c>
      <c r="D11" s="368" t="s">
        <v>787</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855</v>
      </c>
      <c r="H14" s="371" t="s">
        <v>397</v>
      </c>
    </row>
    <row r="15" spans="1:8">
      <c r="A15" s="368" t="s">
        <v>400</v>
      </c>
      <c r="B15" s="920" t="s">
        <v>717</v>
      </c>
      <c r="C15" s="368" t="s">
        <v>400</v>
      </c>
      <c r="D15" s="368" t="s">
        <v>414</v>
      </c>
      <c r="E15" s="370"/>
      <c r="F15" s="371" t="s">
        <v>727</v>
      </c>
      <c r="G15" s="930" t="s">
        <v>856</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784</v>
      </c>
      <c r="C18" s="373" t="s">
        <v>417</v>
      </c>
      <c r="D18" s="373" t="s">
        <v>840</v>
      </c>
      <c r="E18" s="375" t="s">
        <v>674</v>
      </c>
      <c r="F18" s="371" t="s">
        <v>673</v>
      </c>
      <c r="G18" s="930" t="s">
        <v>678</v>
      </c>
      <c r="H18" s="372" t="s">
        <v>679</v>
      </c>
    </row>
    <row r="19" spans="1:8">
      <c r="A19" s="373" t="s">
        <v>192</v>
      </c>
      <c r="B19" s="824" t="s">
        <v>831</v>
      </c>
      <c r="C19" s="373" t="s">
        <v>418</v>
      </c>
      <c r="D19" s="373" t="s">
        <v>672</v>
      </c>
      <c r="E19" s="370"/>
      <c r="F19" s="371" t="s">
        <v>419</v>
      </c>
      <c r="G19" s="371" t="s">
        <v>420</v>
      </c>
      <c r="H19" s="372" t="s">
        <v>421</v>
      </c>
    </row>
    <row r="20" spans="1:8" s="913" customFormat="1">
      <c r="A20" s="373" t="s">
        <v>400</v>
      </c>
      <c r="B20" s="824" t="s">
        <v>830</v>
      </c>
      <c r="C20" s="373" t="s">
        <v>400</v>
      </c>
      <c r="D20" s="373" t="s">
        <v>724</v>
      </c>
      <c r="E20" s="370"/>
      <c r="F20" s="371" t="s">
        <v>726</v>
      </c>
      <c r="G20" s="924" t="s">
        <v>857</v>
      </c>
      <c r="H20" s="925" t="s">
        <v>730</v>
      </c>
    </row>
    <row r="21" spans="1:8" s="913" customFormat="1">
      <c r="A21" s="373" t="s">
        <v>400</v>
      </c>
      <c r="B21" s="824" t="s">
        <v>849</v>
      </c>
      <c r="C21" s="373" t="s">
        <v>400</v>
      </c>
      <c r="D21" s="373" t="s">
        <v>725</v>
      </c>
      <c r="E21" s="370"/>
      <c r="F21" s="371" t="s">
        <v>852</v>
      </c>
      <c r="G21" s="924" t="s">
        <v>858</v>
      </c>
      <c r="H21" s="372" t="s">
        <v>853</v>
      </c>
    </row>
    <row r="22" spans="1:8" s="11" customFormat="1">
      <c r="A22" s="373" t="s">
        <v>400</v>
      </c>
      <c r="B22" s="959" t="s">
        <v>831</v>
      </c>
      <c r="C22" s="373" t="s">
        <v>400</v>
      </c>
      <c r="D22" s="373" t="s">
        <v>647</v>
      </c>
      <c r="E22" s="374"/>
      <c r="F22" s="924" t="s">
        <v>729</v>
      </c>
      <c r="G22" s="924" t="s">
        <v>859</v>
      </c>
      <c r="H22" s="924" t="s">
        <v>728</v>
      </c>
    </row>
    <row r="23" spans="1:8" s="11" customFormat="1">
      <c r="A23" s="373" t="s">
        <v>400</v>
      </c>
      <c r="B23" s="959" t="s">
        <v>831</v>
      </c>
      <c r="C23" s="373" t="s">
        <v>400</v>
      </c>
      <c r="D23" s="960" t="s">
        <v>626</v>
      </c>
      <c r="E23" s="374"/>
      <c r="F23" s="924" t="s">
        <v>729</v>
      </c>
      <c r="G23" s="924" t="s">
        <v>859</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21" sqref="C21"/>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v>2017</v>
      </c>
      <c r="B2" s="942">
        <v>43599</v>
      </c>
      <c r="C2" s="914" t="s">
        <v>793</v>
      </c>
      <c r="D2" s="956" t="s">
        <v>794</v>
      </c>
    </row>
    <row r="3" spans="1:4" s="914" customFormat="1">
      <c r="A3" s="1057">
        <v>2017</v>
      </c>
      <c r="B3" s="942">
        <v>43599</v>
      </c>
      <c r="C3" s="914" t="s">
        <v>790</v>
      </c>
      <c r="D3" s="943" t="s">
        <v>788</v>
      </c>
    </row>
    <row r="4" spans="1:4" s="914" customFormat="1">
      <c r="A4" s="1057">
        <v>2017</v>
      </c>
      <c r="B4" s="942">
        <v>43599</v>
      </c>
      <c r="C4" s="914" t="s">
        <v>791</v>
      </c>
      <c r="D4" s="1058" t="s">
        <v>789</v>
      </c>
    </row>
    <row r="5" spans="1:4" s="914" customFormat="1">
      <c r="A5" s="1057">
        <v>2017</v>
      </c>
      <c r="B5" s="942">
        <v>43599</v>
      </c>
      <c r="C5" s="914" t="s">
        <v>792</v>
      </c>
      <c r="D5" s="943" t="s">
        <v>782</v>
      </c>
    </row>
    <row r="6" spans="1:4" s="914" customFormat="1">
      <c r="A6" s="1057">
        <v>2017</v>
      </c>
      <c r="B6" s="961">
        <v>43608</v>
      </c>
      <c r="C6" s="914" t="s">
        <v>826</v>
      </c>
      <c r="D6" s="943" t="s">
        <v>828</v>
      </c>
    </row>
    <row r="7" spans="1:4" s="914" customFormat="1">
      <c r="A7" s="1057">
        <v>2017</v>
      </c>
      <c r="B7" s="961">
        <v>43608</v>
      </c>
      <c r="C7" s="914" t="s">
        <v>827</v>
      </c>
      <c r="D7" s="943" t="s">
        <v>829</v>
      </c>
    </row>
    <row r="8" spans="1:4" s="914" customFormat="1">
      <c r="A8" s="1057">
        <v>2017</v>
      </c>
      <c r="B8" s="961">
        <v>43608</v>
      </c>
      <c r="C8" s="914" t="s">
        <v>841</v>
      </c>
      <c r="D8" s="962" t="s">
        <v>842</v>
      </c>
    </row>
    <row r="9" spans="1:4" s="7" customFormat="1">
      <c r="A9" s="1057">
        <v>2017</v>
      </c>
      <c r="B9" s="961">
        <v>43608</v>
      </c>
      <c r="C9" s="914" t="s">
        <v>843</v>
      </c>
      <c r="D9" s="965" t="s">
        <v>844</v>
      </c>
    </row>
    <row r="10" spans="1:4" s="7" customFormat="1">
      <c r="A10" s="1057">
        <v>2017</v>
      </c>
      <c r="B10" s="942">
        <v>43614</v>
      </c>
      <c r="C10" s="942" t="s">
        <v>862</v>
      </c>
      <c r="D10" s="962" t="s">
        <v>868</v>
      </c>
    </row>
    <row r="11" spans="1:4" s="7" customFormat="1">
      <c r="A11" s="1057">
        <v>2017</v>
      </c>
      <c r="B11" s="942">
        <v>43614</v>
      </c>
      <c r="C11" s="942" t="s">
        <v>863</v>
      </c>
      <c r="D11" s="962" t="s">
        <v>869</v>
      </c>
    </row>
    <row r="12" spans="1:4" s="7" customFormat="1">
      <c r="A12" s="1057">
        <v>2017</v>
      </c>
      <c r="B12" s="942">
        <v>43614</v>
      </c>
      <c r="C12" s="942" t="s">
        <v>864</v>
      </c>
      <c r="D12" s="962" t="s">
        <v>870</v>
      </c>
    </row>
    <row r="13" spans="1:4" s="7" customFormat="1">
      <c r="A13" s="1057">
        <v>2017</v>
      </c>
      <c r="B13" s="942">
        <v>43614</v>
      </c>
      <c r="C13" s="942" t="s">
        <v>865</v>
      </c>
      <c r="D13" s="962" t="s">
        <v>871</v>
      </c>
    </row>
    <row r="14" spans="1:4" s="7" customFormat="1">
      <c r="A14" s="1057">
        <v>2017</v>
      </c>
      <c r="B14" s="942">
        <v>43614</v>
      </c>
      <c r="C14" s="942" t="s">
        <v>866</v>
      </c>
      <c r="D14" s="962" t="s">
        <v>872</v>
      </c>
    </row>
    <row r="15" spans="1:4" s="7" customFormat="1">
      <c r="A15" s="1057">
        <v>2017</v>
      </c>
      <c r="B15" s="942">
        <v>43614</v>
      </c>
      <c r="C15" s="942" t="s">
        <v>867</v>
      </c>
      <c r="D15" s="962" t="s">
        <v>873</v>
      </c>
    </row>
    <row r="16" spans="1:4" s="7" customFormat="1">
      <c r="A16" s="914"/>
      <c r="B16" s="942"/>
      <c r="C16" s="942"/>
      <c r="D16" s="965"/>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23058.949726657822</v>
      </c>
      <c r="C4" s="478">
        <f>huishoudens!C8</f>
        <v>0</v>
      </c>
      <c r="D4" s="478">
        <f>huishoudens!D8</f>
        <v>34076.8224797</v>
      </c>
      <c r="E4" s="478">
        <f>huishoudens!E8</f>
        <v>8714.4560456927593</v>
      </c>
      <c r="F4" s="478">
        <f>huishoudens!F8</f>
        <v>29986.247320177874</v>
      </c>
      <c r="G4" s="478">
        <f>huishoudens!G8</f>
        <v>0</v>
      </c>
      <c r="H4" s="478">
        <f>huishoudens!H8</f>
        <v>0</v>
      </c>
      <c r="I4" s="478">
        <f>huishoudens!I8</f>
        <v>0</v>
      </c>
      <c r="J4" s="478">
        <f>huishoudens!J8</f>
        <v>0</v>
      </c>
      <c r="K4" s="478">
        <f>huishoudens!K8</f>
        <v>0</v>
      </c>
      <c r="L4" s="478">
        <f>huishoudens!L8</f>
        <v>0</v>
      </c>
      <c r="M4" s="478">
        <f>huishoudens!M8</f>
        <v>0</v>
      </c>
      <c r="N4" s="478">
        <f>huishoudens!N8</f>
        <v>18581.549183001596</v>
      </c>
      <c r="O4" s="478">
        <f>huishoudens!O8</f>
        <v>476.14997265288758</v>
      </c>
      <c r="P4" s="479">
        <f>huishoudens!P8</f>
        <v>642.57151776878641</v>
      </c>
      <c r="Q4" s="480">
        <f>SUM(B4:P4)</f>
        <v>115536.74624565172</v>
      </c>
    </row>
    <row r="5" spans="1:17">
      <c r="A5" s="477" t="s">
        <v>155</v>
      </c>
      <c r="B5" s="478">
        <f ca="1">tertiair!B16</f>
        <v>26027.640950000001</v>
      </c>
      <c r="C5" s="478">
        <f ca="1">tertiair!C16</f>
        <v>19118.571428571428</v>
      </c>
      <c r="D5" s="478">
        <f ca="1">tertiair!D16</f>
        <v>6598.3241555000004</v>
      </c>
      <c r="E5" s="478">
        <f>tertiair!E16</f>
        <v>166.06882840547664</v>
      </c>
      <c r="F5" s="478">
        <f ca="1">tertiair!F16</f>
        <v>1499.297322891048</v>
      </c>
      <c r="G5" s="478">
        <f>tertiair!G16</f>
        <v>0</v>
      </c>
      <c r="H5" s="478">
        <f>tertiair!H16</f>
        <v>0</v>
      </c>
      <c r="I5" s="478">
        <f>tertiair!I16</f>
        <v>0</v>
      </c>
      <c r="J5" s="478">
        <f>tertiair!J16</f>
        <v>3.0853571855262704E-2</v>
      </c>
      <c r="K5" s="478">
        <f>tertiair!K16</f>
        <v>0</v>
      </c>
      <c r="L5" s="478">
        <f ca="1">tertiair!L16</f>
        <v>0</v>
      </c>
      <c r="M5" s="478">
        <f>tertiair!M16</f>
        <v>0</v>
      </c>
      <c r="N5" s="478">
        <f ca="1">tertiair!N16</f>
        <v>0</v>
      </c>
      <c r="O5" s="478">
        <f>tertiair!O16</f>
        <v>34.280825360888088</v>
      </c>
      <c r="P5" s="479">
        <f>tertiair!P16</f>
        <v>105.07827661299004</v>
      </c>
      <c r="Q5" s="477">
        <f t="shared" ref="Q5:Q14" ca="1" si="0">SUM(B5:P5)</f>
        <v>53549.292640913693</v>
      </c>
    </row>
    <row r="6" spans="1:17">
      <c r="A6" s="477" t="s">
        <v>193</v>
      </c>
      <c r="B6" s="478">
        <f>'openbare verlichting'!B8</f>
        <v>960.88699999999994</v>
      </c>
      <c r="C6" s="478"/>
      <c r="D6" s="478"/>
      <c r="E6" s="478"/>
      <c r="F6" s="478"/>
      <c r="G6" s="478"/>
      <c r="H6" s="478"/>
      <c r="I6" s="478"/>
      <c r="J6" s="478"/>
      <c r="K6" s="478"/>
      <c r="L6" s="478"/>
      <c r="M6" s="478"/>
      <c r="N6" s="478"/>
      <c r="O6" s="478"/>
      <c r="P6" s="479"/>
      <c r="Q6" s="477">
        <f t="shared" si="0"/>
        <v>960.88699999999994</v>
      </c>
    </row>
    <row r="7" spans="1:17">
      <c r="A7" s="477" t="s">
        <v>111</v>
      </c>
      <c r="B7" s="478">
        <f>landbouw!B8</f>
        <v>3532.0505499999999</v>
      </c>
      <c r="C7" s="478">
        <f>landbouw!C8</f>
        <v>124.71428571428569</v>
      </c>
      <c r="D7" s="478">
        <f>landbouw!D8</f>
        <v>61.151992000000007</v>
      </c>
      <c r="E7" s="478">
        <f>landbouw!E8</f>
        <v>110.23413293891848</v>
      </c>
      <c r="F7" s="478">
        <f>landbouw!F8</f>
        <v>12482.657913705032</v>
      </c>
      <c r="G7" s="478">
        <f>landbouw!G8</f>
        <v>0</v>
      </c>
      <c r="H7" s="478">
        <f>landbouw!H8</f>
        <v>0</v>
      </c>
      <c r="I7" s="478">
        <f>landbouw!I8</f>
        <v>0</v>
      </c>
      <c r="J7" s="478">
        <f>landbouw!J8</f>
        <v>973.10442108089558</v>
      </c>
      <c r="K7" s="478">
        <f>landbouw!K8</f>
        <v>0</v>
      </c>
      <c r="L7" s="478">
        <f>landbouw!L8</f>
        <v>0</v>
      </c>
      <c r="M7" s="478">
        <f>landbouw!M8</f>
        <v>0</v>
      </c>
      <c r="N7" s="478">
        <f>landbouw!N8</f>
        <v>0</v>
      </c>
      <c r="O7" s="478">
        <f>landbouw!O8</f>
        <v>0</v>
      </c>
      <c r="P7" s="479">
        <f>landbouw!P8</f>
        <v>0</v>
      </c>
      <c r="Q7" s="477">
        <f t="shared" si="0"/>
        <v>17283.913295439132</v>
      </c>
    </row>
    <row r="8" spans="1:17">
      <c r="A8" s="477" t="s">
        <v>629</v>
      </c>
      <c r="B8" s="478">
        <f>industrie!B18</f>
        <v>54493.810406999997</v>
      </c>
      <c r="C8" s="478">
        <f>industrie!C18</f>
        <v>0</v>
      </c>
      <c r="D8" s="478">
        <f>industrie!D18</f>
        <v>71757.705744999999</v>
      </c>
      <c r="E8" s="478">
        <f>industrie!E18</f>
        <v>1377.2928461566285</v>
      </c>
      <c r="F8" s="478">
        <f>industrie!F18</f>
        <v>6629.6127332610349</v>
      </c>
      <c r="G8" s="478">
        <f>industrie!G18</f>
        <v>0</v>
      </c>
      <c r="H8" s="478">
        <f>industrie!H18</f>
        <v>0</v>
      </c>
      <c r="I8" s="478">
        <f>industrie!I18</f>
        <v>0</v>
      </c>
      <c r="J8" s="478">
        <f>industrie!J18</f>
        <v>4.1869204148482471</v>
      </c>
      <c r="K8" s="478">
        <f>industrie!K18</f>
        <v>0</v>
      </c>
      <c r="L8" s="478">
        <f>industrie!L18</f>
        <v>0</v>
      </c>
      <c r="M8" s="478">
        <f>industrie!M18</f>
        <v>0</v>
      </c>
      <c r="N8" s="478">
        <f>industrie!N18</f>
        <v>3075.9510965592281</v>
      </c>
      <c r="O8" s="478">
        <f>industrie!O18</f>
        <v>0</v>
      </c>
      <c r="P8" s="479">
        <f>industrie!P18</f>
        <v>0</v>
      </c>
      <c r="Q8" s="477">
        <f t="shared" si="0"/>
        <v>137338.55974839177</v>
      </c>
    </row>
    <row r="9" spans="1:17" s="483" customFormat="1">
      <c r="A9" s="481" t="s">
        <v>555</v>
      </c>
      <c r="B9" s="482">
        <f>transport!B14</f>
        <v>34.706154334722214</v>
      </c>
      <c r="C9" s="482">
        <f>transport!C14</f>
        <v>0</v>
      </c>
      <c r="D9" s="482">
        <f>transport!D14</f>
        <v>150.16980155125668</v>
      </c>
      <c r="E9" s="482">
        <f>transport!E14</f>
        <v>114.41288684620832</v>
      </c>
      <c r="F9" s="482">
        <f>transport!F14</f>
        <v>0</v>
      </c>
      <c r="G9" s="482">
        <f>transport!G14</f>
        <v>45062.027872204897</v>
      </c>
      <c r="H9" s="482">
        <f>transport!H14</f>
        <v>11143.165437322783</v>
      </c>
      <c r="I9" s="482">
        <f>transport!I14</f>
        <v>0</v>
      </c>
      <c r="J9" s="482">
        <f>transport!J14</f>
        <v>0</v>
      </c>
      <c r="K9" s="482">
        <f>transport!K14</f>
        <v>0</v>
      </c>
      <c r="L9" s="482">
        <f>transport!L14</f>
        <v>0</v>
      </c>
      <c r="M9" s="482">
        <f>transport!M14</f>
        <v>3330.7263186598011</v>
      </c>
      <c r="N9" s="482">
        <f>transport!N14</f>
        <v>0</v>
      </c>
      <c r="O9" s="482">
        <f>transport!O14</f>
        <v>0</v>
      </c>
      <c r="P9" s="482">
        <f>transport!P14</f>
        <v>0</v>
      </c>
      <c r="Q9" s="481">
        <f>SUM(B9:P9)</f>
        <v>59835.208470919664</v>
      </c>
    </row>
    <row r="10" spans="1:17">
      <c r="A10" s="477" t="s">
        <v>545</v>
      </c>
      <c r="B10" s="478">
        <f>transport!B54</f>
        <v>0</v>
      </c>
      <c r="C10" s="478">
        <f>transport!C54</f>
        <v>0</v>
      </c>
      <c r="D10" s="478">
        <f>transport!D54</f>
        <v>0</v>
      </c>
      <c r="E10" s="478">
        <f>transport!E54</f>
        <v>0</v>
      </c>
      <c r="F10" s="478">
        <f>transport!F54</f>
        <v>0</v>
      </c>
      <c r="G10" s="478">
        <f>transport!G54</f>
        <v>915.43278934562602</v>
      </c>
      <c r="H10" s="478">
        <f>transport!H54</f>
        <v>0</v>
      </c>
      <c r="I10" s="478">
        <f>transport!I54</f>
        <v>0</v>
      </c>
      <c r="J10" s="478">
        <f>transport!J54</f>
        <v>0</v>
      </c>
      <c r="K10" s="478">
        <f>transport!K54</f>
        <v>0</v>
      </c>
      <c r="L10" s="478">
        <f>transport!L54</f>
        <v>0</v>
      </c>
      <c r="M10" s="478">
        <f>transport!M54</f>
        <v>50.879855718903841</v>
      </c>
      <c r="N10" s="478">
        <f>transport!N54</f>
        <v>0</v>
      </c>
      <c r="O10" s="478">
        <f>transport!O54</f>
        <v>0</v>
      </c>
      <c r="P10" s="479">
        <f>transport!P54</f>
        <v>0</v>
      </c>
      <c r="Q10" s="477">
        <f t="shared" si="0"/>
        <v>966.31264506452987</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242.67714999999998</v>
      </c>
      <c r="C14" s="485"/>
      <c r="D14" s="485">
        <f>'SEAP template'!E25</f>
        <v>788.30844999999999</v>
      </c>
      <c r="E14" s="485"/>
      <c r="F14" s="485"/>
      <c r="G14" s="485"/>
      <c r="H14" s="485"/>
      <c r="I14" s="485"/>
      <c r="J14" s="485"/>
      <c r="K14" s="485"/>
      <c r="L14" s="485"/>
      <c r="M14" s="485"/>
      <c r="N14" s="485"/>
      <c r="O14" s="485"/>
      <c r="P14" s="486"/>
      <c r="Q14" s="477">
        <f t="shared" si="0"/>
        <v>1030.9856</v>
      </c>
    </row>
    <row r="15" spans="1:17" s="489" customFormat="1">
      <c r="A15" s="487" t="s">
        <v>549</v>
      </c>
      <c r="B15" s="488">
        <f ca="1">SUM(B4:B14)</f>
        <v>108350.72193799255</v>
      </c>
      <c r="C15" s="488">
        <f t="shared" ref="C15:Q15" ca="1" si="1">SUM(C4:C14)</f>
        <v>19243.285714285714</v>
      </c>
      <c r="D15" s="488">
        <f t="shared" ca="1" si="1"/>
        <v>113432.48262375125</v>
      </c>
      <c r="E15" s="488">
        <f t="shared" si="1"/>
        <v>10482.46474003999</v>
      </c>
      <c r="F15" s="488">
        <f t="shared" ca="1" si="1"/>
        <v>50597.815290034989</v>
      </c>
      <c r="G15" s="488">
        <f t="shared" si="1"/>
        <v>45977.460661550525</v>
      </c>
      <c r="H15" s="488">
        <f t="shared" si="1"/>
        <v>11143.165437322783</v>
      </c>
      <c r="I15" s="488">
        <f t="shared" si="1"/>
        <v>0</v>
      </c>
      <c r="J15" s="488">
        <f t="shared" si="1"/>
        <v>977.32219506759907</v>
      </c>
      <c r="K15" s="488">
        <f t="shared" si="1"/>
        <v>0</v>
      </c>
      <c r="L15" s="488">
        <f t="shared" ca="1" si="1"/>
        <v>0</v>
      </c>
      <c r="M15" s="488">
        <f t="shared" si="1"/>
        <v>3381.606174378705</v>
      </c>
      <c r="N15" s="488">
        <f t="shared" ca="1" si="1"/>
        <v>21657.500279560823</v>
      </c>
      <c r="O15" s="488">
        <f t="shared" si="1"/>
        <v>510.43079801377564</v>
      </c>
      <c r="P15" s="488">
        <f t="shared" si="1"/>
        <v>747.64979438177647</v>
      </c>
      <c r="Q15" s="488">
        <f t="shared" ca="1" si="1"/>
        <v>386501.9056463805</v>
      </c>
    </row>
    <row r="17" spans="1:17">
      <c r="A17" s="490" t="s">
        <v>550</v>
      </c>
      <c r="B17" s="807">
        <f ca="1">huishoudens!B10</f>
        <v>0.17438864655743244</v>
      </c>
      <c r="C17" s="807">
        <f ca="1">huishoudens!C10</f>
        <v>0</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4021.2190338677342</v>
      </c>
      <c r="C22" s="478">
        <f t="shared" ref="C22:C32" ca="1" si="3">C4*$C$17</f>
        <v>0</v>
      </c>
      <c r="D22" s="478">
        <f t="shared" ref="D22:D32" si="4">D4*$D$17</f>
        <v>6883.5181408994004</v>
      </c>
      <c r="E22" s="478">
        <f t="shared" ref="E22:E32" si="5">E4*$E$17</f>
        <v>1978.1815223722565</v>
      </c>
      <c r="F22" s="478">
        <f t="shared" ref="F22:F32" si="6">F4*$F$17</f>
        <v>8006.3280344874929</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20889.246731626885</v>
      </c>
    </row>
    <row r="23" spans="1:17">
      <c r="A23" s="477" t="s">
        <v>155</v>
      </c>
      <c r="B23" s="478">
        <f t="shared" ca="1" si="2"/>
        <v>4538.9250783533053</v>
      </c>
      <c r="C23" s="478">
        <f t="shared" ca="1" si="3"/>
        <v>0</v>
      </c>
      <c r="D23" s="478">
        <f t="shared" ca="1" si="4"/>
        <v>1332.8614794110001</v>
      </c>
      <c r="E23" s="478">
        <f t="shared" si="5"/>
        <v>37.697624048043195</v>
      </c>
      <c r="F23" s="478">
        <f t="shared" ca="1" si="6"/>
        <v>400.31238521190983</v>
      </c>
      <c r="G23" s="478">
        <f t="shared" si="7"/>
        <v>0</v>
      </c>
      <c r="H23" s="478">
        <f t="shared" si="8"/>
        <v>0</v>
      </c>
      <c r="I23" s="478">
        <f t="shared" si="9"/>
        <v>0</v>
      </c>
      <c r="J23" s="478">
        <f t="shared" si="10"/>
        <v>1.0922164436762997E-2</v>
      </c>
      <c r="K23" s="478">
        <f t="shared" si="11"/>
        <v>0</v>
      </c>
      <c r="L23" s="478">
        <f t="shared" ca="1" si="12"/>
        <v>0</v>
      </c>
      <c r="M23" s="478">
        <f t="shared" si="13"/>
        <v>0</v>
      </c>
      <c r="N23" s="478">
        <f t="shared" ca="1" si="14"/>
        <v>0</v>
      </c>
      <c r="O23" s="478">
        <f t="shared" si="15"/>
        <v>0</v>
      </c>
      <c r="P23" s="479">
        <f t="shared" si="16"/>
        <v>0</v>
      </c>
      <c r="Q23" s="477">
        <f t="shared" ref="Q23:Q31" ca="1" si="17">SUM(B23:P23)</f>
        <v>6309.8074891886954</v>
      </c>
    </row>
    <row r="24" spans="1:17">
      <c r="A24" s="477" t="s">
        <v>193</v>
      </c>
      <c r="B24" s="478">
        <f t="shared" ca="1" si="2"/>
        <v>167.56778342463159</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167.56778342463159</v>
      </c>
    </row>
    <row r="25" spans="1:17">
      <c r="A25" s="477" t="s">
        <v>111</v>
      </c>
      <c r="B25" s="478">
        <f t="shared" ca="1" si="2"/>
        <v>615.9495149869349</v>
      </c>
      <c r="C25" s="478">
        <f t="shared" ca="1" si="3"/>
        <v>0</v>
      </c>
      <c r="D25" s="478">
        <f t="shared" si="4"/>
        <v>12.352702384000002</v>
      </c>
      <c r="E25" s="478">
        <f t="shared" si="5"/>
        <v>25.023148177134495</v>
      </c>
      <c r="F25" s="478">
        <f t="shared" si="6"/>
        <v>3332.8696629592437</v>
      </c>
      <c r="G25" s="478">
        <f t="shared" si="7"/>
        <v>0</v>
      </c>
      <c r="H25" s="478">
        <f t="shared" si="8"/>
        <v>0</v>
      </c>
      <c r="I25" s="478">
        <f t="shared" si="9"/>
        <v>0</v>
      </c>
      <c r="J25" s="478">
        <f t="shared" si="10"/>
        <v>344.47896506263703</v>
      </c>
      <c r="K25" s="478">
        <f t="shared" si="11"/>
        <v>0</v>
      </c>
      <c r="L25" s="478">
        <f t="shared" si="12"/>
        <v>0</v>
      </c>
      <c r="M25" s="478">
        <f t="shared" si="13"/>
        <v>0</v>
      </c>
      <c r="N25" s="478">
        <f t="shared" si="14"/>
        <v>0</v>
      </c>
      <c r="O25" s="478">
        <f t="shared" si="15"/>
        <v>0</v>
      </c>
      <c r="P25" s="479">
        <f t="shared" si="16"/>
        <v>0</v>
      </c>
      <c r="Q25" s="477">
        <f t="shared" ca="1" si="17"/>
        <v>4330.6739935699497</v>
      </c>
    </row>
    <row r="26" spans="1:17">
      <c r="A26" s="477" t="s">
        <v>629</v>
      </c>
      <c r="B26" s="478">
        <f t="shared" ca="1" si="2"/>
        <v>9503.1018426340561</v>
      </c>
      <c r="C26" s="478">
        <f t="shared" ca="1" si="3"/>
        <v>0</v>
      </c>
      <c r="D26" s="478">
        <f t="shared" si="4"/>
        <v>14495.05656049</v>
      </c>
      <c r="E26" s="478">
        <f t="shared" si="5"/>
        <v>312.64547607755469</v>
      </c>
      <c r="F26" s="478">
        <f t="shared" si="6"/>
        <v>1770.1065997806963</v>
      </c>
      <c r="G26" s="478">
        <f t="shared" si="7"/>
        <v>0</v>
      </c>
      <c r="H26" s="478">
        <f t="shared" si="8"/>
        <v>0</v>
      </c>
      <c r="I26" s="478">
        <f t="shared" si="9"/>
        <v>0</v>
      </c>
      <c r="J26" s="478">
        <f t="shared" si="10"/>
        <v>1.4821698268562793</v>
      </c>
      <c r="K26" s="478">
        <f t="shared" si="11"/>
        <v>0</v>
      </c>
      <c r="L26" s="478">
        <f t="shared" si="12"/>
        <v>0</v>
      </c>
      <c r="M26" s="478">
        <f t="shared" si="13"/>
        <v>0</v>
      </c>
      <c r="N26" s="478">
        <f t="shared" si="14"/>
        <v>0</v>
      </c>
      <c r="O26" s="478">
        <f t="shared" si="15"/>
        <v>0</v>
      </c>
      <c r="P26" s="479">
        <f t="shared" si="16"/>
        <v>0</v>
      </c>
      <c r="Q26" s="477">
        <f t="shared" ca="1" si="17"/>
        <v>26082.392648809167</v>
      </c>
    </row>
    <row r="27" spans="1:17" s="483" customFormat="1">
      <c r="A27" s="481" t="s">
        <v>555</v>
      </c>
      <c r="B27" s="801">
        <f t="shared" ca="1" si="2"/>
        <v>6.0523592816455745</v>
      </c>
      <c r="C27" s="482">
        <f t="shared" ca="1" si="3"/>
        <v>0</v>
      </c>
      <c r="D27" s="482">
        <f t="shared" si="4"/>
        <v>30.334299913353853</v>
      </c>
      <c r="E27" s="482">
        <f t="shared" si="5"/>
        <v>25.971725314089291</v>
      </c>
      <c r="F27" s="482">
        <f t="shared" si="6"/>
        <v>0</v>
      </c>
      <c r="G27" s="482">
        <f t="shared" si="7"/>
        <v>12031.561441878708</v>
      </c>
      <c r="H27" s="482">
        <f t="shared" si="8"/>
        <v>2774.648193893373</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14868.568020281171</v>
      </c>
    </row>
    <row r="28" spans="1:17" ht="16.5" customHeight="1">
      <c r="A28" s="477" t="s">
        <v>545</v>
      </c>
      <c r="B28" s="478">
        <f t="shared" ca="1" si="2"/>
        <v>0</v>
      </c>
      <c r="C28" s="478">
        <f t="shared" ca="1" si="3"/>
        <v>0</v>
      </c>
      <c r="D28" s="478">
        <f t="shared" si="4"/>
        <v>0</v>
      </c>
      <c r="E28" s="478">
        <f t="shared" si="5"/>
        <v>0</v>
      </c>
      <c r="F28" s="478">
        <f t="shared" si="6"/>
        <v>0</v>
      </c>
      <c r="G28" s="478">
        <f t="shared" si="7"/>
        <v>244.42055475528215</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244.42055475528215</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42.32013973891501</v>
      </c>
      <c r="C32" s="478">
        <f t="shared" ca="1" si="3"/>
        <v>0</v>
      </c>
      <c r="D32" s="478">
        <f t="shared" si="4"/>
        <v>159.2383069</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201.558446638915</v>
      </c>
    </row>
    <row r="33" spans="1:17" s="489" customFormat="1">
      <c r="A33" s="487" t="s">
        <v>549</v>
      </c>
      <c r="B33" s="488">
        <f ca="1">SUM(B22:B32)</f>
        <v>18895.135752287224</v>
      </c>
      <c r="C33" s="488">
        <f t="shared" ref="C33:Q33" ca="1" si="19">SUM(C22:C32)</f>
        <v>0</v>
      </c>
      <c r="D33" s="488">
        <f t="shared" ca="1" si="19"/>
        <v>22913.361489997755</v>
      </c>
      <c r="E33" s="488">
        <f t="shared" si="19"/>
        <v>2379.5194959890782</v>
      </c>
      <c r="F33" s="488">
        <f t="shared" ca="1" si="19"/>
        <v>13509.616682439342</v>
      </c>
      <c r="G33" s="488">
        <f t="shared" si="19"/>
        <v>12275.981996633991</v>
      </c>
      <c r="H33" s="488">
        <f t="shared" si="19"/>
        <v>2774.648193893373</v>
      </c>
      <c r="I33" s="488">
        <f t="shared" si="19"/>
        <v>0</v>
      </c>
      <c r="J33" s="488">
        <f t="shared" si="19"/>
        <v>345.97205705393009</v>
      </c>
      <c r="K33" s="488">
        <f t="shared" si="19"/>
        <v>0</v>
      </c>
      <c r="L33" s="488">
        <f t="shared" ca="1" si="19"/>
        <v>0</v>
      </c>
      <c r="M33" s="488">
        <f t="shared" si="19"/>
        <v>0</v>
      </c>
      <c r="N33" s="488">
        <f t="shared" ca="1" si="19"/>
        <v>0</v>
      </c>
      <c r="O33" s="488">
        <f t="shared" si="19"/>
        <v>0</v>
      </c>
      <c r="P33" s="488">
        <f t="shared" si="19"/>
        <v>0</v>
      </c>
      <c r="Q33" s="488">
        <f t="shared" ca="1" si="19"/>
        <v>73094.235668294699</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800</v>
      </c>
    </row>
    <row r="2" spans="1:16" ht="60">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254.78253681515613</v>
      </c>
      <c r="C5" s="1062"/>
      <c r="D5" s="1062"/>
      <c r="E5" s="1062"/>
      <c r="F5" s="1062"/>
      <c r="G5" s="1062"/>
      <c r="H5" s="1062"/>
      <c r="I5" s="1062"/>
      <c r="J5" s="1062"/>
      <c r="K5" s="1062"/>
      <c r="L5" s="1062"/>
      <c r="M5" s="1062"/>
      <c r="N5" s="1062"/>
      <c r="O5" s="1062"/>
      <c r="P5" s="1063">
        <f>'SEAP template'!Q73</f>
        <v>0</v>
      </c>
    </row>
    <row r="6" spans="1:16">
      <c r="A6" s="1067" t="s">
        <v>250</v>
      </c>
      <c r="B6" s="1062">
        <f>'SEAP template'!B74</f>
        <v>9127.2875808732242</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13470.3</v>
      </c>
      <c r="C8" s="1062">
        <f>'SEAP template'!C76</f>
        <v>0</v>
      </c>
      <c r="D8" s="1062">
        <f>'SEAP template'!D76</f>
        <v>0</v>
      </c>
      <c r="E8" s="1062">
        <f>'SEAP template'!E76</f>
        <v>0</v>
      </c>
      <c r="F8" s="1062">
        <f>'SEAP template'!F76</f>
        <v>0</v>
      </c>
      <c r="G8" s="1062">
        <f>'SEAP template'!G76</f>
        <v>0</v>
      </c>
      <c r="H8" s="1062">
        <f>'SEAP template'!H76</f>
        <v>0</v>
      </c>
      <c r="I8" s="1062">
        <f>'SEAP template'!I76</f>
        <v>0</v>
      </c>
      <c r="J8" s="1062">
        <f>'SEAP template'!J76</f>
        <v>15847.411764705885</v>
      </c>
      <c r="K8" s="1062">
        <f>'SEAP template'!K76</f>
        <v>0</v>
      </c>
      <c r="L8" s="1062">
        <f>'SEAP template'!L76</f>
        <v>0</v>
      </c>
      <c r="M8" s="1062">
        <f>'SEAP template'!M76</f>
        <v>0</v>
      </c>
      <c r="N8" s="1062">
        <f>'SEAP template'!N76</f>
        <v>0</v>
      </c>
      <c r="O8" s="1062">
        <f>'SEAP template'!O76</f>
        <v>0</v>
      </c>
      <c r="P8" s="1063">
        <f>'SEAP template'!Q76</f>
        <v>0</v>
      </c>
    </row>
    <row r="9" spans="1:16">
      <c r="A9" s="1068" t="s">
        <v>803</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22852.370117688377</v>
      </c>
      <c r="C10" s="1064">
        <f>SUM(C4:C9)</f>
        <v>0</v>
      </c>
      <c r="D10" s="1064">
        <f t="shared" ref="D10:H10" si="0">SUM(D8:D9)</f>
        <v>0</v>
      </c>
      <c r="E10" s="1064">
        <f t="shared" si="0"/>
        <v>0</v>
      </c>
      <c r="F10" s="1064">
        <f t="shared" si="0"/>
        <v>0</v>
      </c>
      <c r="G10" s="1064">
        <f t="shared" si="0"/>
        <v>0</v>
      </c>
      <c r="H10" s="1064">
        <f t="shared" si="0"/>
        <v>0</v>
      </c>
      <c r="I10" s="1064">
        <f>SUM(I8:I9)</f>
        <v>0</v>
      </c>
      <c r="J10" s="1064">
        <f>SUM(J8:J9)</f>
        <v>15847.411764705885</v>
      </c>
      <c r="K10" s="1064">
        <f t="shared" ref="K10:L10" si="1">SUM(K8:K9)</f>
        <v>0</v>
      </c>
      <c r="L10" s="1064">
        <f t="shared" si="1"/>
        <v>0</v>
      </c>
      <c r="M10" s="1064">
        <f>SUM(M8:M9)</f>
        <v>0</v>
      </c>
      <c r="N10" s="1064">
        <f>SUM(N8:N9)</f>
        <v>0</v>
      </c>
      <c r="O10" s="1064">
        <f>SUM(O8:O9)</f>
        <v>0</v>
      </c>
      <c r="P10" s="1064">
        <f>SUM(P8:P9)</f>
        <v>0</v>
      </c>
    </row>
    <row r="11" spans="1:16">
      <c r="A11" s="921"/>
      <c r="B11" s="921"/>
      <c r="C11" s="921"/>
      <c r="D11" s="921"/>
      <c r="E11" s="921"/>
      <c r="F11" s="921"/>
      <c r="G11" s="921"/>
      <c r="H11" s="921"/>
      <c r="I11" s="921"/>
      <c r="J11" s="921"/>
      <c r="K11" s="921"/>
      <c r="L11" s="921"/>
      <c r="M11" s="921"/>
      <c r="N11" s="921"/>
      <c r="O11" s="921"/>
      <c r="P11" s="921"/>
    </row>
    <row r="12" spans="1:16">
      <c r="A12" s="490" t="s">
        <v>814</v>
      </c>
      <c r="B12" s="807" t="s">
        <v>813</v>
      </c>
      <c r="C12" s="807">
        <f ca="1">'EF ele_warmte'!B12</f>
        <v>0.17438864655743244</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19243.285714285714</v>
      </c>
      <c r="C17" s="1065">
        <f>'SEAP template'!C87</f>
        <v>0</v>
      </c>
      <c r="D17" s="1063">
        <f>'SEAP template'!D87</f>
        <v>0</v>
      </c>
      <c r="E17" s="1063">
        <f>'SEAP template'!E87</f>
        <v>0</v>
      </c>
      <c r="F17" s="1063">
        <f>'SEAP template'!F87</f>
        <v>0</v>
      </c>
      <c r="G17" s="1063">
        <f>'SEAP template'!G87</f>
        <v>0</v>
      </c>
      <c r="H17" s="1063">
        <f>'SEAP template'!H87</f>
        <v>0</v>
      </c>
      <c r="I17" s="1063">
        <f>'SEAP template'!I87</f>
        <v>0</v>
      </c>
      <c r="J17" s="1063">
        <f>'SEAP template'!J87</f>
        <v>22639.15966386555</v>
      </c>
      <c r="K17" s="1063">
        <f>'SEAP template'!K87</f>
        <v>0</v>
      </c>
      <c r="L17" s="1063">
        <f>'SEAP template'!L87</f>
        <v>0</v>
      </c>
      <c r="M17" s="1063">
        <f>'SEAP template'!M87</f>
        <v>0</v>
      </c>
      <c r="N17" s="1063">
        <f>'SEAP template'!N87</f>
        <v>0</v>
      </c>
      <c r="O17" s="1063">
        <f>'SEAP template'!O87</f>
        <v>0</v>
      </c>
      <c r="P17" s="1063">
        <f>'SEAP template'!Q87</f>
        <v>0</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804</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19243.285714285714</v>
      </c>
      <c r="C20" s="1064">
        <f>SUM(C17:C19)</f>
        <v>0</v>
      </c>
      <c r="D20" s="1064">
        <f t="shared" ref="D20:H20" si="2">SUM(D17:D19)</f>
        <v>0</v>
      </c>
      <c r="E20" s="1064">
        <f t="shared" si="2"/>
        <v>0</v>
      </c>
      <c r="F20" s="1064">
        <f t="shared" si="2"/>
        <v>0</v>
      </c>
      <c r="G20" s="1064">
        <f t="shared" si="2"/>
        <v>0</v>
      </c>
      <c r="H20" s="1064">
        <f t="shared" si="2"/>
        <v>0</v>
      </c>
      <c r="I20" s="1064">
        <f>SUM(I17:I19)</f>
        <v>0</v>
      </c>
      <c r="J20" s="1064">
        <f>SUM(J17:J19)</f>
        <v>22639.15966386555</v>
      </c>
      <c r="K20" s="1064">
        <f t="shared" ref="K20:L20" si="3">SUM(K17:K19)</f>
        <v>0</v>
      </c>
      <c r="L20" s="1064">
        <f t="shared" si="3"/>
        <v>0</v>
      </c>
      <c r="M20" s="1064">
        <f>SUM(M17:M19)</f>
        <v>0</v>
      </c>
      <c r="N20" s="1064">
        <f>SUM(N17:N19)</f>
        <v>0</v>
      </c>
      <c r="O20" s="1064">
        <f>SUM(O17:O19)</f>
        <v>0</v>
      </c>
      <c r="P20" s="1064">
        <f>SUM(P17:P19)</f>
        <v>0</v>
      </c>
    </row>
    <row r="21" spans="1:16">
      <c r="B21" s="913"/>
    </row>
    <row r="22" spans="1:16">
      <c r="A22" s="490" t="s">
        <v>815</v>
      </c>
      <c r="B22" s="807" t="s">
        <v>813</v>
      </c>
      <c r="C22" s="807">
        <f ca="1">'EF ele_warmte'!B22</f>
        <v>0</v>
      </c>
    </row>
  </sheetData>
  <mergeCells count="17">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800</v>
      </c>
    </row>
    <row r="2" spans="1:16" ht="15.75">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846</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816</v>
      </c>
    </row>
    <row r="5" spans="1:16" ht="135">
      <c r="A5" s="1076" t="s">
        <v>249</v>
      </c>
      <c r="B5" s="1073" t="s">
        <v>846</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816</v>
      </c>
    </row>
    <row r="6" spans="1:16" ht="135">
      <c r="A6" s="1076" t="s">
        <v>250</v>
      </c>
      <c r="B6" s="1073" t="s">
        <v>846</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816</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816</v>
      </c>
    </row>
    <row r="8" spans="1:16" ht="210">
      <c r="A8" s="1075" t="s">
        <v>251</v>
      </c>
      <c r="B8" s="1073" t="s">
        <v>817</v>
      </c>
      <c r="C8" s="1073" t="s">
        <v>817</v>
      </c>
      <c r="D8" s="1073" t="s">
        <v>817</v>
      </c>
      <c r="E8" s="1073" t="s">
        <v>817</v>
      </c>
      <c r="F8" s="1073" t="s">
        <v>817</v>
      </c>
      <c r="G8" s="1073" t="s">
        <v>817</v>
      </c>
      <c r="H8" s="1073" t="s">
        <v>817</v>
      </c>
      <c r="I8" s="1073" t="s">
        <v>817</v>
      </c>
      <c r="J8" s="1073" t="s">
        <v>817</v>
      </c>
      <c r="K8" s="1078" t="s">
        <v>762</v>
      </c>
      <c r="L8" s="1078" t="s">
        <v>762</v>
      </c>
      <c r="M8" s="1078" t="s">
        <v>762</v>
      </c>
      <c r="N8" s="1073" t="s">
        <v>818</v>
      </c>
      <c r="O8" s="1073" t="s">
        <v>818</v>
      </c>
      <c r="P8" s="1079"/>
    </row>
    <row r="9" spans="1:16" ht="210">
      <c r="A9" s="1077" t="s">
        <v>803</v>
      </c>
      <c r="B9" s="1073" t="s">
        <v>818</v>
      </c>
      <c r="C9" s="1073" t="s">
        <v>818</v>
      </c>
      <c r="D9" s="1073" t="s">
        <v>818</v>
      </c>
      <c r="E9" s="1073" t="s">
        <v>818</v>
      </c>
      <c r="F9" s="1073" t="s">
        <v>818</v>
      </c>
      <c r="G9" s="1073" t="s">
        <v>818</v>
      </c>
      <c r="H9" s="1073" t="s">
        <v>818</v>
      </c>
      <c r="I9" s="1073" t="s">
        <v>818</v>
      </c>
      <c r="J9" s="1073" t="s">
        <v>818</v>
      </c>
      <c r="K9" s="1078" t="s">
        <v>762</v>
      </c>
      <c r="L9" s="1073" t="s">
        <v>818</v>
      </c>
      <c r="M9" s="1073" t="s">
        <v>818</v>
      </c>
      <c r="N9" s="1073" t="s">
        <v>818</v>
      </c>
      <c r="O9" s="1073" t="s">
        <v>818</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814</v>
      </c>
      <c r="B12" s="807" t="s">
        <v>813</v>
      </c>
      <c r="C12" s="1081" t="s">
        <v>819</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818</v>
      </c>
      <c r="C17" s="1073" t="s">
        <v>818</v>
      </c>
      <c r="D17" s="1073" t="s">
        <v>818</v>
      </c>
      <c r="E17" s="1073" t="s">
        <v>818</v>
      </c>
      <c r="F17" s="1073" t="s">
        <v>818</v>
      </c>
      <c r="G17" s="1073" t="s">
        <v>818</v>
      </c>
      <c r="H17" s="1073" t="s">
        <v>818</v>
      </c>
      <c r="I17" s="1073" t="s">
        <v>818</v>
      </c>
      <c r="J17" s="1073" t="s">
        <v>818</v>
      </c>
      <c r="K17" s="1078" t="s">
        <v>762</v>
      </c>
      <c r="L17" s="1078" t="s">
        <v>762</v>
      </c>
      <c r="M17" s="1078" t="s">
        <v>762</v>
      </c>
      <c r="N17" s="1073" t="s">
        <v>818</v>
      </c>
      <c r="O17" s="1073" t="s">
        <v>818</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804</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815</v>
      </c>
      <c r="B22" s="807" t="s">
        <v>813</v>
      </c>
      <c r="C22" s="1081" t="s">
        <v>820</v>
      </c>
      <c r="D22" s="913"/>
      <c r="E22" s="913"/>
      <c r="F22" s="913"/>
      <c r="G22" s="913"/>
      <c r="H22" s="913"/>
      <c r="I22" s="913"/>
      <c r="J22" s="913"/>
      <c r="K22" s="913"/>
      <c r="L22" s="913"/>
      <c r="M22" s="913"/>
      <c r="N22" s="913"/>
      <c r="O22" s="913"/>
      <c r="P22" s="913"/>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0.17438864655743244</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2019-06-29T17:11:42Z</dcterms:modified>
</cp:coreProperties>
</file>