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E78" i="14"/>
  <c r="E9" i="59"/>
  <c r="E10" s="1"/>
  <c r="O78" i="14"/>
  <c r="O9" i="59"/>
  <c r="O10" s="1"/>
  <c r="G78" i="14"/>
  <c r="G9" i="59"/>
  <c r="G10" s="1"/>
  <c r="Q13" i="14"/>
  <c r="I33" i="48"/>
  <c r="I20" i="15"/>
  <c r="J40" i="14" s="1"/>
  <c r="J46" s="1"/>
  <c r="J61" s="1"/>
  <c r="K15" i="48"/>
  <c r="J27" i="14"/>
  <c r="I15" i="48"/>
  <c r="H78" i="14"/>
  <c r="H9" i="59"/>
  <c r="H10" s="1"/>
  <c r="N78" i="14"/>
  <c r="N9" i="59"/>
  <c r="N10" s="1"/>
  <c r="M24" i="48"/>
  <c r="M32"/>
  <c r="P22"/>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E13" i="14" l="1"/>
  <c r="F78"/>
  <c r="F8" i="59"/>
  <c r="F10" s="1"/>
  <c r="F90" i="14"/>
  <c r="F17" i="59"/>
  <c r="F20" s="1"/>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D5" i="48"/>
  <c r="D15"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5" i="48"/>
  <c r="J23" s="1"/>
  <c r="J20" i="15"/>
  <c r="K40" i="14" s="1"/>
  <c r="E16"/>
  <c r="E27" s="1"/>
  <c r="J78"/>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B22" i="6"/>
  <c r="C10" i="17" s="1"/>
  <c r="C12" s="1"/>
  <c r="D54" i="14" s="1"/>
  <c r="D56" s="1"/>
  <c r="G33" i="48"/>
  <c r="Q9"/>
  <c r="H15"/>
  <c r="F22" i="16"/>
  <c r="G43" i="14" s="1"/>
  <c r="F8" i="48"/>
  <c r="F15" s="1"/>
  <c r="O13" i="14"/>
  <c r="O16" s="1"/>
  <c r="O27"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C10" i="13"/>
  <c r="C12" s="1"/>
  <c r="C18" i="15"/>
  <c r="C20" s="1"/>
  <c r="D40" i="14" s="1"/>
  <c r="C29" i="20"/>
  <c r="C22" i="59"/>
  <c r="C17" i="19"/>
  <c r="C19" s="1"/>
  <c r="D39" i="14" s="1"/>
  <c r="C16" i="22"/>
  <c r="C56"/>
  <c r="C58" s="1"/>
  <c r="D49" i="14" s="1"/>
  <c r="D52" s="1"/>
  <c r="C20" i="16"/>
  <c r="C22" s="1"/>
  <c r="D43" i="14"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<sst xmlns="http://schemas.openxmlformats.org/spreadsheetml/2006/main" count="2376" uniqueCount="889">
  <si>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</si>
  <si>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</si>
  <si>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</si>
  <si>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</si>
  <si>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</si>
  <si>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</si>
  <si>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</si>
  <si>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</si>
  <si>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</si>
  <si>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</si>
  <si>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</si>
  <si>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</si>
  <si>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</si>
  <si>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</si>
  <si>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</si>
  <si>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</si>
  <si>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</si>
  <si>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</si>
  <si>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</si>
  <si>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</si>
  <si>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</si>
  <si>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</si>
  <si>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</si>
  <si>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</si>
  <si>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</si>
  <si>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</si>
  <si>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</si>
  <si>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</si>
  <si>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</si>
  <si>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</si>
  <si>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</si>
  <si>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</si>
  <si>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</si>
  <si>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</si>
  <si>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</si>
  <si>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</si>
  <si>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</si>
  <si>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</si>
  <si>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</si>
  <si>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</si>
  <si>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</si>
  <si>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</si>
  <si>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</si>
  <si>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</si>
  <si>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</si>
  <si>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</si>
  <si>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</si>
  <si>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</si>
  <si>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</si>
  <si>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</si>
  <si>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</si>
  <si>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</si>
  <si>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</si>
  <si>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</si>
  <si>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</si>
  <si>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</si>
  <si>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</si>
  <si>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</si>
  <si>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</si>
  <si>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</si>
  <si>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</si>
  <si>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</si>
  <si>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</si>
  <si>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</si>
  <si>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</si>
  <si>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</si>
  <si>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</si>
  <si>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</si>
  <si>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</si>
  <si>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</si>
  <si>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</si>
  <si>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</si>
  <si>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</si>
  <si>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</si>
  <si>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</si>
  <si>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</si>
  <si>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</si>
  <si>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</si>
  <si>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</si>
  <si>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</si>
  <si>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</si>
  <si>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</si>
  <si>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</si>
  <si>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</si>
  <si>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</si>
  <si>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</si>
  <si>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</si>
  <si>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</si>
  <si>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</si>
  <si>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</si>
  <si>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</si>
  <si>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</si>
  <si>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</si>
  <si>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</si>
  <si>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</si>
  <si>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</si>
  <si>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</si>
  <si>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</si>
  <si>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</si>
  <si>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</si>
  <si>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</si>
  <si>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</si>
  <si>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</si>
  <si>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</si>
  <si>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</si>
  <si>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</si>
  <si>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</si>
  <si>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</si>
  <si>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</si>
  <si>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</si>
  <si>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</si>
  <si>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</si>
  <si>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</si>
  <si>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</si>
  <si>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</si>
  <si>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</si>
  <si>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</si>
  <si>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</si>
  <si>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</si>
  <si>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</si>
  <si>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</si>
  <si>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</si>
  <si>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</si>
  <si>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</si>
  <si>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</si>
  <si>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</si>
  <si>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</si>
  <si>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</si>
  <si>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</si>
  <si>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</si>
  <si>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</si>
  <si>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</si>
  <si>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</si>
  <si>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</si>
  <si>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</si>
  <si>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</si>
  <si>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</si>
  <si>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</si>
  <si>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</si>
  <si>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</si>
  <si>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</si>
  <si>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</si>
  <si>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</si>
  <si>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</si>
  <si>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</si>
  <si>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</si>
  <si>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</si>
  <si>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</si>
  <si>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</si>
  <si>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</si>
  <si>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</si>
  <si>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</si>
  <si>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</si>
  <si>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</si>
  <si>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</si>
  <si>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</si>
  <si>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</si>
  <si>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</si>
  <si>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</si>
  <si>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</si>
  <si>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</si>
  <si>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</si>
  <si>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</si>
  <si>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</si>
  <si>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</si>
  <si>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</si>
  <si>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</si>
  <si>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</si>
  <si>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</si>
  <si>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</si>
  <si>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</si>
  <si>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</si>
  <si>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</si>
  <si>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</si>
  <si>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</si>
  <si>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</si>
  <si>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</si>
  <si>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</si>
  <si>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</si>
  <si>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</si>
  <si>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</si>
  <si>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</si>
  <si>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</si>
  <si>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</si>
  <si>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</si>
  <si>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</si>
  <si>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</si>
  <si>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</si>
  <si>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</si>
  <si>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</si>
  <si>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</si>
  <si>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</si>
  <si>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</si>
  <si>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</si>
  <si>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</si>
  <si>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</si>
  <si>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</si>
  <si>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</si>
  <si>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</si>
  <si>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</si>
  <si>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</si>
  <si>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</si>
  <si>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</si>
  <si>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</si>
  <si>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</si>
  <si>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</si>
  <si>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</si>
  <si>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</si>
  <si>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</si>
  <si>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</si>
  <si>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</si>
  <si>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</si>
  <si>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</si>
  <si>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</si>
  <si>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</si>
  <si>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</si>
  <si>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</si>
  <si>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</si>
  <si>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</si>
  <si>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</si>
  <si>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</si>
  <si>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</si>
  <si>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</si>
  <si>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</si>
  <si>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</si>
  <si>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</si>
  <si>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</si>
  <si>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</si>
  <si>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</si>
  <si>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</si>
  <si>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</si>
  <si>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</si>
  <si>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</si>
  <si>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</si>
  <si>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</si>
  <si>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</si>
  <si>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</si>
  <si>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</si>
  <si>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</si>
  <si>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</si>
  <si>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</si>
  <si>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</si>
  <si>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</si>
  <si>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</si>
  <si>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</si>
  <si>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</si>
  <si>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</si>
  <si>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</si>
  <si>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</si>
  <si>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</si>
  <si>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</si>
  <si>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</si>
  <si>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</si>
  <si>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</si>
  <si>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</si>
  <si>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</si>
  <si>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</si>
  <si>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</si>
  <si>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</si>
  <si>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</si>
  <si>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</si>
  <si>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</si>
  <si>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</si>
  <si>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</si>
  <si>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</si>
  <si>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</si>
  <si>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</si>
  <si>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</si>
  <si>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</si>
  <si>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</si>
  <si>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</si>
  <si>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</si>
  <si>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</si>
  <si>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</si>
  <si>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</si>
  <si>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</si>
  <si>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</si>
  <si>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</si>
  <si>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</si>
  <si>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</si>
  <si>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</si>
  <si>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</si>
  <si>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</si>
  <si>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</si>
  <si>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</si>
  <si>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</si>
  <si>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</si>
  <si>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</si>
  <si>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</si>
  <si>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</si>
  <si>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</si>
  <si>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</si>
  <si>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</si>
  <si>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</si>
  <si>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</si>
  <si>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</si>
  <si>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</si>
  <si>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</si>
  <si>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</si>
  <si>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</si>
  <si>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</si>
  <si>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</si>
  <si>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</si>
  <si>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</si>
  <si>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</si>
  <si>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</si>
  <si>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</si>
  <si>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</si>
  <si>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</si>
  <si>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</si>
  <si>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</si>
  <si>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</si>
  <si>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</si>
  <si>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</si>
  <si>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</si>
  <si>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</si>
  <si>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</si>
  <si>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</si>
  <si>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</si>
  <si>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</si>
  <si>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</si>
  <si>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</si>
  <si>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</si>
  <si>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</si>
  <si>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</si>
  <si>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</si>
  <si>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</si>
  <si>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</si>
  <si>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</si>
  <si>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</si>
  <si>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</si>
  <si>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</si>
  <si>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</si>
  <si>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</si>
  <si>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</si>
  <si>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</si>
  <si>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</si>
  <si>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</si>
  <si>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</si>
  <si>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</si>
  <si>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</si>
  <si>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</si>
  <si>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</si>
  <si>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</si>
  <si>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</si>
  <si>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</si>
  <si>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</si>
  <si>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</si>
  <si>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</si>
  <si>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</si>
  <si>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</si>
  <si>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</si>
  <si>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</si>
  <si>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</si>
  <si>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</si>
  <si>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</si>
  <si>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</si>
  <si>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</si>
  <si>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</si>
  <si>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</si>
  <si>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</si>
  <si>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</si>
  <si>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</si>
  <si>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</si>
  <si>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</si>
  <si>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</si>
  <si>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</si>
  <si>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</si>
  <si>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</si>
  <si>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</si>
  <si>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</si>
  <si>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</si>
  <si>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</si>
  <si>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</si>
  <si>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</si>
  <si>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</si>
  <si>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</si>
  <si>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</si>
  <si>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</si>
  <si>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</si>
  <si>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</si>
  <si>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</si>
  <si>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</si>
  <si>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</si>
  <si>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</si>
  <si>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</si>
  <si>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</si>
  <si>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</si>
  <si>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</si>
  <si>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</si>
  <si>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</si>
  <si>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</si>
  <si>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</si>
  <si>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</si>
  <si>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</si>
  <si>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</si>
  <si>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</si>
  <si>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</si>
  <si>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</si>
  <si>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</si>
  <si>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</si>
  <si>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</si>
  <si>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</si>
  <si>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</si>
  <si>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</si>
  <si>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</si>
  <si>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</si>
  <si>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</si>
  <si>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</si>
  <si>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</si>
  <si>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</si>
  <si>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</si>
  <si>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</si>
  <si>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</si>
  <si>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</si>
  <si>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</si>
  <si>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</si>
  <si>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</si>
  <si>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</si>
  <si>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</si>
  <si>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</si>
  <si>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</si>
  <si>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</si>
  <si>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</si>
  <si>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</si>
  <si>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</si>
  <si>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</si>
  <si>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</si>
  <si>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</si>
  <si>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</si>
  <si>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</si>
  <si>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</si>
  <si>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</si>
  <si>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</si>
  <si>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</si>
  <si>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</si>
  <si>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</si>
  <si>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</si>
  <si>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</si>
  <si>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</si>
  <si>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</si>
  <si>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</si>
  <si>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</si>
  <si>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</si>
  <si>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</si>
  <si>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</si>
  <si>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</si>
  <si>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</si>
  <si>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</si>
  <si>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</si>
  <si>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</si>
  <si>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</si>
  <si>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</si>
  <si>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</si>
  <si>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</si>
  <si>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</si>
  <si>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</si>
  <si>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</si>
  <si>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</si>
  <si>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</si>
  <si>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</si>
  <si>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</si>
  <si>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</si>
  <si>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</si>
  <si>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</si>
  <si>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</si>
  <si>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</si>
  <si>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</si>
  <si>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</si>
  <si>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</si>
  <si>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</si>
  <si>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</si>
  <si>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</si>
  <si>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</si>
  <si>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</si>
  <si>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</si>
  <si>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</si>
  <si>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</si>
  <si>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</si>
  <si>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</si>
  <si>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</si>
  <si>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</si>
  <si>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</si>
  <si>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</si>
  <si>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</si>
  <si>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</si>
  <si>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</si>
  <si>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</si>
  <si>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</si>
  <si>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</si>
  <si>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</si>
  <si>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</si>
  <si>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</si>
  <si>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</si>
  <si>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</si>
  <si>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</si>
  <si>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</si>
  <si>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</si>
  <si>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</si>
  <si>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</si>
  <si>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</si>
  <si>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</si>
  <si>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</si>
  <si>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</si>
  <si>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</si>
  <si>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</si>
  <si>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</si>
  <si>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</si>
  <si>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</si>
  <si>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</si>
  <si>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</si>
  <si>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</si>
  <si>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</si>
  <si>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</si>
  <si>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</si>
  <si>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</si>
  <si>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</si>
  <si>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</si>
  <si>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</si>
  <si>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</si>
  <si>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</si>
  <si>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</si>
  <si>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</si>
  <si>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</si>
  <si>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</si>
  <si>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</si>
  <si>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</si>
  <si>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</si>
  <si>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</si>
  <si>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</si>
  <si>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</si>
  <si>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</si>
  <si>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</si>
  <si>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</si>
  <si>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</si>
  <si>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</si>
  <si>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</si>
  <si>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</si>
  <si>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</si>
  <si>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</si>
  <si>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</si>
  <si>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</si>
  <si>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</si>
  <si>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</si>
  <si>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</si>
  <si>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</si>
  <si>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</si>
  <si>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</si>
  <si>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</si>
  <si>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</si>
  <si>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</si>
  <si>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</si>
  <si>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</si>
  <si>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</si>
  <si>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</si>
  <si>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</si>
  <si>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</si>
  <si>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</si>
  <si>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</si>
  <si>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</si>
  <si>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</si>
  <si>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</si>
  <si>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</si>
  <si>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</si>
  <si>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</si>
  <si>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</si>
  <si>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</si>
  <si>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</si>
  <si>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</si>
  <si>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</si>
  <si>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</si>
  <si>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</si>
  <si>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</si>
  <si>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</si>
  <si>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</si>
  <si>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</si>
  <si>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</si>
  <si>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</si>
  <si>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</si>
  <si>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</si>
  <si>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</si>
  <si>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</si>
  <si>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</si>
  <si>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</si>
  <si>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</si>
  <si>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</si>
  <si>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</si>
  <si>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</si>
  <si>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</si>
  <si>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</si>
  <si>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</si>
  <si>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</si>
  <si>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</si>
  <si>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</si>
  <si>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</si>
  <si>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</si>
  <si>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</si>
  <si>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</si>
  <si>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</si>
  <si>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</si>
  <si>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</si>
  <si>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</si>
  <si>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</si>
  <si>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</si>
  <si>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</si>
  <si>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</si>
  <si>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</si>
  <si>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</si>
  <si>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</si>
  <si>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</si>
  <si>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</si>
  <si>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</si>
  <si>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</si>
  <si>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</si>
  <si>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</si>
  <si>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</si>
  <si>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</si>
  <si>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</si>
  <si>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</si>
  <si>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</si>
  <si>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</si>
  <si>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</si>
  <si>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</si>
  <si>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</si>
  <si>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</si>
  <si>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</si>
  <si>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</si>
  <si>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</si>
  <si>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</si>
  <si>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</si>
  <si>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</si>
  <si>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</si>
  <si>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</si>
  <si>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</si>
  <si>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</si>
  <si>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</si>
  <si>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</si>
  <si>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</si>
  <si>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</si>
  <si>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</si>
  <si>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</si>
  <si>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</si>
  <si>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</si>
  <si>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</si>
  <si>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</si>
  <si>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</si>
  <si>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</si>
  <si>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</si>
  <si>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</si>
  <si>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</si>
  <si>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</si>
  <si>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</si>
  <si>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</si>
  <si>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</si>
  <si>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</si>
  <si>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</si>
  <si>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</si>
  <si>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</si>
  <si>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</si>
  <si>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</si>
  <si>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</si>
  <si>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</si>
  <si>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</si>
  <si>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</si>
  <si>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</si>
  <si>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</si>
  <si>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</si>
  <si>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</si>
  <si>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</si>
  <si>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</si>
  <si>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</si>
  <si>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</si>
  <si>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</si>
  <si>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</si>
  <si>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</si>
  <si>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</si>
  <si>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</si>
  <si>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</si>
  <si>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</si>
  <si>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</si>
  <si>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</si>
  <si>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</si>
  <si>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</si>
  <si>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</si>
  <si>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</si>
  <si>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</si>
  <si>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</si>
  <si>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</si>
  <si>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</si>
  <si>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</si>
  <si>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</si>
  <si>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</si>
  <si>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</si>
  <si>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</si>
  <si>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</si>
  <si>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</si>
  <si>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</si>
  <si>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</si>
  <si>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</si>
  <si>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</si>
  <si>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</si>
  <si>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</si>
  <si>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</si>
  <si>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</si>
  <si>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</si>
  <si>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</si>
  <si>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</si>
  <si>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</si>
  <si>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</si>
  <si>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</si>
  <si>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</si>
  <si>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</si>
  <si>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</si>
  <si>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</si>
  <si>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</si>
  <si>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</si>
  <si>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</si>
  <si>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</si>
  <si>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</si>
  <si>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</si>
  <si>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</si>
  <si>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</si>
  <si>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</si>
  <si>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</si>
  <si>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</si>
  <si>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</si>
  <si>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</si>
  <si>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</si>
  <si>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</si>
  <si>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</si>
  <si>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</si>
  <si>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</si>
  <si>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</si>
  <si>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</si>
  <si>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</si>
  <si>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</si>
  <si>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</si>
  <si>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</si>
  <si>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</si>
  <si>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</si>
  <si>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</si>
  <si>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</si>
  <si>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</si>
  <si>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</si>
  <si>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</si>
  <si>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</si>
  <si>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</si>
  <si>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</si>
  <si>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</si>
  <si>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</si>
  <si>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</si>
  <si>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</si>
  <si>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</si>
  <si>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</si>
  <si>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</si>
  <si>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</si>
  <si>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</si>
  <si>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</si>
  <si>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</si>
  <si>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</si>
  <si>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</si>
  <si>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</si>
  <si>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</si>
  <si>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</si>
  <si>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</si>
  <si>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</si>
  <si>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</si>
  <si>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</si>
  <si>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</si>
  <si>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</si>
  <si>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</si>
  <si>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</si>
  <si>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</si>
  <si>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</si>
  <si>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</si>
  <si>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</si>
  <si>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</si>
  <si>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</si>
  <si>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</si>
  <si>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</si>
  <si>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</si>
  <si>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</si>
  <si>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</si>
  <si>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</si>
  <si>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</si>
  <si>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</si>
  <si>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</si>
  <si>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</si>
  <si>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</si>
  <si>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</si>
  <si>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</si>
  <si>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</si>
  <si>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</si>
  <si>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</si>
  <si>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</si>
  <si>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</si>
  <si>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</si>
  <si>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</si>
  <si>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</si>
  <si>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</si>
  <si>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</si>
  <si>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</si>
  <si>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</si>
  <si>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</si>
  <si>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</si>
  <si>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</si>
  <si>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</si>
  <si>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</si>
  <si>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</si>
  <si>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</si>
  <si>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</si>
  <si>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</si>
  <si>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</si>
  <si>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</si>
  <si>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</si>
  <si>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</si>
  <si>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</si>
  <si>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</si>
  <si>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</si>
  <si>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</si>
  <si>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</si>
  <si>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</si>
  <si>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</si>
  <si>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</si>
  <si>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</si>
  <si>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</si>
  <si>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</si>
  <si>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</si>
  <si>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</si>
  <si>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</si>
  <si>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</si>
  <si>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</si>
  <si>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</si>
  <si>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</si>
  <si>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</si>
  <si>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</si>
  <si>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</si>
  <si>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</si>
  <si>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</si>
  <si>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</si>
  <si>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</si>
  <si>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</si>
  <si>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</si>
  <si>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</si>
  <si>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</si>
  <si>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</si>
  <si>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</si>
  <si>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</si>
  <si>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</si>
  <si>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</si>
  <si>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</si>
  <si>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</si>
  <si>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</si>
  <si>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</si>
  <si>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</si>
  <si>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</si>
  <si>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</si>
  <si>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</si>
  <si>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</si>
  <si>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</si>
  <si>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</si>
  <si>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</si>
  <si>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</si>
  <si>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</si>
  <si>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</si>
  <si>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</si>
  <si>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</si>
  <si>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</si>
  <si>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</si>
  <si>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</si>
  <si>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</si>
  <si>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</si>
  <si>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</si>
  <si>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</si>
  <si>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71034</t>
  </si>
  <si>
    <t>LEOPOLDSBURG</t>
  </si>
  <si>
    <t>Mestbank (maart 2019)</t>
  </si>
  <si>
    <t>Fluvius (februari 2019)</t>
  </si>
  <si>
    <t>referentietaak LNE (2017); Jaarverslag De Lijn (2018)</t>
  </si>
  <si>
    <t>VEA (30 april 2019)</t>
  </si>
  <si>
    <t>VEA (mei 2018)</t>
  </si>
  <si>
    <t>VEA (mei 2019)</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</si>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</sst>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108651.7240861242</c:v>
                </c:pt>
                <c:pt idx="1">
                  <c:v>56501.977895150056</c:v>
                </c:pt>
                <c:pt idx="2">
                  <c:v>849.16</c:v>
                </c:pt>
                <c:pt idx="3">
                  <c:v>615.94177149667416</c:v>
                </c:pt>
                <c:pt idx="4">
                  <c:v>3931.9927539832661</c:v>
                </c:pt>
                <c:pt idx="5">
                  <c:v>66986.322968627326</c:v>
                </c:pt>
                <c:pt idx="6">
                  <c:v>1181.0687858925303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108651.7240861242</c:v>
                </c:pt>
                <c:pt idx="1">
                  <c:v>56501.977895150056</c:v>
                </c:pt>
                <c:pt idx="2">
                  <c:v>849.16</c:v>
                </c:pt>
                <c:pt idx="3">
                  <c:v>615.94177149667416</c:v>
                </c:pt>
                <c:pt idx="4">
                  <c:v>3931.9927539832661</c:v>
                </c:pt>
                <c:pt idx="5">
                  <c:v>66986.322968627326</c:v>
                </c:pt>
                <c:pt idx="6">
                  <c:v>1181.0687858925303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21694.500322313426</c:v>
                </c:pt>
                <c:pt idx="1">
                  <c:v>11618.480460729896</c:v>
                </c:pt>
                <c:pt idx="2">
                  <c:v>177.47144062897405</c:v>
                </c:pt>
                <c:pt idx="3">
                  <c:v>157.21866841156228</c:v>
                </c:pt>
                <c:pt idx="4">
                  <c:v>842.96479166643985</c:v>
                </c:pt>
                <c:pt idx="5">
                  <c:v>16614.838736386795</c:v>
                </c:pt>
                <c:pt idx="6">
                  <c:v>298.74129178214582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38016"/>
      </c:barChart>
      <c:catAx>
        <c:axId val="76832128"/>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21694.500322313426</c:v>
                </c:pt>
                <c:pt idx="1">
                  <c:v>11618.480460729896</c:v>
                </c:pt>
                <c:pt idx="2">
                  <c:v>177.47144062897405</c:v>
                </c:pt>
                <c:pt idx="3">
                  <c:v>157.21866841156228</c:v>
                </c:pt>
                <c:pt idx="4">
                  <c:v>842.96479166643985</c:v>
                </c:pt>
                <c:pt idx="5">
                  <c:v>16614.838736386795</c:v>
                </c:pt>
                <c:pt idx="6">
                  <c:v>298.74129178214582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71034</v>
      </c>
      <c r="B6" s="415"/>
      <c r="C6" s="416"/>
    </row>
    <row r="7" spans="1:7" s="413" customFormat="1" ht="15.75" customHeight="1">
      <c r="A7" s="417" t="str">
        <f>txtMunicipality</f>
        <v>LEOPOLDSBURG</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0.20899646783759723</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0.20899646783759723</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6591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384.2</v>
      </c>
    </row>
    <row r="15" spans="1:6">
      <c r="A15" s="348" t="s">
        <v>183</v>
      </c>
      <c r="B15" s="334">
        <v>1</v>
      </c>
    </row>
    <row r="16" spans="1:6">
      <c r="A16" s="348" t="s">
        <v>6</v>
      </c>
      <c r="B16" s="334">
        <v>42</v>
      </c>
    </row>
    <row r="17" spans="1:6">
      <c r="A17" s="348" t="s">
        <v>7</v>
      </c>
      <c r="B17" s="334">
        <v>16</v>
      </c>
    </row>
    <row r="18" spans="1:6">
      <c r="A18" s="348" t="s">
        <v>8</v>
      </c>
      <c r="B18" s="334">
        <v>33</v>
      </c>
    </row>
    <row r="19" spans="1:6">
      <c r="A19" s="348" t="s">
        <v>9</v>
      </c>
      <c r="B19" s="334">
        <v>28</v>
      </c>
    </row>
    <row r="20" spans="1:6">
      <c r="A20" s="348" t="s">
        <v>10</v>
      </c>
      <c r="B20" s="334">
        <v>28</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14</v>
      </c>
    </row>
    <row r="27" spans="1:6">
      <c r="A27" s="348" t="s">
        <v>17</v>
      </c>
      <c r="B27" s="334">
        <v>8</v>
      </c>
    </row>
    <row r="28" spans="1:6" s="356" customFormat="1">
      <c r="A28" s="355" t="s">
        <v>18</v>
      </c>
      <c r="B28" s="355">
        <v>0</v>
      </c>
    </row>
    <row r="29" spans="1:6">
      <c r="A29" s="355" t="s">
        <v>713</v>
      </c>
      <c r="B29" s="355">
        <v>53</v>
      </c>
      <c r="C29" s="356"/>
      <c r="D29" s="356"/>
      <c r="E29" s="356"/>
      <c r="F29" s="356"/>
    </row>
    <row r="30" spans="1:6">
      <c r="A30" s="341" t="s">
        <v>714</v>
      </c>
      <c r="B30" s="341">
        <v>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8</v>
      </c>
      <c r="F36" s="334">
        <v>19917</v>
      </c>
    </row>
    <row r="37" spans="1:6">
      <c r="A37" s="348" t="s">
        <v>24</v>
      </c>
      <c r="B37" s="348" t="s">
        <v>27</v>
      </c>
      <c r="C37" s="334">
        <v>0</v>
      </c>
      <c r="D37" s="334">
        <v>0</v>
      </c>
      <c r="E37" s="334">
        <v>0</v>
      </c>
      <c r="F37" s="334">
        <v>0</v>
      </c>
    </row>
    <row r="38" spans="1:6">
      <c r="A38" s="348" t="s">
        <v>24</v>
      </c>
      <c r="B38" s="348" t="s">
        <v>28</v>
      </c>
      <c r="C38" s="334">
        <v>1</v>
      </c>
      <c r="D38" s="334">
        <v>104569</v>
      </c>
      <c r="E38" s="334">
        <v>0</v>
      </c>
      <c r="F38" s="334">
        <v>0</v>
      </c>
    </row>
    <row r="39" spans="1:6">
      <c r="A39" s="348" t="s">
        <v>29</v>
      </c>
      <c r="B39" s="348" t="s">
        <v>30</v>
      </c>
      <c r="C39" s="334">
        <v>3807</v>
      </c>
      <c r="D39" s="334">
        <v>54706925</v>
      </c>
      <c r="E39" s="334">
        <v>6579</v>
      </c>
      <c r="F39" s="334">
        <v>22734842.649999999</v>
      </c>
    </row>
    <row r="40" spans="1:6">
      <c r="A40" s="348" t="s">
        <v>29</v>
      </c>
      <c r="B40" s="348" t="s">
        <v>28</v>
      </c>
      <c r="C40" s="334">
        <v>0</v>
      </c>
      <c r="D40" s="334">
        <v>0</v>
      </c>
      <c r="E40" s="334">
        <v>0</v>
      </c>
      <c r="F40" s="334">
        <v>0</v>
      </c>
    </row>
    <row r="41" spans="1:6">
      <c r="A41" s="348" t="s">
        <v>31</v>
      </c>
      <c r="B41" s="348" t="s">
        <v>32</v>
      </c>
      <c r="C41" s="334">
        <v>46</v>
      </c>
      <c r="D41" s="334">
        <v>1006155.6</v>
      </c>
      <c r="E41" s="334">
        <v>93</v>
      </c>
      <c r="F41" s="334">
        <v>800738.8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82508</v>
      </c>
      <c r="E44" s="334">
        <v>12</v>
      </c>
      <c r="F44" s="334">
        <v>88346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51796</v>
      </c>
      <c r="E47" s="334">
        <v>3</v>
      </c>
      <c r="F47" s="334">
        <v>29787</v>
      </c>
    </row>
    <row r="48" spans="1:6">
      <c r="A48" s="348" t="s">
        <v>31</v>
      </c>
      <c r="B48" s="348" t="s">
        <v>28</v>
      </c>
      <c r="C48" s="334">
        <v>1</v>
      </c>
      <c r="D48" s="334">
        <v>35237</v>
      </c>
      <c r="E48" s="334">
        <v>2</v>
      </c>
      <c r="F48" s="334">
        <v>366747</v>
      </c>
    </row>
    <row r="49" spans="1:6">
      <c r="A49" s="348" t="s">
        <v>31</v>
      </c>
      <c r="B49" s="348" t="s">
        <v>39</v>
      </c>
      <c r="C49" s="334">
        <v>0</v>
      </c>
      <c r="D49" s="334">
        <v>0</v>
      </c>
      <c r="E49" s="334">
        <v>3</v>
      </c>
      <c r="F49" s="334">
        <v>22221</v>
      </c>
    </row>
    <row r="50" spans="1:6">
      <c r="A50" s="348" t="s">
        <v>31</v>
      </c>
      <c r="B50" s="348" t="s">
        <v>40</v>
      </c>
      <c r="C50" s="334">
        <v>6</v>
      </c>
      <c r="D50" s="334">
        <v>137198</v>
      </c>
      <c r="E50" s="334">
        <v>13</v>
      </c>
      <c r="F50" s="334">
        <v>342179</v>
      </c>
    </row>
    <row r="51" spans="1:6">
      <c r="A51" s="348" t="s">
        <v>41</v>
      </c>
      <c r="B51" s="348" t="s">
        <v>42</v>
      </c>
      <c r="C51" s="334">
        <v>0</v>
      </c>
      <c r="D51" s="334">
        <v>0</v>
      </c>
      <c r="E51" s="334">
        <v>17</v>
      </c>
      <c r="F51" s="334">
        <v>117401</v>
      </c>
    </row>
    <row r="52" spans="1:6">
      <c r="A52" s="348" t="s">
        <v>41</v>
      </c>
      <c r="B52" s="348" t="s">
        <v>28</v>
      </c>
      <c r="C52" s="334">
        <v>2</v>
      </c>
      <c r="D52" s="334">
        <v>52798</v>
      </c>
      <c r="E52" s="334">
        <v>0</v>
      </c>
      <c r="F52" s="334">
        <v>0</v>
      </c>
    </row>
    <row r="53" spans="1:6">
      <c r="A53" s="348" t="s">
        <v>43</v>
      </c>
      <c r="B53" s="348" t="s">
        <v>44</v>
      </c>
      <c r="C53" s="334">
        <v>52</v>
      </c>
      <c r="D53" s="334">
        <v>4665471.09</v>
      </c>
      <c r="E53" s="334">
        <v>146</v>
      </c>
      <c r="F53" s="334">
        <v>890333.9</v>
      </c>
    </row>
    <row r="54" spans="1:6">
      <c r="A54" s="348" t="s">
        <v>45</v>
      </c>
      <c r="B54" s="348" t="s">
        <v>46</v>
      </c>
      <c r="C54" s="334">
        <v>0</v>
      </c>
      <c r="D54" s="334">
        <v>0</v>
      </c>
      <c r="E54" s="334">
        <v>3</v>
      </c>
      <c r="F54" s="334">
        <v>849160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39</v>
      </c>
      <c r="D57" s="334">
        <v>1563053.45</v>
      </c>
      <c r="E57" s="334">
        <v>78</v>
      </c>
      <c r="F57" s="334">
        <v>896669.44400000002</v>
      </c>
    </row>
    <row r="58" spans="1:6">
      <c r="A58" s="348" t="s">
        <v>48</v>
      </c>
      <c r="B58" s="348" t="s">
        <v>50</v>
      </c>
      <c r="C58" s="334">
        <v>11</v>
      </c>
      <c r="D58" s="334">
        <v>1100666</v>
      </c>
      <c r="E58" s="334">
        <v>23</v>
      </c>
      <c r="F58" s="334">
        <v>648420</v>
      </c>
    </row>
    <row r="59" spans="1:6">
      <c r="A59" s="348" t="s">
        <v>48</v>
      </c>
      <c r="B59" s="348" t="s">
        <v>51</v>
      </c>
      <c r="C59" s="334">
        <v>86</v>
      </c>
      <c r="D59" s="334">
        <v>2794721.6</v>
      </c>
      <c r="E59" s="334">
        <v>201</v>
      </c>
      <c r="F59" s="334">
        <v>5329248.3250000002</v>
      </c>
    </row>
    <row r="60" spans="1:6">
      <c r="A60" s="348" t="s">
        <v>48</v>
      </c>
      <c r="B60" s="348" t="s">
        <v>52</v>
      </c>
      <c r="C60" s="334">
        <v>69</v>
      </c>
      <c r="D60" s="334">
        <v>3157648.45</v>
      </c>
      <c r="E60" s="334">
        <v>111</v>
      </c>
      <c r="F60" s="334">
        <v>1915373.878</v>
      </c>
    </row>
    <row r="61" spans="1:6">
      <c r="A61" s="348" t="s">
        <v>48</v>
      </c>
      <c r="B61" s="348" t="s">
        <v>53</v>
      </c>
      <c r="C61" s="334">
        <v>96</v>
      </c>
      <c r="D61" s="334">
        <v>30681171.489</v>
      </c>
      <c r="E61" s="334">
        <v>228</v>
      </c>
      <c r="F61" s="334">
        <v>9311763.7929999996</v>
      </c>
    </row>
    <row r="62" spans="1:6">
      <c r="A62" s="348" t="s">
        <v>48</v>
      </c>
      <c r="B62" s="348" t="s">
        <v>54</v>
      </c>
      <c r="C62" s="334">
        <v>5</v>
      </c>
      <c r="D62" s="334">
        <v>146752</v>
      </c>
      <c r="E62" s="334">
        <v>13</v>
      </c>
      <c r="F62" s="334">
        <v>319876.935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6583</v>
      </c>
      <c r="E65" s="334">
        <v>1</v>
      </c>
      <c r="F65" s="334">
        <v>904</v>
      </c>
    </row>
    <row r="66" spans="1:6">
      <c r="A66" s="348" t="s">
        <v>55</v>
      </c>
      <c r="B66" s="348" t="s">
        <v>57</v>
      </c>
      <c r="C66" s="334">
        <v>0</v>
      </c>
      <c r="D66" s="334">
        <v>0</v>
      </c>
      <c r="E66" s="334">
        <v>16</v>
      </c>
      <c r="F66" s="334">
        <v>165095.71400000001</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59530357</v>
      </c>
      <c r="E73" s="476"/>
    </row>
    <row r="74" spans="1:6">
      <c r="A74" s="348" t="s">
        <v>63</v>
      </c>
      <c r="B74" s="348" t="s">
        <v>651</v>
      </c>
      <c r="C74" s="1307" t="s">
        <v>653</v>
      </c>
      <c r="D74" s="476">
        <v>3816674</v>
      </c>
      <c r="E74" s="476"/>
    </row>
    <row r="75" spans="1:6">
      <c r="A75" s="348" t="s">
        <v>64</v>
      </c>
      <c r="B75" s="348" t="s">
        <v>650</v>
      </c>
      <c r="C75" s="1307" t="s">
        <v>654</v>
      </c>
      <c r="D75" s="476">
        <v>22718099</v>
      </c>
      <c r="E75" s="476"/>
    </row>
    <row r="76" spans="1:6">
      <c r="A76" s="348" t="s">
        <v>64</v>
      </c>
      <c r="B76" s="348" t="s">
        <v>651</v>
      </c>
      <c r="C76" s="1307" t="s">
        <v>655</v>
      </c>
      <c r="D76" s="476">
        <v>219261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328116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3998.1806685183201</v>
      </c>
    </row>
    <row r="92" spans="1:6">
      <c r="A92" s="341" t="s">
        <v>68</v>
      </c>
      <c r="B92" s="342">
        <v>141.7796378654204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1130</v>
      </c>
    </row>
    <row r="98" spans="1:6">
      <c r="A98" s="348" t="s">
        <v>71</v>
      </c>
      <c r="B98" s="334">
        <v>3</v>
      </c>
    </row>
    <row r="99" spans="1:6">
      <c r="A99" s="348" t="s">
        <v>72</v>
      </c>
      <c r="B99" s="334">
        <v>45</v>
      </c>
    </row>
    <row r="100" spans="1:6">
      <c r="A100" s="348" t="s">
        <v>73</v>
      </c>
      <c r="B100" s="334">
        <v>630</v>
      </c>
    </row>
    <row r="101" spans="1:6">
      <c r="A101" s="348" t="s">
        <v>74</v>
      </c>
      <c r="B101" s="334">
        <v>47</v>
      </c>
    </row>
    <row r="102" spans="1:6">
      <c r="A102" s="348" t="s">
        <v>75</v>
      </c>
      <c r="B102" s="334">
        <v>102</v>
      </c>
    </row>
    <row r="103" spans="1:6">
      <c r="A103" s="348" t="s">
        <v>76</v>
      </c>
      <c r="B103" s="334">
        <v>123</v>
      </c>
    </row>
    <row r="104" spans="1:6">
      <c r="A104" s="348" t="s">
        <v>77</v>
      </c>
      <c r="B104" s="334">
        <v>3335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18</v>
      </c>
      <c r="C123" s="334">
        <v>33</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165</v>
      </c>
    </row>
    <row r="130" spans="1:6">
      <c r="A130" s="348" t="s">
        <v>294</v>
      </c>
      <c r="B130" s="334">
        <v>0</v>
      </c>
    </row>
    <row r="131" spans="1:6">
      <c r="A131" s="348" t="s">
        <v>295</v>
      </c>
      <c r="B131" s="334">
        <v>2</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50028.954874484982</v>
      </c>
      <c r="C3" s="43" t="s">
        <v>169</v>
      </c>
      <c r="D3" s="43"/>
      <c r="E3" s="154"/>
      <c r="F3" s="43"/>
      <c r="G3" s="43"/>
      <c r="H3" s="43"/>
      <c r="I3" s="43"/>
      <c r="J3" s="43"/>
      <c r="K3" s="96"/>
    </row>
    <row r="4" spans="1:11">
      <c r="A4" s="383" t="s">
        <v>170</v>
      </c>
      <c r="B4" s="49">
        <f>IF(ISERROR('SEAP template'!B78),0,'SEAP template'!B78)</f>
        <v>4139.9603063837403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314.40705882352944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0.20899646783759723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449.15294117647068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1890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849.16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849.16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0.20899646783759723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177.47144062897405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22734.842649999999</v>
      </c>
      <c r="C5" s="17">
        <f>IF(ISERROR('Eigen informatie GS &amp; warmtenet'!B59),0,'Eigen informatie GS &amp; warmtenet'!B59)</f>
        <v>0</v>
      </c>
      <c r="D5" s="30">
        <f>(SUM(HH_hh_gas_kWh,HH_rest_gas_kWh)/1000)*0.902</f>
        <v>49345.646350000003</v>
      </c>
      <c r="E5" s="17">
        <f>B46*B57</f>
        <v>4407.8317878557491</v>
      </c>
      <c r="F5" s="17">
        <f>B51*B62</f>
        <v>19247.170395429657</v>
      </c>
      <c r="G5" s="18"/>
      <c r="H5" s="17"/>
      <c r="I5" s="17"/>
      <c r="J5" s="17">
        <f>B50*B61+C50*C61</f>
        <v>0</v>
      </c>
      <c r="K5" s="17"/>
      <c r="L5" s="17"/>
      <c r="M5" s="17"/>
      <c r="N5" s="17">
        <f>B48*B59+C48*C59</f>
        <v>7966.9286635745384</v>
      </c>
      <c r="O5" s="17">
        <f>B69*B70*B71</f>
        <v>392.82372743863232</v>
      </c>
      <c r="P5" s="17">
        <f>B77*B78*B79/1000-B77*B78*B79/1000/B80</f>
        <v>558.29984330730622</v>
      </c>
    </row>
    <row r="6" spans="1:16">
      <c r="A6" s="16" t="s">
        <v>615</v>
      </c>
      <c r="B6" s="809">
        <f>kWh_PV_kleiner_dan_10kW</f>
        <v>3998.1806685183201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26733.023318518317</v>
      </c>
      <c r="C8" s="21">
        <f>C5</f>
        <v>0</v>
      </c>
      <c r="D8" s="21">
        <f>D5</f>
        <v>49345.646350000003</v>
      </c>
      <c r="E8" s="21">
        <f>E5</f>
        <v>4407.8317878557491</v>
      </c>
      <c r="F8" s="21">
        <f>F5</f>
        <v>19247.170395429657</v>
      </c>
      <c r="G8" s="21"/>
      <c r="H8" s="21"/>
      <c r="I8" s="21"/>
      <c r="J8" s="21">
        <f>J5</f>
        <v>0</v>
      </c>
      <c r="K8" s="21"/>
      <c r="L8" s="21">
        <f>L5</f>
        <v>0</v>
      </c>
      <c r="M8" s="21">
        <f>M5</f>
        <v>0</v>
      </c>
      <c r="N8" s="21">
        <f>N5</f>
        <v>7966.9286635745384</v>
      </c>
      <c r="O8" s="21">
        <f>O5</f>
        <v>392.82372743863232</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0.20899646783759723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5587.1074481904507</v>
      </c>
      <c r="C12" s="23">
        <f ca="1">C10*C8</f>
        <v>0</v>
      </c>
      <c r="D12" s="23">
        <f>D8*D10</f>
        <v>9967.8205627000007</v>
      </c>
      <c r="E12" s="23">
        <f>E10*E8</f>
        <v>1000.5778158432551</v>
      </c>
      <c r="F12" s="23">
        <f>F10*F8</f>
        <v>5138.9944955797191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1130</v>
      </c>
      <c r="C18" s="166" t="s">
        <v>110</v>
      </c>
      <c r="D18" s="228"/>
      <c r="E18" s="15"/>
    </row>
    <row r="19" spans="1:7">
      <c r="A19" s="171" t="s">
        <v>71</v>
      </c>
      <c r="B19" s="37">
        <f>aantalw2001_ander</f>
        <v>3</v>
      </c>
      <c r="C19" s="166" t="s">
        <v>110</v>
      </c>
      <c r="D19" s="229"/>
      <c r="E19" s="15"/>
    </row>
    <row r="20" spans="1:7">
      <c r="A20" s="171" t="s">
        <v>72</v>
      </c>
      <c r="B20" s="37">
        <f>aantalw2001_propaan</f>
        <v>45</v>
      </c>
      <c r="C20" s="167">
        <f>IF(ISERROR(B20/SUM($B$20,$B$21,$B$22)*100),0,B20/SUM($B$20,$B$21,$B$22)*100)</f>
        <v>6.2326869806094187</v>
      </c>
      <c r="D20" s="229"/>
      <c r="E20" s="15"/>
    </row>
    <row r="21" spans="1:7">
      <c r="A21" s="171" t="s">
        <v>73</v>
      </c>
      <c r="B21" s="37">
        <f>aantalw2001_elektriciteit</f>
        <v>630</v>
      </c>
      <c r="C21" s="167">
        <f>IF(ISERROR(B21/SUM($B$20,$B$21,$B$22)*100),0,B21/SUM($B$20,$B$21,$B$22)*100)</f>
        <v>87.257617728531855</v>
      </c>
      <c r="D21" s="229"/>
      <c r="E21" s="15"/>
    </row>
    <row r="22" spans="1:7">
      <c r="A22" s="171" t="s">
        <v>74</v>
      </c>
      <c r="B22" s="37">
        <f>aantalw2001_hout</f>
        <v>47</v>
      </c>
      <c r="C22" s="167">
        <f>IF(ISERROR(B22/SUM($B$20,$B$21,$B$22)*100),0,B22/SUM($B$20,$B$21,$B$22)*100)</f>
        <v>6.5096952908587262</v>
      </c>
      <c r="D22" s="229"/>
      <c r="E22" s="15"/>
    </row>
    <row r="23" spans="1:7">
      <c r="A23" s="171" t="s">
        <v>75</v>
      </c>
      <c r="B23" s="37">
        <f>aantalw2001_niet_gespec</f>
        <v>102</v>
      </c>
      <c r="C23" s="166" t="s">
        <v>110</v>
      </c>
      <c r="D23" s="228"/>
      <c r="E23" s="15"/>
    </row>
    <row r="24" spans="1:7">
      <c r="A24" s="171" t="s">
        <v>76</v>
      </c>
      <c r="B24" s="37">
        <f>aantalw2001_steenkool</f>
        <v>123</v>
      </c>
      <c r="C24" s="166" t="s">
        <v>110</v>
      </c>
      <c r="D24" s="229"/>
      <c r="E24" s="15"/>
    </row>
    <row r="25" spans="1:7">
      <c r="A25" s="171" t="s">
        <v>77</v>
      </c>
      <c r="B25" s="37">
        <f>aantalw2001_stookolie</f>
        <v>3335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6591</v>
      </c>
      <c r="C28" s="36"/>
      <c r="D28" s="228"/>
    </row>
    <row r="29" spans="1:7" s="15" customFormat="1">
      <c r="A29" s="230" t="s">
        <v>838</v>
      </c>
      <c r="B29" s="37">
        <f>SUM(HH_hh_gas_aantal,HH_rest_gas_aantal)</f>
        <v>3807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3807</v>
      </c>
      <c r="C32" s="167">
        <f>IF(ISERROR(B32/SUM($B$32,$B$34,$B$35,$B$36,$B$38,$B$39)*100),0,B32/SUM($B$32,$B$34,$B$35,$B$36,$B$38,$B$39)*100)</f>
        <v>58.22881615172836</v>
      </c>
      <c r="D32" s="233"/>
      <c r="G32" s="15"/>
    </row>
    <row r="33" spans="1:7">
      <c r="A33" s="171" t="s">
        <v>71</v>
      </c>
      <c r="B33" s="34" t="s">
        <v>110</v>
      </c>
      <c r="C33" s="167"/>
      <c r="D33" s="233"/>
      <c r="G33" s="15"/>
    </row>
    <row r="34" spans="1:7">
      <c r="A34" s="171" t="s">
        <v>72</v>
      </c>
      <c r="B34" s="33">
        <f>IF((($B$28-$B$32-$B$39-$B$77-$B$38)*C20/100)&lt;0,0,($B$28-$B$32-$B$39-$B$77-$B$38)*C20/100)</f>
        <v>112.51869806094184</v>
      </c>
      <c r="C34" s="167">
        <f>IF(ISERROR(B34/SUM($B$32,$B$34,$B$35,$B$36,$B$38,$B$39)*100),0,B34/SUM($B$32,$B$34,$B$35,$B$36,$B$38,$B$39)*100)</f>
        <v>1.7209956876864767</v>
      </c>
      <c r="D34" s="233"/>
      <c r="G34" s="15"/>
    </row>
    <row r="35" spans="1:7">
      <c r="A35" s="171" t="s">
        <v>73</v>
      </c>
      <c r="B35" s="33">
        <f>IF((($B$28-$B$32-$B$39-$B$77-$B$38)*C21/100)&lt;0,0,($B$28-$B$32-$B$39-$B$77-$B$38)*C21/100)</f>
        <v>1575.2617728531859</v>
      </c>
      <c r="C35" s="167">
        <f>IF(ISERROR(B35/SUM($B$32,$B$34,$B$35,$B$36,$B$38,$B$39)*100),0,B35/SUM($B$32,$B$34,$B$35,$B$36,$B$38,$B$39)*100)</f>
        <v>24.093939627610673</v>
      </c>
      <c r="D35" s="233"/>
      <c r="G35" s="15"/>
    </row>
    <row r="36" spans="1:7">
      <c r="A36" s="171" t="s">
        <v>74</v>
      </c>
      <c r="B36" s="33">
        <f>IF((($B$28-$B$32-$B$39-$B$77-$B$38)*C22/100)&lt;0,0,($B$28-$B$32-$B$39-$B$77-$B$38)*C22/100)</f>
        <v>117.51952908587261</v>
      </c>
      <c r="C36" s="167">
        <f>IF(ISERROR(B36/SUM($B$32,$B$34,$B$35,$B$36,$B$38,$B$39)*100),0,B36/SUM($B$32,$B$34,$B$35,$B$36,$B$38,$B$39)*100)</f>
        <v>1.797484384916987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925.69999999999982</v>
      </c>
      <c r="C39" s="167">
        <f>IF(ISERROR(B39/SUM($B$32,$B$34,$B$35,$B$36,$B$38,$B$39)*100),0,B39/SUM($B$32,$B$34,$B$35,$B$36,$B$38,$B$39)*100)</f>
        <v>14.158764148057507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3807</v>
      </c>
      <c r="C44" s="34" t="s">
        <v>110</v>
      </c>
      <c r="D44" s="174"/>
    </row>
    <row r="45" spans="1:7">
      <c r="A45" s="171" t="s">
        <v>71</v>
      </c>
      <c r="B45" s="33" t="str">
        <f t="shared" si="0"/>
        <v>-</v>
      </c>
      <c r="C45" s="34" t="s">
        <v>110</v>
      </c>
      <c r="D45" s="174"/>
    </row>
    <row r="46" spans="1:7">
      <c r="A46" s="171" t="s">
        <v>72</v>
      </c>
      <c r="B46" s="33">
        <f t="shared" si="0"/>
        <v>112.51869806094184</v>
      </c>
      <c r="C46" s="34" t="s">
        <v>110</v>
      </c>
      <c r="D46" s="174"/>
    </row>
    <row r="47" spans="1:7">
      <c r="A47" s="171" t="s">
        <v>73</v>
      </c>
      <c r="B47" s="33">
        <f t="shared" si="0"/>
        <v>1575.2617728531859</v>
      </c>
      <c r="C47" s="34" t="s">
        <v>110</v>
      </c>
      <c r="D47" s="174"/>
    </row>
    <row r="48" spans="1:7">
      <c r="A48" s="171" t="s">
        <v>74</v>
      </c>
      <c r="B48" s="33">
        <f t="shared" si="0"/>
        <v>117.51952908587261</v>
      </c>
      <c r="C48" s="33">
        <f>B48*10</f>
        <v>1175.1952908587261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925.69999999999982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18421.352374999999</v>
      </c>
      <c r="C5" s="17">
        <f>IF(ISERROR('Eigen informatie GS &amp; warmtenet'!B60),0,'Eigen informatie GS &amp; warmtenet'!B60)</f>
        <v>0</v>
      </c>
      <c r="D5" s="30">
        <f>SUM(D6:D12)</f>
        <v>35578.499716078004</v>
      </c>
      <c r="E5" s="17">
        <f>SUM(E6:E12)</f>
        <v>249.2725213453389</v>
      </c>
      <c r="F5" s="17">
        <f>SUM(F6:F12)</f>
        <v>2108.3910857245387</v>
      </c>
      <c r="G5" s="18"/>
      <c r="H5" s="17"/>
      <c r="I5" s="17"/>
      <c r="J5" s="17">
        <f>SUM(J6:J12)</f>
        <v>1.5221909461732892E-2</v>
      </c>
      <c r="K5" s="17"/>
      <c r="L5" s="17"/>
      <c r="M5" s="17"/>
      <c r="N5" s="17">
        <f>SUM(N6:N12)</f>
        <v>606.36869847972173</v>
      </c>
      <c r="O5" s="17">
        <f>B38*B39*B40</f>
        <v>0</v>
      </c>
      <c r="P5" s="17">
        <f>B46*B47*B48/1000-B46*B47*B48/1000/B49</f>
        <v>105.07827661299004</v>
      </c>
      <c r="R5" s="32"/>
    </row>
    <row r="6" spans="1:18">
      <c r="A6" s="32" t="s">
        <v>53</v>
      </c>
      <c r="B6" s="37">
        <f>B26</f>
        <v>9311.7637930000001</v>
      </c>
      <c r="C6" s="33"/>
      <c r="D6" s="37">
        <f>IF(ISERROR(TER_kantoor_gas_kWh/1000),0,TER_kantoor_gas_kWh/1000)*0.902</f>
        <v>27674.416683078001</v>
      </c>
      <c r="E6" s="33">
        <f>$C$26*'E Balans VL '!I12/100/3.6*1000000</f>
        <v>74.928777655587297</v>
      </c>
      <c r="F6" s="33">
        <f>$C$26*('E Balans VL '!L12+'E Balans VL '!N12)/100/3.6*1000000</f>
        <v>1138.4610803132068</v>
      </c>
      <c r="G6" s="34"/>
      <c r="H6" s="33"/>
      <c r="I6" s="33"/>
      <c r="J6" s="33">
        <f>$C$26*('E Balans VL '!D12+'E Balans VL '!E12)/100/3.6*1000000</f>
        <v>0</v>
      </c>
      <c r="K6" s="33"/>
      <c r="L6" s="33"/>
      <c r="M6" s="33"/>
      <c r="N6" s="33">
        <f>$C$26*'E Balans VL '!Y12/100/3.6*1000000</f>
        <v>5.0046144840021363</v>
      </c>
      <c r="O6" s="33"/>
      <c r="P6" s="33"/>
      <c r="R6" s="32"/>
    </row>
    <row r="7" spans="1:18">
      <c r="A7" s="32" t="s">
        <v>52</v>
      </c>
      <c r="B7" s="37">
        <f t="shared" ref="B7:B12" si="0">B27</f>
        <v>1915.3738780000001</v>
      </c>
      <c r="C7" s="33"/>
      <c r="D7" s="37">
        <f>IF(ISERROR(TER_horeca_gas_kWh/1000),0,TER_horeca_gas_kWh/1000)*0.902</f>
        <v>2848.1989019000002</v>
      </c>
      <c r="E7" s="33">
        <f>$C$27*'E Balans VL '!I9/100/3.6*1000000</f>
        <v>20.56641211375171</v>
      </c>
      <c r="F7" s="33">
        <f>$C$27*('E Balans VL '!L9+'E Balans VL '!N9)/100/3.6*1000000</f>
        <v>230.37303221081635</v>
      </c>
      <c r="G7" s="34"/>
      <c r="H7" s="33"/>
      <c r="I7" s="33"/>
      <c r="J7" s="33">
        <f>$C$27*('E Balans VL '!D9+'E Balans VL '!E9)/100/3.6*1000000</f>
        <v>0</v>
      </c>
      <c r="K7" s="33"/>
      <c r="L7" s="33"/>
      <c r="M7" s="33"/>
      <c r="N7" s="33">
        <f>$C$27*'E Balans VL '!Y9/100/3.6*1000000</f>
        <v>0.28715336443374784</v>
      </c>
      <c r="O7" s="33"/>
      <c r="P7" s="33"/>
      <c r="R7" s="32"/>
    </row>
    <row r="8" spans="1:18">
      <c r="A8" s="6" t="s">
        <v>51</v>
      </c>
      <c r="B8" s="37">
        <f t="shared" si="0"/>
        <v>5329.2483250000005</v>
      </c>
      <c r="C8" s="33"/>
      <c r="D8" s="37">
        <f>IF(ISERROR(TER_handel_gas_kWh/1000),0,TER_handel_gas_kWh/1000)*0.902</f>
        <v>2520.8388832000005</v>
      </c>
      <c r="E8" s="33">
        <f>$C$28*'E Balans VL '!I13/100/3.6*1000000</f>
        <v>143.02070970752473</v>
      </c>
      <c r="F8" s="33">
        <f>$C$28*('E Balans VL '!L13+'E Balans VL '!N13)/100/3.6*1000000</f>
        <v>508.57454187356535</v>
      </c>
      <c r="G8" s="34"/>
      <c r="H8" s="33"/>
      <c r="I8" s="33"/>
      <c r="J8" s="33">
        <f>$C$28*('E Balans VL '!D13+'E Balans VL '!E13)/100/3.6*1000000</f>
        <v>0</v>
      </c>
      <c r="K8" s="33"/>
      <c r="L8" s="33"/>
      <c r="M8" s="33"/>
      <c r="N8" s="33">
        <f>$C$28*'E Balans VL '!Y13/100/3.6*1000000</f>
        <v>2.1125746316377776</v>
      </c>
      <c r="O8" s="33"/>
      <c r="P8" s="33"/>
      <c r="R8" s="32"/>
    </row>
    <row r="9" spans="1:18">
      <c r="A9" s="32" t="s">
        <v>50</v>
      </c>
      <c r="B9" s="37">
        <f t="shared" si="0"/>
        <v>648.41999999999996</v>
      </c>
      <c r="C9" s="33"/>
      <c r="D9" s="37">
        <f>IF(ISERROR(TER_gezond_gas_kWh/1000),0,TER_gezond_gas_kWh/1000)*0.902</f>
        <v>992.80073199999993</v>
      </c>
      <c r="E9" s="33">
        <f>$C$29*'E Balans VL '!I10/100/3.6*1000000</f>
        <v>1.215350214720271</v>
      </c>
      <c r="F9" s="33">
        <f>$C$29*('E Balans VL '!L10+'E Balans VL '!N10)/100/3.6*1000000</f>
        <v>53.306040376623564</v>
      </c>
      <c r="G9" s="34"/>
      <c r="H9" s="33"/>
      <c r="I9" s="33"/>
      <c r="J9" s="33">
        <f>$C$29*('E Balans VL '!D10+'E Balans VL '!E10)/100/3.6*1000000</f>
        <v>0</v>
      </c>
      <c r="K9" s="33"/>
      <c r="L9" s="33"/>
      <c r="M9" s="33"/>
      <c r="N9" s="33">
        <f>$C$29*'E Balans VL '!Y10/100/3.6*1000000</f>
        <v>5.0451913908344306</v>
      </c>
      <c r="O9" s="33"/>
      <c r="P9" s="33"/>
      <c r="R9" s="32"/>
    </row>
    <row r="10" spans="1:18">
      <c r="A10" s="32" t="s">
        <v>49</v>
      </c>
      <c r="B10" s="37">
        <f t="shared" si="0"/>
        <v>896.669444</v>
      </c>
      <c r="C10" s="33"/>
      <c r="D10" s="37">
        <f>IF(ISERROR(TER_ander_gas_kWh/1000),0,TER_ander_gas_kWh/1000)*0.902</f>
        <v>1409.8742118999999</v>
      </c>
      <c r="E10" s="33">
        <f>$C$30*'E Balans VL '!I14/100/3.6*1000000</f>
        <v>1.3822250337370885</v>
      </c>
      <c r="F10" s="33">
        <f>$C$30*('E Balans VL '!L14+'E Balans VL '!N14)/100/3.6*1000000</f>
        <v>139.20817872020945</v>
      </c>
      <c r="G10" s="34"/>
      <c r="H10" s="33"/>
      <c r="I10" s="33"/>
      <c r="J10" s="33">
        <f>$C$30*('E Balans VL '!D14+'E Balans VL '!E14)/100/3.6*1000000</f>
        <v>1.5221909461732892E-2</v>
      </c>
      <c r="K10" s="33"/>
      <c r="L10" s="33"/>
      <c r="M10" s="33"/>
      <c r="N10" s="33">
        <f>$C$30*'E Balans VL '!Y14/100/3.6*1000000</f>
        <v>593.20776611043811</v>
      </c>
      <c r="O10" s="33"/>
      <c r="P10" s="33"/>
      <c r="R10" s="32"/>
    </row>
    <row r="11" spans="1:18">
      <c r="A11" s="32" t="s">
        <v>54</v>
      </c>
      <c r="B11" s="37">
        <f t="shared" si="0"/>
        <v>319.876935</v>
      </c>
      <c r="C11" s="33"/>
      <c r="D11" s="37">
        <f>IF(ISERROR(TER_onderwijs_gas_kWh/1000),0,TER_onderwijs_gas_kWh/1000)*0.902</f>
        <v>132.370304</v>
      </c>
      <c r="E11" s="33">
        <f>$C$31*'E Balans VL '!I11/100/3.6*1000000</f>
        <v>8.1590466200177776</v>
      </c>
      <c r="F11" s="33">
        <f>$C$31*('E Balans VL '!L11+'E Balans VL '!N11)/100/3.6*1000000</f>
        <v>38.468212230117359</v>
      </c>
      <c r="G11" s="34"/>
      <c r="H11" s="33"/>
      <c r="I11" s="33"/>
      <c r="J11" s="33">
        <f>$C$31*('E Balans VL '!D11+'E Balans VL '!E11)/100/3.6*1000000</f>
        <v>0</v>
      </c>
      <c r="K11" s="33"/>
      <c r="L11" s="33"/>
      <c r="M11" s="33"/>
      <c r="N11" s="33">
        <f>$C$31*'E Balans VL '!Y11/100/3.6*1000000</f>
        <v>0.71139849837553226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1323</v>
      </c>
      <c r="C13" s="247">
        <f ca="1">'lokale energieproductie'!O91+'lokale energieproductie'!O60</f>
        <v>1890</v>
      </c>
      <c r="D13" s="310">
        <f ca="1">('lokale energieproductie'!P60+'lokale energieproductie'!P91)*(-1)</f>
        <v>-3780.0000000000005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19744.352374999999</v>
      </c>
      <c r="C16" s="21">
        <f t="shared" ca="1" si="1"/>
        <v>1890</v>
      </c>
      <c r="D16" s="21">
        <f t="shared" ca="1" si="1"/>
        <v>31798.499716078004</v>
      </c>
      <c r="E16" s="21">
        <f t="shared" si="1"/>
        <v>249.2725213453389</v>
      </c>
      <c r="F16" s="21">
        <f t="shared" ca="1" si="1"/>
        <v>2108.3910857245387</v>
      </c>
      <c r="G16" s="21">
        <f t="shared" si="1"/>
        <v>0</v>
      </c>
      <c r="H16" s="21">
        <f t="shared" si="1"/>
        <v>0</v>
      </c>
      <c r="I16" s="21">
        <f t="shared" si="1"/>
        <v>0</v>
      </c>
      <c r="J16" s="21">
        <f t="shared" si="1"/>
        <v>1.5221909461732892E-2</v>
      </c>
      <c r="K16" s="21">
        <f t="shared" si="1"/>
        <v>0</v>
      </c>
      <c r="L16" s="21">
        <f t="shared" ca="1" si="1"/>
        <v>0</v>
      </c>
      <c r="M16" s="21">
        <f t="shared" si="1"/>
        <v>0</v>
      </c>
      <c r="N16" s="21">
        <f t="shared" ca="1" si="1"/>
        <v>606.36869847972173</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0.20899646783759723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4126.4999061158742</v>
      </c>
      <c r="C20" s="23">
        <f t="shared" ref="C20:P20" ca="1" si="2">C16*C18</f>
        <v>449.15294117647068</v>
      </c>
      <c r="D20" s="23">
        <f t="shared" ca="1" si="2"/>
        <v>6423.2969426477575</v>
      </c>
      <c r="E20" s="23">
        <f t="shared" si="2"/>
        <v>56.584862345391933</v>
      </c>
      <c r="F20" s="23">
        <f t="shared" ca="1" si="2"/>
        <v>562.94041988845186</v>
      </c>
      <c r="G20" s="23">
        <f t="shared" si="2"/>
        <v>0</v>
      </c>
      <c r="H20" s="23">
        <f t="shared" si="2"/>
        <v>0</v>
      </c>
      <c r="I20" s="23">
        <f t="shared" si="2"/>
        <v>0</v>
      </c>
      <c r="J20" s="23">
        <f t="shared" si="2"/>
        <v>5.3885559494534436E-3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9311.7637930000001</v>
      </c>
      <c r="C26" s="39">
        <f>IF(ISERROR(B26*3.6/1000000/'E Balans VL '!Z12*100),0,B26*3.6/1000000/'E Balans VL '!Z12*100)</f>
        <v>0.19754054958292522</v>
      </c>
      <c r="D26" s="237" t="s">
        <v>716</v>
      </c>
      <c r="F26" s="6"/>
    </row>
    <row r="27" spans="1:18">
      <c r="A27" s="231" t="s">
        <v>52</v>
      </c>
      <c r="B27" s="33">
        <f>IF(ISERROR(TER_horeca_ele_kWh/1000),0,TER_horeca_ele_kWh/1000)</f>
        <v>1915.3738780000001</v>
      </c>
      <c r="C27" s="39">
        <f>IF(ISERROR(B27*3.6/1000000/'E Balans VL '!Z9*100),0,B27*3.6/1000000/'E Balans VL '!Z9*100)</f>
        <v>0.14424462036545849</v>
      </c>
      <c r="D27" s="237" t="s">
        <v>716</v>
      </c>
      <c r="F27" s="6"/>
    </row>
    <row r="28" spans="1:18">
      <c r="A28" s="171" t="s">
        <v>51</v>
      </c>
      <c r="B28" s="33">
        <f>IF(ISERROR(TER_handel_ele_kWh/1000),0,TER_handel_ele_kWh/1000)</f>
        <v>5329.2483250000005</v>
      </c>
      <c r="C28" s="39">
        <f>IF(ISERROR(B28*3.6/1000000/'E Balans VL '!Z13*100),0,B28*3.6/1000000/'E Balans VL '!Z13*100)</f>
        <v>0.15468919587464883</v>
      </c>
      <c r="D28" s="237" t="s">
        <v>716</v>
      </c>
      <c r="F28" s="6"/>
    </row>
    <row r="29" spans="1:18">
      <c r="A29" s="231" t="s">
        <v>50</v>
      </c>
      <c r="B29" s="33">
        <f>IF(ISERROR(TER_gezond_ele_kWh/1000),0,TER_gezond_ele_kWh/1000)</f>
        <v>648.41999999999996</v>
      </c>
      <c r="C29" s="39">
        <f>IF(ISERROR(B29*3.6/1000000/'E Balans VL '!Z10*100),0,B29*3.6/1000000/'E Balans VL '!Z10*100)</f>
        <v>6.5393930272344691E-2</v>
      </c>
      <c r="D29" s="237" t="s">
        <v>716</v>
      </c>
      <c r="F29" s="6"/>
    </row>
    <row r="30" spans="1:18">
      <c r="A30" s="231" t="s">
        <v>49</v>
      </c>
      <c r="B30" s="33">
        <f>IF(ISERROR(TER_ander_ele_kWh/1000),0,TER_ander_ele_kWh/1000)</f>
        <v>896.669444</v>
      </c>
      <c r="C30" s="39">
        <f>IF(ISERROR(B30*3.6/1000000/'E Balans VL '!Z14*100),0,B30*3.6/1000000/'E Balans VL '!Z14*100)</f>
        <v>6.5065600976364824E-2</v>
      </c>
      <c r="D30" s="237" t="s">
        <v>716</v>
      </c>
      <c r="F30" s="6"/>
    </row>
    <row r="31" spans="1:18">
      <c r="A31" s="231" t="s">
        <v>54</v>
      </c>
      <c r="B31" s="33">
        <f>IF(ISERROR(TER_onderwijs_ele_kWh/1000),0,TER_onderwijs_ele_kWh/1000)</f>
        <v>319.876935</v>
      </c>
      <c r="C31" s="39">
        <f>IF(ISERROR(B31*3.6/1000000/'E Balans VL '!Z11*100),0,B31*3.6/1000000/'E Balans VL '!Z11*100)</f>
        <v>9.1177952470330781E-2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1650.0188000000003</v>
      </c>
      <c r="C5" s="17">
        <f>IF(ISERROR('Eigen informatie GS &amp; warmtenet'!B61),0,'Eigen informatie GS &amp; warmtenet'!B61)</f>
        <v>0</v>
      </c>
      <c r="D5" s="30">
        <f>SUM(D6:D15)</f>
        <v>1184.2309292</v>
      </c>
      <c r="E5" s="17">
        <f>SUM(E6:E15)</f>
        <v>240.59339013394137</v>
      </c>
      <c r="F5" s="17">
        <f>SUM(F6:F15)</f>
        <v>756.665575606115</v>
      </c>
      <c r="G5" s="18"/>
      <c r="H5" s="17"/>
      <c r="I5" s="17"/>
      <c r="J5" s="17">
        <f>SUM(J6:J15)</f>
        <v>6.3774990259084952</v>
      </c>
      <c r="K5" s="17"/>
      <c r="L5" s="17"/>
      <c r="M5" s="17"/>
      <c r="N5" s="17">
        <f>SUM(N6:N15)</f>
        <v>94.106560017300822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88.346000000000004</v>
      </c>
      <c r="C8" s="33"/>
      <c r="D8" s="37">
        <f>IF( ISERROR(IND_metaal_Gas_kWH/1000),0,IND_metaal_Gas_kWH/1000)*0.902</f>
        <v>74.422215999999992</v>
      </c>
      <c r="E8" s="33">
        <f>C30*'E Balans VL '!I18/100/3.6*1000000</f>
        <v>0.63735438298205116</v>
      </c>
      <c r="F8" s="33">
        <f>C30*'E Balans VL '!L18/100/3.6*1000000+C30*'E Balans VL '!N18/100/3.6*1000000</f>
        <v>8.3559026138708248</v>
      </c>
      <c r="G8" s="34"/>
      <c r="H8" s="33"/>
      <c r="I8" s="33"/>
      <c r="J8" s="40">
        <f>C30*'E Balans VL '!D18/100/3.6*1000000+C30*'E Balans VL '!E18/100/3.6*1000000</f>
        <v>8.8858920196108859E-2</v>
      </c>
      <c r="K8" s="33"/>
      <c r="L8" s="33"/>
      <c r="M8" s="33"/>
      <c r="N8" s="33">
        <f>C30*'E Balans VL '!Y18/100/3.6*1000000</f>
        <v>1.1169271804396359</v>
      </c>
      <c r="O8" s="33"/>
      <c r="P8" s="33"/>
      <c r="R8" s="32"/>
    </row>
    <row r="9" spans="1:18">
      <c r="A9" s="6" t="s">
        <v>32</v>
      </c>
      <c r="B9" s="37">
        <f t="shared" si="0"/>
        <v>800.73880000000008</v>
      </c>
      <c r="C9" s="33"/>
      <c r="D9" s="37">
        <f>IF( ISERROR(IND_andere_gas_kWh/1000),0,IND_andere_gas_kWh/1000)*0.902</f>
        <v>907.55235119999998</v>
      </c>
      <c r="E9" s="33">
        <f>C31*'E Balans VL '!I19/100/3.6*1000000</f>
        <v>221.89542869918031</v>
      </c>
      <c r="F9" s="33">
        <f>C31*'E Balans VL '!L19/100/3.6*1000000+C31*'E Balans VL '!N19/100/3.6*1000000</f>
        <v>663.654047849883</v>
      </c>
      <c r="G9" s="34"/>
      <c r="H9" s="33"/>
      <c r="I9" s="33"/>
      <c r="J9" s="40">
        <f>C31*'E Balans VL '!D19/100/3.6*1000000+C31*'E Balans VL '!E19/100/3.6*1000000</f>
        <v>0</v>
      </c>
      <c r="K9" s="33"/>
      <c r="L9" s="33"/>
      <c r="M9" s="33"/>
      <c r="N9" s="33">
        <f>C31*'E Balans VL '!Y19/100/3.6*1000000</f>
        <v>58.123842784184205</v>
      </c>
      <c r="O9" s="33"/>
      <c r="P9" s="33"/>
      <c r="R9" s="32"/>
    </row>
    <row r="10" spans="1:18">
      <c r="A10" s="6" t="s">
        <v>40</v>
      </c>
      <c r="B10" s="37">
        <f t="shared" si="0"/>
        <v>342.17899999999997</v>
      </c>
      <c r="C10" s="33"/>
      <c r="D10" s="37">
        <f>IF( ISERROR(IND_voed_gas_kWh/1000),0,IND_voed_gas_kWh/1000)*0.902</f>
        <v>123.75259600000001</v>
      </c>
      <c r="E10" s="33">
        <f>C32*'E Balans VL '!I20/100/3.6*1000000</f>
        <v>0.60577273345820259</v>
      </c>
      <c r="F10" s="33">
        <f>C32*'E Balans VL '!L20/100/3.6*1000000+C32*'E Balans VL '!N20/100/3.6*1000000</f>
        <v>18.480698705273188</v>
      </c>
      <c r="G10" s="34"/>
      <c r="H10" s="33"/>
      <c r="I10" s="33"/>
      <c r="J10" s="40">
        <f>C32*'E Balans VL '!D20/100/3.6*1000000+C32*'E Balans VL '!E20/100/3.6*1000000</f>
        <v>0</v>
      </c>
      <c r="K10" s="33"/>
      <c r="L10" s="33"/>
      <c r="M10" s="33"/>
      <c r="N10" s="33">
        <f>C32*'E Balans VL '!Y20/100/3.6*1000000</f>
        <v>19.88321315358646</v>
      </c>
      <c r="O10" s="33"/>
      <c r="P10" s="33"/>
      <c r="R10" s="32"/>
    </row>
    <row r="11" spans="1:18">
      <c r="A11" s="6" t="s">
        <v>39</v>
      </c>
      <c r="B11" s="37">
        <f t="shared" si="0"/>
        <v>22.221</v>
      </c>
      <c r="C11" s="33"/>
      <c r="D11" s="37">
        <f>IF( ISERROR(IND_textiel_gas_kWh/1000),0,IND_textiel_gas_kWh/1000)*0.902</f>
        <v>0</v>
      </c>
      <c r="E11" s="33">
        <f>C33*'E Balans VL '!I21/100/3.6*1000000</f>
        <v>7.8331331428030518E-2</v>
      </c>
      <c r="F11" s="33">
        <f>C33*'E Balans VL '!L21/100/3.6*1000000+C33*'E Balans VL '!N21/100/3.6*1000000</f>
        <v>0.65221957842435296</v>
      </c>
      <c r="G11" s="34"/>
      <c r="H11" s="33"/>
      <c r="I11" s="33"/>
      <c r="J11" s="40">
        <f>C33*'E Balans VL '!D21/100/3.6*1000000+C33*'E Balans VL '!E21/100/3.6*1000000</f>
        <v>0</v>
      </c>
      <c r="K11" s="33"/>
      <c r="L11" s="33"/>
      <c r="M11" s="33"/>
      <c r="N11" s="33">
        <f>C33*'E Balans VL '!Y21/100/3.6*1000000</f>
        <v>0.97905407914658926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29.786999999999999</v>
      </c>
      <c r="C13" s="33"/>
      <c r="D13" s="37">
        <f>IF( ISERROR(IND_papier_gas_kWh/1000),0,IND_papier_gas_kWh/1000)*0.902</f>
        <v>46.719991999999998</v>
      </c>
      <c r="E13" s="33">
        <f>C35*'E Balans VL '!I23/100/3.6*1000000</f>
        <v>4.382690526530502E-2</v>
      </c>
      <c r="F13" s="33">
        <f>C35*'E Balans VL '!L23/100/3.6*1000000+C35*'E Balans VL '!N23/100/3.6*1000000</f>
        <v>0.3189385395362147</v>
      </c>
      <c r="G13" s="34"/>
      <c r="H13" s="33"/>
      <c r="I13" s="33"/>
      <c r="J13" s="40">
        <f>C35*'E Balans VL '!D23/100/3.6*1000000+C35*'E Balans VL '!E23/100/3.6*1000000</f>
        <v>3.2588648367551065</v>
      </c>
      <c r="K13" s="33"/>
      <c r="L13" s="33"/>
      <c r="M13" s="33"/>
      <c r="N13" s="33">
        <f>C35*'E Balans VL '!Y23/100/3.6*1000000</f>
        <v>-0.26984469648236958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366.74700000000001</v>
      </c>
      <c r="C15" s="33"/>
      <c r="D15" s="37">
        <f>IF( ISERROR(IND_rest_gas_kWh/1000),0,IND_rest_gas_kWh/1000)*0.902</f>
        <v>31.783774000000001</v>
      </c>
      <c r="E15" s="33">
        <f>C37*'E Balans VL '!I15/100/3.6*1000000</f>
        <v>17.332676081627515</v>
      </c>
      <c r="F15" s="33">
        <f>C37*'E Balans VL '!L15/100/3.6*1000000+C37*'E Balans VL '!N15/100/3.6*1000000</f>
        <v>65.203768319127306</v>
      </c>
      <c r="G15" s="34"/>
      <c r="H15" s="33"/>
      <c r="I15" s="33"/>
      <c r="J15" s="40">
        <f>C37*'E Balans VL '!D15/100/3.6*1000000+C37*'E Balans VL '!E15/100/3.6*1000000</f>
        <v>3.0297752689572803</v>
      </c>
      <c r="K15" s="33"/>
      <c r="L15" s="33"/>
      <c r="M15" s="33"/>
      <c r="N15" s="33">
        <f>C37*'E Balans VL '!Y15/100/3.6*1000000</f>
        <v>14.273367516426287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1650.0188000000003</v>
      </c>
      <c r="C18" s="21">
        <f>C5+C16</f>
        <v>0</v>
      </c>
      <c r="D18" s="21">
        <f>MAX((D5+D16),0)</f>
        <v>1184.2309292</v>
      </c>
      <c r="E18" s="21">
        <f>MAX((E5+E16),0)</f>
        <v>240.59339013394137</v>
      </c>
      <c r="F18" s="21">
        <f>MAX((F5+F16),0)</f>
        <v>756.665575606115</v>
      </c>
      <c r="G18" s="21"/>
      <c r="H18" s="21"/>
      <c r="I18" s="21"/>
      <c r="J18" s="21">
        <f>MAX((J5+J16),0)</f>
        <v>6.3774990259084952</v>
      </c>
      <c r="K18" s="21"/>
      <c r="L18" s="21">
        <f>MAX((L5+L16),0)</f>
        <v>0</v>
      </c>
      <c r="M18" s="21"/>
      <c r="N18" s="21">
        <f>MAX((N5+N16),0)</f>
        <v>94.106560017300822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0.20899646783759723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344.84810106563083</v>
      </c>
      <c r="C22" s="23">
        <f ca="1">C18*C20</f>
        <v>0</v>
      </c>
      <c r="D22" s="23">
        <f>D18*D20</f>
        <v>239.2146476984</v>
      </c>
      <c r="E22" s="23">
        <f>E18*E20</f>
        <v>54.614699560404695</v>
      </c>
      <c r="F22" s="23">
        <f>F18*F20</f>
        <v>202.02970868683272</v>
      </c>
      <c r="G22" s="23"/>
      <c r="H22" s="23"/>
      <c r="I22" s="23"/>
      <c r="J22" s="23">
        <f>J18*J20</f>
        <v>2.2576346551716071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88.346000000000004</v>
      </c>
      <c r="C30" s="39">
        <f>IF(ISERROR(B30*3.6/1000000/'E Balans VL '!Z18*100),0,B30*3.6/1000000/'E Balans VL '!Z18*100)</f>
        <v>5.1000767295249407E-3</v>
      </c>
      <c r="D30" s="237" t="s">
        <v>716</v>
      </c>
    </row>
    <row r="31" spans="1:18">
      <c r="A31" s="6" t="s">
        <v>32</v>
      </c>
      <c r="B31" s="37">
        <f>IF( ISERROR(IND_ander_ele_kWh/1000),0,IND_ander_ele_kWh/1000)</f>
        <v>800.73880000000008</v>
      </c>
      <c r="C31" s="39">
        <f>IF(ISERROR(B31*3.6/1000000/'E Balans VL '!Z19*100),0,B31*3.6/1000000/'E Balans VL '!Z19*100)</f>
        <v>4.0274566145679876E-2</v>
      </c>
      <c r="D31" s="237" t="s">
        <v>716</v>
      </c>
    </row>
    <row r="32" spans="1:18">
      <c r="A32" s="171" t="s">
        <v>40</v>
      </c>
      <c r="B32" s="37">
        <f>IF( ISERROR(IND_voed_ele_kWh/1000),0,IND_voed_ele_kWh/1000)</f>
        <v>342.17899999999997</v>
      </c>
      <c r="C32" s="39">
        <f>IF(ISERROR(B32*3.6/1000000/'E Balans VL '!Z20*100),0,B32*3.6/1000000/'E Balans VL '!Z20*100)</f>
        <v>1.1396592643791602E-2</v>
      </c>
      <c r="D32" s="237" t="s">
        <v>716</v>
      </c>
    </row>
    <row r="33" spans="1:5">
      <c r="A33" s="171" t="s">
        <v>39</v>
      </c>
      <c r="B33" s="37">
        <f>IF( ISERROR(IND_textiel_ele_kWh/1000),0,IND_textiel_ele_kWh/1000)</f>
        <v>22.221</v>
      </c>
      <c r="C33" s="39">
        <f>IF(ISERROR(B33*3.6/1000000/'E Balans VL '!Z21*100),0,B33*3.6/1000000/'E Balans VL '!Z21*100)</f>
        <v>3.4645367162559164E-3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29.786999999999999</v>
      </c>
      <c r="C35" s="39">
        <f>IF(ISERROR(B35*3.6/1000000/'E Balans VL '!Z22*100),0,B35*3.6/1000000/'E Balans VL '!Z22*100)</f>
        <v>5.5562815963838769E-3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366.74700000000001</v>
      </c>
      <c r="C37" s="39">
        <f>IF(ISERROR(B37*3.6/1000000/'E Balans VL '!Z15*100),0,B37*3.6/1000000/'E Balans VL '!Z15*100)</f>
        <v>2.8616295177861799E-3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117.401</v>
      </c>
      <c r="C5" s="17">
        <f>'Eigen informatie GS &amp; warmtenet'!B62</f>
        <v>0</v>
      </c>
      <c r="D5" s="30">
        <f>IF(ISERROR(SUM(LB_lb_gas_kWh,LB_rest_gas_kWh)/1000),0,SUM(LB_lb_gas_kWh,LB_rest_gas_kWh)/1000)*0.902</f>
        <v>47.623796000000006</v>
      </c>
      <c r="E5" s="17">
        <f>B17*'E Balans VL '!I25/3.6*1000000/100</f>
        <v>3.6640464959262733</v>
      </c>
      <c r="F5" s="17">
        <f>B17*('E Balans VL '!L25/3.6*1000000+'E Balans VL '!N25/3.6*1000000)/100</f>
        <v>414.90813933194818</v>
      </c>
      <c r="G5" s="18"/>
      <c r="H5" s="17"/>
      <c r="I5" s="17"/>
      <c r="J5" s="17">
        <f>('E Balans VL '!D25+'E Balans VL '!E25)/3.6*1000000*landbouw!B17/100</f>
        <v>32.344789668799677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117.401</v>
      </c>
      <c r="C8" s="21">
        <f>C5+C6</f>
        <v>0</v>
      </c>
      <c r="D8" s="21">
        <f>MAX((D5+D6),0)</f>
        <v>47.623796000000006</v>
      </c>
      <c r="E8" s="21">
        <f>MAX((E5+E6),0)</f>
        <v>3.6640464959262733</v>
      </c>
      <c r="F8" s="21">
        <f>MAX((F5+F6),0)</f>
        <v>414.90813933194818</v>
      </c>
      <c r="G8" s="21"/>
      <c r="H8" s="21"/>
      <c r="I8" s="21"/>
      <c r="J8" s="21">
        <f>MAX((J5+J6),0)</f>
        <v>32.344789668799677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0.20899646783759723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24.536394320601751</v>
      </c>
      <c r="C12" s="23">
        <f ca="1">C8*C10</f>
        <v>0</v>
      </c>
      <c r="D12" s="23">
        <f>D8*D10</f>
        <v>9.6200067920000016</v>
      </c>
      <c r="E12" s="23">
        <f>E8*E10</f>
        <v>0.83173855457526402</v>
      </c>
      <c r="F12" s="23">
        <f>F8*F10</f>
        <v>110.78047320163017</v>
      </c>
      <c r="G12" s="23"/>
      <c r="H12" s="23"/>
      <c r="I12" s="23"/>
      <c r="J12" s="23">
        <f>J8*J10</f>
        <v>11.450055542755086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1.7452500260087139E-2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12.906791123587125</v>
      </c>
      <c r="C26" s="247">
        <f>B26*'GWP N2O_CH4'!B5</f>
        <v>271.04261359532961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2.0529861417189661</v>
      </c>
      <c r="C27" s="247">
        <f>B27*'GWP N2O_CH4'!B5</f>
        <v>43.11270897609829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0.14045019214996904</v>
      </c>
      <c r="C28" s="247">
        <f>B28*'GWP N2O_CH4'!B4</f>
        <v>43.539559566490404</v>
      </c>
      <c r="D28" s="50"/>
    </row>
    <row r="29" spans="1:4">
      <c r="A29" s="41" t="s">
        <v>276</v>
      </c>
      <c r="B29" s="247">
        <f>B34*'ha_N2O bodem landbouw'!B4</f>
        <v>2.5940640857513624</v>
      </c>
      <c r="C29" s="247">
        <f>B29*'GWP N2O_CH4'!B4</f>
        <v>804.15986658292229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5.6883154893156481E-4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1.6079573148000001E-4</v>
      </c>
      <c r="C5" s="463" t="s">
        <v>210</v>
      </c>
      <c r="D5" s="448">
        <f>SUM(D6:D11)</f>
        <v>6.7798914453639602E-4</v>
      </c>
      <c r="E5" s="448">
        <f>SUM(E6:E11)</f>
        <v>5.1843846838497498E-4</v>
      </c>
      <c r="F5" s="461" t="s">
        <v>210</v>
      </c>
      <c r="G5" s="448">
        <f>SUM(G6:G11)</f>
        <v>0.17597093123306998</v>
      </c>
      <c r="H5" s="448">
        <f>SUM(H6:H11)</f>
        <v>5.0365203744258416E-2</v>
      </c>
      <c r="I5" s="463" t="s">
        <v>210</v>
      </c>
      <c r="J5" s="463" t="s">
        <v>210</v>
      </c>
      <c r="K5" s="463" t="s">
        <v>210</v>
      </c>
      <c r="L5" s="463" t="s">
        <v>210</v>
      </c>
      <c r="M5" s="448">
        <f>SUM(M6:M11)</f>
        <v>1.3457404365328586E-2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1.16381847935E-4</v>
      </c>
      <c r="C6" s="449"/>
      <c r="D6" s="917">
        <f>vkm_2011_GW_PW*SUMIFS(TableVerdeelsleutelVkm[CNG],TableVerdeelsleutelVkm[Voertuigtype],"Lichte voertuigen")*SUMIFS(TableECFTransport[EnergieConsumptieFactor (PJ per km)],TableECFTransport[Index],CONCATENATE($A6,"_CNG_CNG"))</f>
        <v>4.0467950887887607E-4</v>
      </c>
      <c r="E6" s="917">
        <f>vkm_2011_GW_PW*SUMIFS(TableVerdeelsleutelVkm[LPG],TableVerdeelsleutelVkm[Voertuigtype],"Lichte voertuigen")*SUMIFS(TableECFTransport[EnergieConsumptieFactor (PJ per km)],TableECFTransport[Index],CONCATENATE($A6,"_LPG_LPG"))</f>
        <v>3.1882077994919999E-4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8.678672337191104E-2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3.0369588941471515E-2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7.0008260289302383E-3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3.6106312808311787E-2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9.0963437172167665E-6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2.0820028005039005E-3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4.4413883544999997E-5</v>
      </c>
      <c r="C8" s="449"/>
      <c r="D8" s="451">
        <f>vkm_2011_NGW_PW*SUMIFS(TableVerdeelsleutelVkm[CNG],TableVerdeelsleutelVkm[Voertuigtype],"Lichte voertuigen")*SUMIFS(TableECFTransport[EnergieConsumptieFactor (PJ per km)],TableECFTransport[Index],CONCATENATE($A8,"_CNG_CNG"))</f>
        <v>2.7330963565752001E-4</v>
      </c>
      <c r="E8" s="451">
        <f>vkm_2011_NGW_PW*SUMIFS(TableVerdeelsleutelVkm[LPG],TableVerdeelsleutelVkm[Voertuigtype],"Lichte voertuigen")*SUMIFS(TableECFTransport[EnergieConsumptieFactor (PJ per km)],TableECFTransport[Index],CONCATENATE($A8,"_LPG_LPG"))</f>
        <v>1.9961768843577499E-4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5.0424245178325292E-2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1.9985887655076914E-2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4.2215602760168874E-3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2.6536498745218465E-3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6.3080399277081421E-7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1.5301525987755917E-4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44.665480966666671</v>
      </c>
      <c r="C14" s="21"/>
      <c r="D14" s="21">
        <f t="shared" ref="D14:M14" si="0">((D5)*10^9/3600)+D12</f>
        <v>188.33031792677667</v>
      </c>
      <c r="E14" s="21">
        <f t="shared" si="0"/>
        <v>144.01068566249305</v>
      </c>
      <c r="F14" s="21"/>
      <c r="G14" s="21">
        <f t="shared" si="0"/>
        <v>48880.814231408331</v>
      </c>
      <c r="H14" s="21">
        <f t="shared" si="0"/>
        <v>13990.334373405116</v>
      </c>
      <c r="I14" s="21"/>
      <c r="J14" s="21"/>
      <c r="K14" s="21"/>
      <c r="L14" s="21"/>
      <c r="M14" s="21">
        <f t="shared" si="0"/>
        <v>3738.1678792579405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0.20899646783759723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9.3349277563007629</v>
      </c>
      <c r="C18" s="23"/>
      <c r="D18" s="23">
        <f t="shared" ref="D18:M18" si="1">D14*D16</f>
        <v>38.042724221208893</v>
      </c>
      <c r="E18" s="23">
        <f t="shared" si="1"/>
        <v>32.690425645385922</v>
      </c>
      <c r="F18" s="23"/>
      <c r="G18" s="23">
        <f t="shared" si="1"/>
        <v>13051.177399786025</v>
      </c>
      <c r="H18" s="23">
        <f t="shared" si="1"/>
        <v>3483.593258977874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4.0279724734671339E-3</v>
      </c>
      <c r="H50" s="321">
        <f t="shared" si="2"/>
        <v>0</v>
      </c>
      <c r="I50" s="321">
        <f t="shared" si="2"/>
        <v>0</v>
      </c>
      <c r="J50" s="321">
        <f t="shared" si="2"/>
        <v>0</v>
      </c>
      <c r="K50" s="321">
        <f t="shared" si="2"/>
        <v>0</v>
      </c>
      <c r="L50" s="321">
        <f t="shared" si="2"/>
        <v>0</v>
      </c>
      <c r="M50" s="321">
        <f t="shared" si="2"/>
        <v>2.2387515574597458E-4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4.0279724734671339E-3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2.2387515574597458E-4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1118.8812426297595</v>
      </c>
      <c r="H54" s="21">
        <f t="shared" si="3"/>
        <v>0</v>
      </c>
      <c r="I54" s="21">
        <f t="shared" si="3"/>
        <v>0</v>
      </c>
      <c r="J54" s="21">
        <f t="shared" si="3"/>
        <v>0</v>
      </c>
      <c r="K54" s="21">
        <f t="shared" si="3"/>
        <v>0</v>
      </c>
      <c r="L54" s="21">
        <f t="shared" si="3"/>
        <v>0</v>
      </c>
      <c r="M54" s="21">
        <f t="shared" si="3"/>
        <v>62.187543262770724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0.20899646783759723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298.74129178214582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20593.512374999998</v>
      </c>
      <c r="D10" s="712">
        <f ca="1">tertiair!C16</f>
        <v>1890</v>
      </c>
      <c r="E10" s="712">
        <f ca="1">tertiair!D16</f>
        <v>31798.499716078004</v>
      </c>
      <c r="F10" s="712">
        <f>tertiair!E16</f>
        <v>249.2725213453389</v>
      </c>
      <c r="G10" s="712">
        <f ca="1">tertiair!F16</f>
        <v>2108.3910857245387</v>
      </c>
      <c r="H10" s="712">
        <f>tertiair!G16</f>
        <v>0</v>
      </c>
      <c r="I10" s="712">
        <f>tertiair!H16</f>
        <v>0</v>
      </c>
      <c r="J10" s="712">
        <f>tertiair!I16</f>
        <v>0</v>
      </c>
      <c r="K10" s="712">
        <f>tertiair!J16</f>
        <v>1.5221909461732892E-2</v>
      </c>
      <c r="L10" s="712">
        <f>tertiair!K16</f>
        <v>0</v>
      </c>
      <c r="M10" s="712">
        <f ca="1">tertiair!L16</f>
        <v>0</v>
      </c>
      <c r="N10" s="712">
        <f>tertiair!M16</f>
        <v>0</v>
      </c>
      <c r="O10" s="712">
        <f ca="1">tertiair!N16</f>
        <v>606.36869847972173</v>
      </c>
      <c r="P10" s="712">
        <f>tertiair!O16</f>
        <v>0</v>
      </c>
      <c r="Q10" s="713">
        <f>tertiair!P16</f>
        <v>105.07827661299004</v>
      </c>
      <c r="R10" s="715">
        <f ca="1">SUM(C10:Q10)</f>
        <v>57351.137895150052</v>
      </c>
      <c r="S10" s="67"/>
    </row>
    <row r="11" spans="1:19" s="474" customFormat="1">
      <c r="A11" s="834" t="s">
        <v>224</v>
      </c>
      <c r="B11" s="839"/>
      <c r="C11" s="712">
        <f>huishoudens!B8</f>
        <v>26733.023318518317</v>
      </c>
      <c r="D11" s="712">
        <f>huishoudens!C8</f>
        <v>0</v>
      </c>
      <c r="E11" s="712">
        <f>huishoudens!D8</f>
        <v>49345.646350000003</v>
      </c>
      <c r="F11" s="712">
        <f>huishoudens!E8</f>
        <v>4407.8317878557491</v>
      </c>
      <c r="G11" s="712">
        <f>huishoudens!F8</f>
        <v>19247.170395429657</v>
      </c>
      <c r="H11" s="712">
        <f>huishoudens!G8</f>
        <v>0</v>
      </c>
      <c r="I11" s="712">
        <f>huishoudens!H8</f>
        <v>0</v>
      </c>
      <c r="J11" s="712">
        <f>huishoudens!I8</f>
        <v>0</v>
      </c>
      <c r="K11" s="712">
        <f>huishoudens!J8</f>
        <v>0</v>
      </c>
      <c r="L11" s="712">
        <f>huishoudens!K8</f>
        <v>0</v>
      </c>
      <c r="M11" s="712">
        <f>huishoudens!L8</f>
        <v>0</v>
      </c>
      <c r="N11" s="712">
        <f>huishoudens!M8</f>
        <v>0</v>
      </c>
      <c r="O11" s="712">
        <f>huishoudens!N8</f>
        <v>7966.9286635745384</v>
      </c>
      <c r="P11" s="712">
        <f>huishoudens!O8</f>
        <v>392.82372743863232</v>
      </c>
      <c r="Q11" s="713">
        <f>huishoudens!P8</f>
        <v>558.29984330730622</v>
      </c>
      <c r="R11" s="715">
        <f>SUM(C11:Q11)</f>
        <v>108651.7240861242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1650.0188000000003</v>
      </c>
      <c r="D13" s="712">
        <f>industrie!C18</f>
        <v>0</v>
      </c>
      <c r="E13" s="712">
        <f>industrie!D18</f>
        <v>1184.2309292</v>
      </c>
      <c r="F13" s="712">
        <f>industrie!E18</f>
        <v>240.59339013394137</v>
      </c>
      <c r="G13" s="712">
        <f>industrie!F18</f>
        <v>756.665575606115</v>
      </c>
      <c r="H13" s="712">
        <f>industrie!G18</f>
        <v>0</v>
      </c>
      <c r="I13" s="712">
        <f>industrie!H18</f>
        <v>0</v>
      </c>
      <c r="J13" s="712">
        <f>industrie!I18</f>
        <v>0</v>
      </c>
      <c r="K13" s="712">
        <f>industrie!J18</f>
        <v>6.3774990259084952</v>
      </c>
      <c r="L13" s="712">
        <f>industrie!K18</f>
        <v>0</v>
      </c>
      <c r="M13" s="712">
        <f>industrie!L18</f>
        <v>0</v>
      </c>
      <c r="N13" s="712">
        <f>industrie!M18</f>
        <v>0</v>
      </c>
      <c r="O13" s="712">
        <f>industrie!N18</f>
        <v>94.106560017300822</v>
      </c>
      <c r="P13" s="712">
        <f>industrie!O18</f>
        <v>0</v>
      </c>
      <c r="Q13" s="713">
        <f>industrie!P18</f>
        <v>0</v>
      </c>
      <c r="R13" s="715">
        <f>SUM(C13:Q13)</f>
        <v>3931.9927539832661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48976.554493518313</v>
      </c>
      <c r="D16" s="748">
        <f t="shared" ref="D16:R16" ca="1" si="0">SUM(D9:D15)</f>
        <v>1890</v>
      </c>
      <c r="E16" s="748">
        <f t="shared" ca="1" si="0"/>
        <v>82328.376995278013</v>
      </c>
      <c r="F16" s="748">
        <f t="shared" si="0"/>
        <v>4897.697699335029</v>
      </c>
      <c r="G16" s="748">
        <f t="shared" ca="1" si="0"/>
        <v>22112.227056760312</v>
      </c>
      <c r="H16" s="748">
        <f t="shared" si="0"/>
        <v>0</v>
      </c>
      <c r="I16" s="748">
        <f t="shared" si="0"/>
        <v>0</v>
      </c>
      <c r="J16" s="748">
        <f t="shared" si="0"/>
        <v>0</v>
      </c>
      <c r="K16" s="748">
        <f t="shared" si="0"/>
        <v>6.3927209353702281</v>
      </c>
      <c r="L16" s="748">
        <f t="shared" si="0"/>
        <v>0</v>
      </c>
      <c r="M16" s="748">
        <f t="shared" ca="1" si="0"/>
        <v>0</v>
      </c>
      <c r="N16" s="748">
        <f t="shared" si="0"/>
        <v>0</v>
      </c>
      <c r="O16" s="748">
        <f t="shared" ca="1" si="0"/>
        <v>8667.4039220715604</v>
      </c>
      <c r="P16" s="748">
        <f t="shared" si="0"/>
        <v>392.82372743863232</v>
      </c>
      <c r="Q16" s="748">
        <f t="shared" si="0"/>
        <v>663.37811992029629</v>
      </c>
      <c r="R16" s="748">
        <f t="shared" ca="1" si="0"/>
        <v>169934.85473525754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1118.8812426297595</v>
      </c>
      <c r="I19" s="712">
        <f>transport!H54</f>
        <v>0</v>
      </c>
      <c r="J19" s="712">
        <f>transport!I54</f>
        <v>0</v>
      </c>
      <c r="K19" s="712">
        <f>transport!J54</f>
        <v>0</v>
      </c>
      <c r="L19" s="712">
        <f>transport!K54</f>
        <v>0</v>
      </c>
      <c r="M19" s="712">
        <f>transport!L54</f>
        <v>0</v>
      </c>
      <c r="N19" s="712">
        <f>transport!M54</f>
        <v>62.187543262770724</v>
      </c>
      <c r="O19" s="712">
        <f>transport!N54</f>
        <v>0</v>
      </c>
      <c r="P19" s="712">
        <f>transport!O54</f>
        <v>0</v>
      </c>
      <c r="Q19" s="713">
        <f>transport!P54</f>
        <v>0</v>
      </c>
      <c r="R19" s="715">
        <f>SUM(C19:Q19)</f>
        <v>1181.0687858925303</v>
      </c>
      <c r="S19" s="67"/>
    </row>
    <row r="20" spans="1:19" s="474" customFormat="1">
      <c r="A20" s="834" t="s">
        <v>306</v>
      </c>
      <c r="B20" s="839"/>
      <c r="C20" s="712">
        <f>transport!B14</f>
        <v>44.665480966666671</v>
      </c>
      <c r="D20" s="712">
        <f>transport!C14</f>
        <v>0</v>
      </c>
      <c r="E20" s="712">
        <f>transport!D14</f>
        <v>188.33031792677667</v>
      </c>
      <c r="F20" s="712">
        <f>transport!E14</f>
        <v>144.01068566249305</v>
      </c>
      <c r="G20" s="712">
        <f>transport!F14</f>
        <v>0</v>
      </c>
      <c r="H20" s="712">
        <f>transport!G14</f>
        <v>48880.814231408331</v>
      </c>
      <c r="I20" s="712">
        <f>transport!H14</f>
        <v>13990.334373405116</v>
      </c>
      <c r="J20" s="712">
        <f>transport!I14</f>
        <v>0</v>
      </c>
      <c r="K20" s="712">
        <f>transport!J14</f>
        <v>0</v>
      </c>
      <c r="L20" s="712">
        <f>transport!K14</f>
        <v>0</v>
      </c>
      <c r="M20" s="712">
        <f>transport!L14</f>
        <v>0</v>
      </c>
      <c r="N20" s="712">
        <f>transport!M14</f>
        <v>3738.1678792579405</v>
      </c>
      <c r="O20" s="712">
        <f>transport!N14</f>
        <v>0</v>
      </c>
      <c r="P20" s="712">
        <f>transport!O14</f>
        <v>0</v>
      </c>
      <c r="Q20" s="713">
        <f>transport!P14</f>
        <v>0</v>
      </c>
      <c r="R20" s="715">
        <f>SUM(C20:Q20)</f>
        <v>66986.322968627326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44.665480966666671</v>
      </c>
      <c r="D22" s="837">
        <f t="shared" ref="D22:R22" si="1">SUM(D18:D21)</f>
        <v>0</v>
      </c>
      <c r="E22" s="837">
        <f t="shared" si="1"/>
        <v>188.33031792677667</v>
      </c>
      <c r="F22" s="837">
        <f t="shared" si="1"/>
        <v>144.01068566249305</v>
      </c>
      <c r="G22" s="837">
        <f t="shared" si="1"/>
        <v>0</v>
      </c>
      <c r="H22" s="837">
        <f t="shared" si="1"/>
        <v>49999.69547403809</v>
      </c>
      <c r="I22" s="837">
        <f t="shared" si="1"/>
        <v>13990.334373405116</v>
      </c>
      <c r="J22" s="837">
        <f t="shared" si="1"/>
        <v>0</v>
      </c>
      <c r="K22" s="837">
        <f t="shared" si="1"/>
        <v>0</v>
      </c>
      <c r="L22" s="837">
        <f t="shared" si="1"/>
        <v>0</v>
      </c>
      <c r="M22" s="837">
        <f t="shared" si="1"/>
        <v>0</v>
      </c>
      <c r="N22" s="837">
        <f t="shared" si="1"/>
        <v>3800.3554225207113</v>
      </c>
      <c r="O22" s="837">
        <f t="shared" si="1"/>
        <v>0</v>
      </c>
      <c r="P22" s="837">
        <f t="shared" si="1"/>
        <v>0</v>
      </c>
      <c r="Q22" s="837">
        <f t="shared" si="1"/>
        <v>0</v>
      </c>
      <c r="R22" s="837">
        <f t="shared" si="1"/>
        <v>68167.391754519864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117.401</v>
      </c>
      <c r="D24" s="712">
        <f>+landbouw!C8</f>
        <v>0</v>
      </c>
      <c r="E24" s="712">
        <f>+landbouw!D8</f>
        <v>47.623796000000006</v>
      </c>
      <c r="F24" s="712">
        <f>+landbouw!E8</f>
        <v>3.6640464959262733</v>
      </c>
      <c r="G24" s="712">
        <f>+landbouw!F8</f>
        <v>414.90813933194818</v>
      </c>
      <c r="H24" s="712">
        <f>+landbouw!G8</f>
        <v>0</v>
      </c>
      <c r="I24" s="712">
        <f>+landbouw!H8</f>
        <v>0</v>
      </c>
      <c r="J24" s="712">
        <f>+landbouw!I8</f>
        <v>0</v>
      </c>
      <c r="K24" s="712">
        <f>+landbouw!J8</f>
        <v>32.344789668799677</v>
      </c>
      <c r="L24" s="712">
        <f>+landbouw!K8</f>
        <v>0</v>
      </c>
      <c r="M24" s="712">
        <f>+landbouw!L8</f>
        <v>0</v>
      </c>
      <c r="N24" s="712">
        <f>+landbouw!M8</f>
        <v>0</v>
      </c>
      <c r="O24" s="712">
        <f>+landbouw!N8</f>
        <v>0</v>
      </c>
      <c r="P24" s="712">
        <f>+landbouw!O8</f>
        <v>0</v>
      </c>
      <c r="Q24" s="713">
        <f>+landbouw!P8</f>
        <v>0</v>
      </c>
      <c r="R24" s="715">
        <f>SUM(C24:Q24)</f>
        <v>615.94177149667416</v>
      </c>
      <c r="S24" s="67"/>
    </row>
    <row r="25" spans="1:19" s="474" customFormat="1" ht="15" thickBot="1">
      <c r="A25" s="856" t="s">
        <v>734</v>
      </c>
      <c r="B25" s="982"/>
      <c r="C25" s="983">
        <f>IF(Onbekend_ele_kWh="---",0,Onbekend_ele_kWh)/1000+IF(REST_rest_ele_kWh="---",0,REST_rest_ele_kWh)/1000</f>
        <v>890.33389999999997</v>
      </c>
      <c r="D25" s="983"/>
      <c r="E25" s="983">
        <f>IF(onbekend_gas_kWh="---",0,onbekend_gas_kWh)/1000+IF(REST_rest_gas_kWh="---",0,REST_rest_gas_kWh)/1000</f>
        <v>4665.47109</v>
      </c>
      <c r="F25" s="983"/>
      <c r="G25" s="983"/>
      <c r="H25" s="983"/>
      <c r="I25" s="983"/>
      <c r="J25" s="983"/>
      <c r="K25" s="983"/>
      <c r="L25" s="983"/>
      <c r="M25" s="983"/>
      <c r="N25" s="983"/>
      <c r="O25" s="983"/>
      <c r="P25" s="983"/>
      <c r="Q25" s="984"/>
      <c r="R25" s="715">
        <f>SUM(C25:Q25)</f>
        <v>5555.8049899999996</v>
      </c>
      <c r="S25" s="67"/>
    </row>
    <row r="26" spans="1:19" s="474" customFormat="1" ht="15.75" thickBot="1">
      <c r="A26" s="720" t="s">
        <v>735</v>
      </c>
      <c r="B26" s="842"/>
      <c r="C26" s="837">
        <f>SUM(C24:C25)</f>
        <v>1007.7348999999999</v>
      </c>
      <c r="D26" s="837">
        <f t="shared" ref="D26:R26" si="2">SUM(D24:D25)</f>
        <v>0</v>
      </c>
      <c r="E26" s="837">
        <f t="shared" si="2"/>
        <v>4713.0948859999999</v>
      </c>
      <c r="F26" s="837">
        <f t="shared" si="2"/>
        <v>3.6640464959262733</v>
      </c>
      <c r="G26" s="837">
        <f t="shared" si="2"/>
        <v>414.90813933194818</v>
      </c>
      <c r="H26" s="837">
        <f t="shared" si="2"/>
        <v>0</v>
      </c>
      <c r="I26" s="837">
        <f t="shared" si="2"/>
        <v>0</v>
      </c>
      <c r="J26" s="837">
        <f t="shared" si="2"/>
        <v>0</v>
      </c>
      <c r="K26" s="837">
        <f t="shared" si="2"/>
        <v>32.344789668799677</v>
      </c>
      <c r="L26" s="837">
        <f t="shared" si="2"/>
        <v>0</v>
      </c>
      <c r="M26" s="837">
        <f t="shared" si="2"/>
        <v>0</v>
      </c>
      <c r="N26" s="837">
        <f t="shared" si="2"/>
        <v>0</v>
      </c>
      <c r="O26" s="837">
        <f t="shared" si="2"/>
        <v>0</v>
      </c>
      <c r="P26" s="837">
        <f t="shared" si="2"/>
        <v>0</v>
      </c>
      <c r="Q26" s="837">
        <f t="shared" si="2"/>
        <v>0</v>
      </c>
      <c r="R26" s="837">
        <f t="shared" si="2"/>
        <v>6171.7467614966736</v>
      </c>
      <c r="S26" s="67"/>
    </row>
    <row r="27" spans="1:19" s="474" customFormat="1" ht="17.25" thickTop="1" thickBot="1">
      <c r="A27" s="721" t="s">
        <v>115</v>
      </c>
      <c r="B27" s="829"/>
      <c r="C27" s="722">
        <f ca="1">C22+C16+C26</f>
        <v>50028.954874484982</v>
      </c>
      <c r="D27" s="722">
        <f t="shared" ref="D27:R27" ca="1" si="3">D22+D16+D26</f>
        <v>1890</v>
      </c>
      <c r="E27" s="722">
        <f t="shared" ca="1" si="3"/>
        <v>87229.802199204802</v>
      </c>
      <c r="F27" s="722">
        <f t="shared" si="3"/>
        <v>5045.3724314934489</v>
      </c>
      <c r="G27" s="722">
        <f t="shared" ca="1" si="3"/>
        <v>22527.135196092258</v>
      </c>
      <c r="H27" s="722">
        <f t="shared" si="3"/>
        <v>49999.69547403809</v>
      </c>
      <c r="I27" s="722">
        <f t="shared" si="3"/>
        <v>13990.334373405116</v>
      </c>
      <c r="J27" s="722">
        <f t="shared" si="3"/>
        <v>0</v>
      </c>
      <c r="K27" s="722">
        <f t="shared" si="3"/>
        <v>38.737510604169906</v>
      </c>
      <c r="L27" s="722">
        <f t="shared" si="3"/>
        <v>0</v>
      </c>
      <c r="M27" s="722">
        <f t="shared" ca="1" si="3"/>
        <v>0</v>
      </c>
      <c r="N27" s="722">
        <f t="shared" si="3"/>
        <v>3800.3554225207113</v>
      </c>
      <c r="O27" s="722">
        <f t="shared" ca="1" si="3"/>
        <v>8667.4039220715604</v>
      </c>
      <c r="P27" s="722">
        <f t="shared" si="3"/>
        <v>392.82372743863232</v>
      </c>
      <c r="Q27" s="722">
        <f t="shared" si="3"/>
        <v>663.37811992029629</v>
      </c>
      <c r="R27" s="722">
        <f t="shared" ca="1" si="3"/>
        <v>244273.99325127408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4303.9713467448482</v>
      </c>
      <c r="D40" s="712">
        <f ca="1">tertiair!C20</f>
        <v>449.15294117647068</v>
      </c>
      <c r="E40" s="712">
        <f ca="1">tertiair!D20</f>
        <v>6423.2969426477575</v>
      </c>
      <c r="F40" s="712">
        <f>tertiair!E20</f>
        <v>56.584862345391933</v>
      </c>
      <c r="G40" s="712">
        <f ca="1">tertiair!F20</f>
        <v>562.94041988845186</v>
      </c>
      <c r="H40" s="712">
        <f>tertiair!G20</f>
        <v>0</v>
      </c>
      <c r="I40" s="712">
        <f>tertiair!H20</f>
        <v>0</v>
      </c>
      <c r="J40" s="712">
        <f>tertiair!I20</f>
        <v>0</v>
      </c>
      <c r="K40" s="712">
        <f>tertiair!J20</f>
        <v>5.3885559494534436E-3</v>
      </c>
      <c r="L40" s="712">
        <f>tertiair!K20</f>
        <v>0</v>
      </c>
      <c r="M40" s="712">
        <f ca="1">tertiair!L20</f>
        <v>0</v>
      </c>
      <c r="N40" s="712">
        <f>tertiair!M20</f>
        <v>0</v>
      </c>
      <c r="O40" s="712">
        <f ca="1">tertiair!N20</f>
        <v>0</v>
      </c>
      <c r="P40" s="712">
        <f>tertiair!O20</f>
        <v>0</v>
      </c>
      <c r="Q40" s="795">
        <f>tertiair!P20</f>
        <v>0</v>
      </c>
      <c r="R40" s="875">
        <f t="shared" ca="1" si="4"/>
        <v>11795.951901358869</v>
      </c>
    </row>
    <row r="41" spans="1:18">
      <c r="A41" s="847" t="s">
        <v>224</v>
      </c>
      <c r="B41" s="854"/>
      <c r="C41" s="712">
        <f ca="1">huishoudens!B12</f>
        <v>5587.1074481904507</v>
      </c>
      <c r="D41" s="712">
        <f ca="1">huishoudens!C12</f>
        <v>0</v>
      </c>
      <c r="E41" s="712">
        <f>huishoudens!D12</f>
        <v>9967.8205627000007</v>
      </c>
      <c r="F41" s="712">
        <f>huishoudens!E12</f>
        <v>1000.5778158432551</v>
      </c>
      <c r="G41" s="712">
        <f>huishoudens!F12</f>
        <v>5138.9944955797191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21694.500322313426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344.84810106563083</v>
      </c>
      <c r="D43" s="712">
        <f ca="1">industrie!C22</f>
        <v>0</v>
      </c>
      <c r="E43" s="712">
        <f>industrie!D22</f>
        <v>239.2146476984</v>
      </c>
      <c r="F43" s="712">
        <f>industrie!E22</f>
        <v>54.614699560404695</v>
      </c>
      <c r="G43" s="712">
        <f>industrie!F22</f>
        <v>202.02970868683272</v>
      </c>
      <c r="H43" s="712">
        <f>industrie!G22</f>
        <v>0</v>
      </c>
      <c r="I43" s="712">
        <f>industrie!H22</f>
        <v>0</v>
      </c>
      <c r="J43" s="712">
        <f>industrie!I22</f>
        <v>0</v>
      </c>
      <c r="K43" s="712">
        <f>industrie!J22</f>
        <v>2.2576346551716071</v>
      </c>
      <c r="L43" s="712">
        <f>industrie!K22</f>
        <v>0</v>
      </c>
      <c r="M43" s="712">
        <f>industrie!L22</f>
        <v>0</v>
      </c>
      <c r="N43" s="712">
        <f>industrie!M22</f>
        <v>0</v>
      </c>
      <c r="O43" s="712">
        <f>industrie!N22</f>
        <v>0</v>
      </c>
      <c r="P43" s="712">
        <f>industrie!O22</f>
        <v>0</v>
      </c>
      <c r="Q43" s="795">
        <f>industrie!P22</f>
        <v>0</v>
      </c>
      <c r="R43" s="874">
        <f t="shared" ca="1" si="4"/>
        <v>842.96479166643985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10235.92689600093</v>
      </c>
      <c r="D46" s="748">
        <f t="shared" ref="D46:Q46" ca="1" si="5">SUM(D39:D45)</f>
        <v>449.15294117647068</v>
      </c>
      <c r="E46" s="748">
        <f t="shared" ca="1" si="5"/>
        <v>16630.332153046158</v>
      </c>
      <c r="F46" s="748">
        <f t="shared" si="5"/>
        <v>1111.7773777490518</v>
      </c>
      <c r="G46" s="748">
        <f t="shared" ca="1" si="5"/>
        <v>5903.9646241550045</v>
      </c>
      <c r="H46" s="748">
        <f t="shared" si="5"/>
        <v>0</v>
      </c>
      <c r="I46" s="748">
        <f t="shared" si="5"/>
        <v>0</v>
      </c>
      <c r="J46" s="748">
        <f t="shared" si="5"/>
        <v>0</v>
      </c>
      <c r="K46" s="748">
        <f t="shared" si="5"/>
        <v>2.2630232111210606</v>
      </c>
      <c r="L46" s="748">
        <f t="shared" si="5"/>
        <v>0</v>
      </c>
      <c r="M46" s="748">
        <f t="shared" ca="1" si="5"/>
        <v>0</v>
      </c>
      <c r="N46" s="748">
        <f t="shared" si="5"/>
        <v>0</v>
      </c>
      <c r="O46" s="748">
        <f t="shared" ca="1" si="5"/>
        <v>0</v>
      </c>
      <c r="P46" s="748">
        <f t="shared" si="5"/>
        <v>0</v>
      </c>
      <c r="Q46" s="748">
        <f t="shared" si="5"/>
        <v>0</v>
      </c>
      <c r="R46" s="748">
        <f ca="1">SUM(R39:R45)</f>
        <v>34333.417015338739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298.74129178214582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298.74129178214582</v>
      </c>
    </row>
    <row r="50" spans="1:18">
      <c r="A50" s="850" t="s">
        <v>306</v>
      </c>
      <c r="B50" s="860"/>
      <c r="C50" s="718">
        <f ca="1">transport!B18</f>
        <v>9.3349277563007629</v>
      </c>
      <c r="D50" s="718">
        <f>transport!C18</f>
        <v>0</v>
      </c>
      <c r="E50" s="718">
        <f>transport!D18</f>
        <v>38.042724221208893</v>
      </c>
      <c r="F50" s="718">
        <f>transport!E18</f>
        <v>32.690425645385922</v>
      </c>
      <c r="G50" s="718">
        <f>transport!F18</f>
        <v>0</v>
      </c>
      <c r="H50" s="718">
        <f>transport!G18</f>
        <v>13051.177399786025</v>
      </c>
      <c r="I50" s="718">
        <f>transport!H18</f>
        <v>3483.593258977874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16614.838736386795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9.3349277563007629</v>
      </c>
      <c r="D52" s="748">
        <f t="shared" ref="D52:Q52" ca="1" si="6">SUM(D48:D51)</f>
        <v>0</v>
      </c>
      <c r="E52" s="748">
        <f t="shared" si="6"/>
        <v>38.042724221208893</v>
      </c>
      <c r="F52" s="748">
        <f t="shared" si="6"/>
        <v>32.690425645385922</v>
      </c>
      <c r="G52" s="748">
        <f t="shared" si="6"/>
        <v>0</v>
      </c>
      <c r="H52" s="748">
        <f t="shared" si="6"/>
        <v>13349.918691568171</v>
      </c>
      <c r="I52" s="748">
        <f t="shared" si="6"/>
        <v>3483.593258977874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16913.580028168941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24.536394320601751</v>
      </c>
      <c r="D54" s="718">
        <f ca="1">+landbouw!C12</f>
        <v>0</v>
      </c>
      <c r="E54" s="718">
        <f>+landbouw!D12</f>
        <v>9.6200067920000016</v>
      </c>
      <c r="F54" s="718">
        <f>+landbouw!E12</f>
        <v>0.83173855457526402</v>
      </c>
      <c r="G54" s="718">
        <f>+landbouw!F12</f>
        <v>110.78047320163017</v>
      </c>
      <c r="H54" s="718">
        <f>+landbouw!G12</f>
        <v>0</v>
      </c>
      <c r="I54" s="718">
        <f>+landbouw!H12</f>
        <v>0</v>
      </c>
      <c r="J54" s="718">
        <f>+landbouw!I12</f>
        <v>0</v>
      </c>
      <c r="K54" s="718">
        <f>+landbouw!J12</f>
        <v>11.450055542755086</v>
      </c>
      <c r="L54" s="718">
        <f>+landbouw!K12</f>
        <v>0</v>
      </c>
      <c r="M54" s="718">
        <f>+landbouw!L12</f>
        <v>0</v>
      </c>
      <c r="N54" s="718">
        <f>+landbouw!M12</f>
        <v>0</v>
      </c>
      <c r="O54" s="718">
        <f>+landbouw!N12</f>
        <v>0</v>
      </c>
      <c r="P54" s="718">
        <f>+landbouw!O12</f>
        <v>0</v>
      </c>
      <c r="Q54" s="719">
        <f>+landbouw!P12</f>
        <v>0</v>
      </c>
      <c r="R54" s="747">
        <f ca="1">SUM(C54:Q54)</f>
        <v>157.21866841156228</v>
      </c>
    </row>
    <row r="55" spans="1:18" ht="15" thickBot="1">
      <c r="A55" s="850" t="s">
        <v>734</v>
      </c>
      <c r="B55" s="860"/>
      <c r="C55" s="718">
        <f ca="1">C25*'EF ele_warmte'!B12</f>
        <v>186.0766402960725</v>
      </c>
      <c r="D55" s="718"/>
      <c r="E55" s="718">
        <f>E25*EF_CO2_aardgas</f>
        <v>942.42516018000003</v>
      </c>
      <c r="F55" s="718"/>
      <c r="G55" s="718"/>
      <c r="H55" s="718"/>
      <c r="I55" s="718"/>
      <c r="J55" s="718"/>
      <c r="K55" s="718"/>
      <c r="L55" s="718"/>
      <c r="M55" s="718"/>
      <c r="N55" s="718"/>
      <c r="O55" s="718"/>
      <c r="P55" s="718"/>
      <c r="Q55" s="719"/>
      <c r="R55" s="747">
        <f ca="1">SUM(C55:Q55)</f>
        <v>1128.5018004760725</v>
      </c>
    </row>
    <row r="56" spans="1:18" ht="15.75" thickBot="1">
      <c r="A56" s="848" t="s">
        <v>735</v>
      </c>
      <c r="B56" s="861"/>
      <c r="C56" s="748">
        <f ca="1">SUM(C54:C55)</f>
        <v>210.61303461667424</v>
      </c>
      <c r="D56" s="748">
        <f t="shared" ref="D56:Q56" ca="1" si="7">SUM(D54:D55)</f>
        <v>0</v>
      </c>
      <c r="E56" s="748">
        <f t="shared" si="7"/>
        <v>952.04516697200006</v>
      </c>
      <c r="F56" s="748">
        <f t="shared" si="7"/>
        <v>0.83173855457526402</v>
      </c>
      <c r="G56" s="748">
        <f t="shared" si="7"/>
        <v>110.78047320163017</v>
      </c>
      <c r="H56" s="748">
        <f t="shared" si="7"/>
        <v>0</v>
      </c>
      <c r="I56" s="748">
        <f t="shared" si="7"/>
        <v>0</v>
      </c>
      <c r="J56" s="748">
        <f t="shared" si="7"/>
        <v>0</v>
      </c>
      <c r="K56" s="748">
        <f t="shared" si="7"/>
        <v>11.450055542755086</v>
      </c>
      <c r="L56" s="748">
        <f t="shared" si="7"/>
        <v>0</v>
      </c>
      <c r="M56" s="748">
        <f t="shared" si="7"/>
        <v>0</v>
      </c>
      <c r="N56" s="748">
        <f t="shared" si="7"/>
        <v>0</v>
      </c>
      <c r="O56" s="748">
        <f t="shared" si="7"/>
        <v>0</v>
      </c>
      <c r="P56" s="748">
        <f t="shared" si="7"/>
        <v>0</v>
      </c>
      <c r="Q56" s="749">
        <f t="shared" si="7"/>
        <v>0</v>
      </c>
      <c r="R56" s="750">
        <f ca="1">SUM(R54:R55)</f>
        <v>1285.7204688876348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10455.874858373905</v>
      </c>
      <c r="D61" s="756">
        <f t="shared" ref="D61:Q61" ca="1" si="8">D46+D52+D56</f>
        <v>449.15294117647068</v>
      </c>
      <c r="E61" s="756">
        <f t="shared" ca="1" si="8"/>
        <v>17620.420044239367</v>
      </c>
      <c r="F61" s="756">
        <f t="shared" si="8"/>
        <v>1145.2995419490128</v>
      </c>
      <c r="G61" s="756">
        <f t="shared" ca="1" si="8"/>
        <v>6014.7450973566347</v>
      </c>
      <c r="H61" s="756">
        <f t="shared" si="8"/>
        <v>13349.918691568171</v>
      </c>
      <c r="I61" s="756">
        <f t="shared" si="8"/>
        <v>3483.593258977874</v>
      </c>
      <c r="J61" s="756">
        <f t="shared" si="8"/>
        <v>0</v>
      </c>
      <c r="K61" s="756">
        <f t="shared" si="8"/>
        <v>13.713078753876147</v>
      </c>
      <c r="L61" s="756">
        <f t="shared" si="8"/>
        <v>0</v>
      </c>
      <c r="M61" s="756">
        <f t="shared" ca="1" si="8"/>
        <v>0</v>
      </c>
      <c r="N61" s="756">
        <f t="shared" si="8"/>
        <v>0</v>
      </c>
      <c r="O61" s="756">
        <f t="shared" ca="1" si="8"/>
        <v>0</v>
      </c>
      <c r="P61" s="756">
        <f t="shared" si="8"/>
        <v>0</v>
      </c>
      <c r="Q61" s="756">
        <f t="shared" si="8"/>
        <v>0</v>
      </c>
      <c r="R61" s="756">
        <f ca="1">R46+R52+R56</f>
        <v>52532.71751239532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0.20899646783759726</v>
      </c>
      <c r="D63" s="802">
        <f t="shared" ca="1" si="9"/>
        <v>0.23764705882352946</v>
      </c>
      <c r="E63" s="1008">
        <f t="shared" ca="1" si="9"/>
        <v>0.20199999999999996</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4139.9603063837403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1323</v>
      </c>
      <c r="D76" s="991">
        <f>'lokale energieproductie'!C8</f>
        <v>1556.4705882352941</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314.40705882352944</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4139.9603063837403</v>
      </c>
      <c r="C78" s="774">
        <f>SUM(C72:C77)</f>
        <v>1323</v>
      </c>
      <c r="D78" s="775">
        <f t="shared" ref="D78:H78" si="10">SUM(D76:D77)</f>
        <v>1556.4705882352941</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314.40705882352944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1890</v>
      </c>
      <c r="D87" s="798">
        <f>'lokale energieproductie'!C17</f>
        <v>2223.5294117647063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449.15294117647068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1890</v>
      </c>
      <c r="D90" s="774">
        <f t="shared" ref="D90:H90" si="12">SUM(D87:D89)</f>
        <v>2223.5294117647063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449.15294117647068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4139.9603063837403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1323</v>
      </c>
      <c r="C8" s="574">
        <f>B101</f>
        <v>1556.4705882352941</v>
      </c>
      <c r="D8" s="575"/>
      <c r="E8" s="575">
        <f>E101</f>
        <v>0</v>
      </c>
      <c r="F8" s="576"/>
      <c r="G8" s="577"/>
      <c r="H8" s="575">
        <f>I101</f>
        <v>0</v>
      </c>
      <c r="I8" s="575">
        <f>G101+F101</f>
        <v>0</v>
      </c>
      <c r="J8" s="575">
        <f>H101+D101+C101</f>
        <v>0</v>
      </c>
      <c r="K8" s="575"/>
      <c r="L8" s="575"/>
      <c r="M8" s="575"/>
      <c r="N8" s="578"/>
      <c r="O8" s="579">
        <f>C8*$C$12+D8*$D$12+E8*$E$12+F8*$F$12+G8*$G$12+H8*$H$12+I8*$I$12+J8*$J$12</f>
        <v>314.40705882352944</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5462.9603063837403</v>
      </c>
      <c r="C10" s="589">
        <f t="shared" ref="C10:L10" si="0">SUM(C8:C9)</f>
        <v>1556.4705882352941</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314.40705882352944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1890</v>
      </c>
      <c r="C17" s="605">
        <f>B102</f>
        <v>2223.5294117647063</v>
      </c>
      <c r="D17" s="606"/>
      <c r="E17" s="606">
        <f>E102</f>
        <v>0</v>
      </c>
      <c r="F17" s="607"/>
      <c r="G17" s="608"/>
      <c r="H17" s="605">
        <f>I102</f>
        <v>0</v>
      </c>
      <c r="I17" s="606">
        <f>G102+F102</f>
        <v>0</v>
      </c>
      <c r="J17" s="606">
        <f>H102+D102+C102</f>
        <v>0</v>
      </c>
      <c r="K17" s="606"/>
      <c r="L17" s="606"/>
      <c r="M17" s="606"/>
      <c r="N17" s="1005"/>
      <c r="O17" s="609">
        <f>C17*$C$22+E17*$E$22+H17*$H$22+I17*$I$22+J17*$J$22+D17*$D$22+F17*$F$22+G17*$G$22+K17*$K$22+L17*$L$22</f>
        <v>449.15294117647068</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1890</v>
      </c>
      <c r="C20" s="588">
        <f>SUM(C17:C19)</f>
        <v>2223.5294117647063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449.15294117647068</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71034</v>
      </c>
      <c r="C28" s="817">
        <v>3970</v>
      </c>
      <c r="D28" s="666" t="s">
        <v>882</v>
      </c>
      <c r="E28" s="665" t="s">
        <v>883</v>
      </c>
      <c r="F28" s="665" t="s">
        <v>884</v>
      </c>
      <c r="G28" s="665" t="s">
        <v>885</v>
      </c>
      <c r="H28" s="665" t="s">
        <v>886</v>
      </c>
      <c r="I28" s="665" t="s">
        <v>887</v>
      </c>
      <c r="J28" s="816">
        <v>38626</v>
      </c>
      <c r="K28" s="816">
        <v>39417</v>
      </c>
      <c r="L28" s="665" t="s">
        <v>888</v>
      </c>
      <c r="M28" s="665">
        <v>294</v>
      </c>
      <c r="N28" s="665">
        <v>1323</v>
      </c>
      <c r="O28" s="665">
        <v>1890</v>
      </c>
      <c r="P28" s="665">
        <v>3780.0000000000005</v>
      </c>
      <c r="Q28" s="665">
        <v>0</v>
      </c>
      <c r="R28" s="665">
        <v>0</v>
      </c>
      <c r="S28" s="665">
        <v>0</v>
      </c>
      <c r="T28" s="665">
        <v>0</v>
      </c>
      <c r="U28" s="665">
        <v>0</v>
      </c>
      <c r="V28" s="665">
        <v>0</v>
      </c>
      <c r="W28" s="665">
        <v>0</v>
      </c>
      <c r="X28" s="665">
        <v>1300</v>
      </c>
      <c r="Y28" s="665" t="s">
        <v>53</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294</v>
      </c>
      <c r="N58" s="623">
        <f>SUM(N28:N57)</f>
        <v>1323</v>
      </c>
      <c r="O58" s="623">
        <f t="shared" ref="O58:W58" si="2">SUM(O28:O57)</f>
        <v>1890</v>
      </c>
      <c r="P58" s="623">
        <f t="shared" si="2"/>
        <v>3780.0000000000005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294</v>
      </c>
      <c r="N60" s="623">
        <f ca="1">SUMIF($Z$28:AD57,"tertiair",N28:N57)</f>
        <v>1323</v>
      </c>
      <c r="O60" s="623">
        <f ca="1">SUMIF($Z$28:AE57,"tertiair",O28:O57)</f>
        <v>1890</v>
      </c>
      <c r="P60" s="623">
        <f ca="1">SUMIF($Z$28:AF57,"tertiair",P28:P57)</f>
        <v>3780.0000000000005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1556.4705882352941</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2223.5294117647063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26733.023318518317</v>
      </c>
      <c r="C4" s="478">
        <f>huishoudens!C8</f>
        <v>0</v>
      </c>
      <c r="D4" s="478">
        <f>huishoudens!D8</f>
        <v>49345.646350000003</v>
      </c>
      <c r="E4" s="478">
        <f>huishoudens!E8</f>
        <v>4407.8317878557491</v>
      </c>
      <c r="F4" s="478">
        <f>huishoudens!F8</f>
        <v>19247.170395429657</v>
      </c>
      <c r="G4" s="478">
        <f>huishoudens!G8</f>
        <v>0</v>
      </c>
      <c r="H4" s="478">
        <f>huishoudens!H8</f>
        <v>0</v>
      </c>
      <c r="I4" s="478">
        <f>huishoudens!I8</f>
        <v>0</v>
      </c>
      <c r="J4" s="478">
        <f>huishoudens!J8</f>
        <v>0</v>
      </c>
      <c r="K4" s="478">
        <f>huishoudens!K8</f>
        <v>0</v>
      </c>
      <c r="L4" s="478">
        <f>huishoudens!L8</f>
        <v>0</v>
      </c>
      <c r="M4" s="478">
        <f>huishoudens!M8</f>
        <v>0</v>
      </c>
      <c r="N4" s="478">
        <f>huishoudens!N8</f>
        <v>7966.9286635745384</v>
      </c>
      <c r="O4" s="478">
        <f>huishoudens!O8</f>
        <v>392.82372743863232</v>
      </c>
      <c r="P4" s="479">
        <f>huishoudens!P8</f>
        <v>558.29984330730622</v>
      </c>
      <c r="Q4" s="480">
        <f>SUM(B4:P4)</f>
        <v>108651.7240861242</v>
      </c>
    </row>
    <row r="5" spans="1:17">
      <c r="A5" s="477" t="s">
        <v>155</v>
      </c>
      <c r="B5" s="478">
        <f ca="1">tertiair!B16</f>
        <v>19744.352374999999</v>
      </c>
      <c r="C5" s="478">
        <f ca="1">tertiair!C16</f>
        <v>1890</v>
      </c>
      <c r="D5" s="478">
        <f ca="1">tertiair!D16</f>
        <v>31798.499716078004</v>
      </c>
      <c r="E5" s="478">
        <f>tertiair!E16</f>
        <v>249.2725213453389</v>
      </c>
      <c r="F5" s="478">
        <f ca="1">tertiair!F16</f>
        <v>2108.3910857245387</v>
      </c>
      <c r="G5" s="478">
        <f>tertiair!G16</f>
        <v>0</v>
      </c>
      <c r="H5" s="478">
        <f>tertiair!H16</f>
        <v>0</v>
      </c>
      <c r="I5" s="478">
        <f>tertiair!I16</f>
        <v>0</v>
      </c>
      <c r="J5" s="478">
        <f>tertiair!J16</f>
        <v>1.5221909461732892E-2</v>
      </c>
      <c r="K5" s="478">
        <f>tertiair!K16</f>
        <v>0</v>
      </c>
      <c r="L5" s="478">
        <f ca="1">tertiair!L16</f>
        <v>0</v>
      </c>
      <c r="M5" s="478">
        <f>tertiair!M16</f>
        <v>0</v>
      </c>
      <c r="N5" s="478">
        <f ca="1">tertiair!N16</f>
        <v>606.36869847972173</v>
      </c>
      <c r="O5" s="478">
        <f>tertiair!O16</f>
        <v>0</v>
      </c>
      <c r="P5" s="479">
        <f>tertiair!P16</f>
        <v>105.07827661299004</v>
      </c>
      <c r="Q5" s="477">
        <f t="shared" ref="Q5:Q14" ca="1" si="0">SUM(B5:P5)</f>
        <v>56501.977895150056</v>
      </c>
    </row>
    <row r="6" spans="1:17">
      <c r="A6" s="477" t="s">
        <v>193</v>
      </c>
      <c r="B6" s="478">
        <f>'openbare verlichting'!B8</f>
        <v>849.16</v>
      </c>
      <c r="C6" s="478"/>
      <c r="D6" s="478"/>
      <c r="E6" s="478"/>
      <c r="F6" s="478"/>
      <c r="G6" s="478"/>
      <c r="H6" s="478"/>
      <c r="I6" s="478"/>
      <c r="J6" s="478"/>
      <c r="K6" s="478"/>
      <c r="L6" s="478"/>
      <c r="M6" s="478"/>
      <c r="N6" s="478"/>
      <c r="O6" s="478"/>
      <c r="P6" s="479"/>
      <c r="Q6" s="477">
        <f t="shared" si="0"/>
        <v>849.16</v>
      </c>
    </row>
    <row r="7" spans="1:17">
      <c r="A7" s="477" t="s">
        <v>111</v>
      </c>
      <c r="B7" s="478">
        <f>landbouw!B8</f>
        <v>117.401</v>
      </c>
      <c r="C7" s="478">
        <f>landbouw!C8</f>
        <v>0</v>
      </c>
      <c r="D7" s="478">
        <f>landbouw!D8</f>
        <v>47.623796000000006</v>
      </c>
      <c r="E7" s="478">
        <f>landbouw!E8</f>
        <v>3.6640464959262733</v>
      </c>
      <c r="F7" s="478">
        <f>landbouw!F8</f>
        <v>414.90813933194818</v>
      </c>
      <c r="G7" s="478">
        <f>landbouw!G8</f>
        <v>0</v>
      </c>
      <c r="H7" s="478">
        <f>landbouw!H8</f>
        <v>0</v>
      </c>
      <c r="I7" s="478">
        <f>landbouw!I8</f>
        <v>0</v>
      </c>
      <c r="J7" s="478">
        <f>landbouw!J8</f>
        <v>32.344789668799677</v>
      </c>
      <c r="K7" s="478">
        <f>landbouw!K8</f>
        <v>0</v>
      </c>
      <c r="L7" s="478">
        <f>landbouw!L8</f>
        <v>0</v>
      </c>
      <c r="M7" s="478">
        <f>landbouw!M8</f>
        <v>0</v>
      </c>
      <c r="N7" s="478">
        <f>landbouw!N8</f>
        <v>0</v>
      </c>
      <c r="O7" s="478">
        <f>landbouw!O8</f>
        <v>0</v>
      </c>
      <c r="P7" s="479">
        <f>landbouw!P8</f>
        <v>0</v>
      </c>
      <c r="Q7" s="477">
        <f t="shared" si="0"/>
        <v>615.94177149667416</v>
      </c>
    </row>
    <row r="8" spans="1:17">
      <c r="A8" s="477" t="s">
        <v>629</v>
      </c>
      <c r="B8" s="478">
        <f>industrie!B18</f>
        <v>1650.0188000000003</v>
      </c>
      <c r="C8" s="478">
        <f>industrie!C18</f>
        <v>0</v>
      </c>
      <c r="D8" s="478">
        <f>industrie!D18</f>
        <v>1184.2309292</v>
      </c>
      <c r="E8" s="478">
        <f>industrie!E18</f>
        <v>240.59339013394137</v>
      </c>
      <c r="F8" s="478">
        <f>industrie!F18</f>
        <v>756.665575606115</v>
      </c>
      <c r="G8" s="478">
        <f>industrie!G18</f>
        <v>0</v>
      </c>
      <c r="H8" s="478">
        <f>industrie!H18</f>
        <v>0</v>
      </c>
      <c r="I8" s="478">
        <f>industrie!I18</f>
        <v>0</v>
      </c>
      <c r="J8" s="478">
        <f>industrie!J18</f>
        <v>6.3774990259084952</v>
      </c>
      <c r="K8" s="478">
        <f>industrie!K18</f>
        <v>0</v>
      </c>
      <c r="L8" s="478">
        <f>industrie!L18</f>
        <v>0</v>
      </c>
      <c r="M8" s="478">
        <f>industrie!M18</f>
        <v>0</v>
      </c>
      <c r="N8" s="478">
        <f>industrie!N18</f>
        <v>94.106560017300822</v>
      </c>
      <c r="O8" s="478">
        <f>industrie!O18</f>
        <v>0</v>
      </c>
      <c r="P8" s="479">
        <f>industrie!P18</f>
        <v>0</v>
      </c>
      <c r="Q8" s="477">
        <f t="shared" si="0"/>
        <v>3931.9927539832661</v>
      </c>
    </row>
    <row r="9" spans="1:17" s="483" customFormat="1">
      <c r="A9" s="481" t="s">
        <v>555</v>
      </c>
      <c r="B9" s="482">
        <f>transport!B14</f>
        <v>44.665480966666671</v>
      </c>
      <c r="C9" s="482">
        <f>transport!C14</f>
        <v>0</v>
      </c>
      <c r="D9" s="482">
        <f>transport!D14</f>
        <v>188.33031792677667</v>
      </c>
      <c r="E9" s="482">
        <f>transport!E14</f>
        <v>144.01068566249305</v>
      </c>
      <c r="F9" s="482">
        <f>transport!F14</f>
        <v>0</v>
      </c>
      <c r="G9" s="482">
        <f>transport!G14</f>
        <v>48880.814231408331</v>
      </c>
      <c r="H9" s="482">
        <f>transport!H14</f>
        <v>13990.334373405116</v>
      </c>
      <c r="I9" s="482">
        <f>transport!I14</f>
        <v>0</v>
      </c>
      <c r="J9" s="482">
        <f>transport!J14</f>
        <v>0</v>
      </c>
      <c r="K9" s="482">
        <f>transport!K14</f>
        <v>0</v>
      </c>
      <c r="L9" s="482">
        <f>transport!L14</f>
        <v>0</v>
      </c>
      <c r="M9" s="482">
        <f>transport!M14</f>
        <v>3738.1678792579405</v>
      </c>
      <c r="N9" s="482">
        <f>transport!N14</f>
        <v>0</v>
      </c>
      <c r="O9" s="482">
        <f>transport!O14</f>
        <v>0</v>
      </c>
      <c r="P9" s="482">
        <f>transport!P14</f>
        <v>0</v>
      </c>
      <c r="Q9" s="481">
        <f>SUM(B9:P9)</f>
        <v>66986.322968627326</v>
      </c>
    </row>
    <row r="10" spans="1:17">
      <c r="A10" s="477" t="s">
        <v>545</v>
      </c>
      <c r="B10" s="478">
        <f>transport!B54</f>
        <v>0</v>
      </c>
      <c r="C10" s="478">
        <f>transport!C54</f>
        <v>0</v>
      </c>
      <c r="D10" s="478">
        <f>transport!D54</f>
        <v>0</v>
      </c>
      <c r="E10" s="478">
        <f>transport!E54</f>
        <v>0</v>
      </c>
      <c r="F10" s="478">
        <f>transport!F54</f>
        <v>0</v>
      </c>
      <c r="G10" s="478">
        <f>transport!G54</f>
        <v>1118.8812426297595</v>
      </c>
      <c r="H10" s="478">
        <f>transport!H54</f>
        <v>0</v>
      </c>
      <c r="I10" s="478">
        <f>transport!I54</f>
        <v>0</v>
      </c>
      <c r="J10" s="478">
        <f>transport!J54</f>
        <v>0</v>
      </c>
      <c r="K10" s="478">
        <f>transport!K54</f>
        <v>0</v>
      </c>
      <c r="L10" s="478">
        <f>transport!L54</f>
        <v>0</v>
      </c>
      <c r="M10" s="478">
        <f>transport!M54</f>
        <v>62.187543262770724</v>
      </c>
      <c r="N10" s="478">
        <f>transport!N54</f>
        <v>0</v>
      </c>
      <c r="O10" s="478">
        <f>transport!O54</f>
        <v>0</v>
      </c>
      <c r="P10" s="479">
        <f>transport!P54</f>
        <v>0</v>
      </c>
      <c r="Q10" s="477">
        <f t="shared" si="0"/>
        <v>1181.0687858925303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890.33389999999997</v>
      </c>
      <c r="C14" s="485"/>
      <c r="D14" s="485">
        <f>'SEAP template'!E25</f>
        <v>4665.47109</v>
      </c>
      <c r="E14" s="485"/>
      <c r="F14" s="485"/>
      <c r="G14" s="485"/>
      <c r="H14" s="485"/>
      <c r="I14" s="485"/>
      <c r="J14" s="485"/>
      <c r="K14" s="485"/>
      <c r="L14" s="485"/>
      <c r="M14" s="485"/>
      <c r="N14" s="485"/>
      <c r="O14" s="485"/>
      <c r="P14" s="486"/>
      <c r="Q14" s="477">
        <f t="shared" si="0"/>
        <v>5555.8049899999996</v>
      </c>
    </row>
    <row r="15" spans="1:17" s="489" customFormat="1">
      <c r="A15" s="487" t="s">
        <v>549</v>
      </c>
      <c r="B15" s="488">
        <f ca="1">SUM(B4:B14)</f>
        <v>50028.954874484982</v>
      </c>
      <c r="C15" s="488">
        <f t="shared" ref="C15:Q15" ca="1" si="1">SUM(C4:C14)</f>
        <v>1890</v>
      </c>
      <c r="D15" s="488">
        <f t="shared" ca="1" si="1"/>
        <v>87229.802199204802</v>
      </c>
      <c r="E15" s="488">
        <f t="shared" si="1"/>
        <v>5045.3724314934489</v>
      </c>
      <c r="F15" s="488">
        <f t="shared" ca="1" si="1"/>
        <v>22527.135196092258</v>
      </c>
      <c r="G15" s="488">
        <f t="shared" si="1"/>
        <v>49999.69547403809</v>
      </c>
      <c r="H15" s="488">
        <f t="shared" si="1"/>
        <v>13990.334373405116</v>
      </c>
      <c r="I15" s="488">
        <f t="shared" si="1"/>
        <v>0</v>
      </c>
      <c r="J15" s="488">
        <f t="shared" si="1"/>
        <v>38.737510604169898</v>
      </c>
      <c r="K15" s="488">
        <f t="shared" si="1"/>
        <v>0</v>
      </c>
      <c r="L15" s="488">
        <f t="shared" ca="1" si="1"/>
        <v>0</v>
      </c>
      <c r="M15" s="488">
        <f t="shared" si="1"/>
        <v>3800.3554225207113</v>
      </c>
      <c r="N15" s="488">
        <f t="shared" ca="1" si="1"/>
        <v>8667.4039220715604</v>
      </c>
      <c r="O15" s="488">
        <f t="shared" si="1"/>
        <v>392.82372743863232</v>
      </c>
      <c r="P15" s="488">
        <f t="shared" si="1"/>
        <v>663.37811992029629</v>
      </c>
      <c r="Q15" s="488">
        <f t="shared" ca="1" si="1"/>
        <v>244273.99325127408</v>
      </c>
    </row>
    <row r="17" spans="1:17">
      <c r="A17" s="490" t="s">
        <v>550</v>
      </c>
      <c r="B17" s="807">
        <f ca="1">huishoudens!B10</f>
        <v>0.20899646783759723</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5587.1074481904507</v>
      </c>
      <c r="C22" s="478">
        <f t="shared" ref="C22:C32" ca="1" si="3">C4*$C$17</f>
        <v>0</v>
      </c>
      <c r="D22" s="478">
        <f t="shared" ref="D22:D32" si="4">D4*$D$17</f>
        <v>9967.8205627000007</v>
      </c>
      <c r="E22" s="478">
        <f t="shared" ref="E22:E32" si="5">E4*$E$17</f>
        <v>1000.5778158432551</v>
      </c>
      <c r="F22" s="478">
        <f t="shared" ref="F22:F32" si="6">F4*$F$17</f>
        <v>5138.9944955797191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21694.500322313426</v>
      </c>
    </row>
    <row r="23" spans="1:17">
      <c r="A23" s="477" t="s">
        <v>155</v>
      </c>
      <c r="B23" s="478">
        <f t="shared" ca="1" si="2"/>
        <v>4126.4999061158742</v>
      </c>
      <c r="C23" s="478">
        <f t="shared" ca="1" si="3"/>
        <v>449.15294117647068</v>
      </c>
      <c r="D23" s="478">
        <f t="shared" ca="1" si="4"/>
        <v>6423.2969426477575</v>
      </c>
      <c r="E23" s="478">
        <f t="shared" si="5"/>
        <v>56.584862345391933</v>
      </c>
      <c r="F23" s="478">
        <f t="shared" ca="1" si="6"/>
        <v>562.94041988845186</v>
      </c>
      <c r="G23" s="478">
        <f t="shared" si="7"/>
        <v>0</v>
      </c>
      <c r="H23" s="478">
        <f t="shared" si="8"/>
        <v>0</v>
      </c>
      <c r="I23" s="478">
        <f t="shared" si="9"/>
        <v>0</v>
      </c>
      <c r="J23" s="478">
        <f t="shared" si="10"/>
        <v>5.3885559494534436E-3</v>
      </c>
      <c r="K23" s="478">
        <f t="shared" si="11"/>
        <v>0</v>
      </c>
      <c r="L23" s="478">
        <f t="shared" ca="1" si="12"/>
        <v>0</v>
      </c>
      <c r="M23" s="478">
        <f t="shared" si="13"/>
        <v>0</v>
      </c>
      <c r="N23" s="478">
        <f t="shared" ca="1" si="14"/>
        <v>0</v>
      </c>
      <c r="O23" s="478">
        <f t="shared" si="15"/>
        <v>0</v>
      </c>
      <c r="P23" s="479">
        <f t="shared" si="16"/>
        <v>0</v>
      </c>
      <c r="Q23" s="477">
        <f t="shared" ref="Q23:Q31" ca="1" si="17">SUM(B23:P23)</f>
        <v>11618.480460729896</v>
      </c>
    </row>
    <row r="24" spans="1:17">
      <c r="A24" s="477" t="s">
        <v>193</v>
      </c>
      <c r="B24" s="478">
        <f t="shared" ca="1" si="2"/>
        <v>177.47144062897405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177.47144062897405</v>
      </c>
    </row>
    <row r="25" spans="1:17">
      <c r="A25" s="477" t="s">
        <v>111</v>
      </c>
      <c r="B25" s="478">
        <f t="shared" ca="1" si="2"/>
        <v>24.536394320601751</v>
      </c>
      <c r="C25" s="478">
        <f t="shared" ca="1" si="3"/>
        <v>0</v>
      </c>
      <c r="D25" s="478">
        <f t="shared" si="4"/>
        <v>9.6200067920000016</v>
      </c>
      <c r="E25" s="478">
        <f t="shared" si="5"/>
        <v>0.83173855457526402</v>
      </c>
      <c r="F25" s="478">
        <f t="shared" si="6"/>
        <v>110.78047320163017</v>
      </c>
      <c r="G25" s="478">
        <f t="shared" si="7"/>
        <v>0</v>
      </c>
      <c r="H25" s="478">
        <f t="shared" si="8"/>
        <v>0</v>
      </c>
      <c r="I25" s="478">
        <f t="shared" si="9"/>
        <v>0</v>
      </c>
      <c r="J25" s="478">
        <f t="shared" si="10"/>
        <v>11.450055542755086</v>
      </c>
      <c r="K25" s="478">
        <f t="shared" si="11"/>
        <v>0</v>
      </c>
      <c r="L25" s="478">
        <f t="shared" si="12"/>
        <v>0</v>
      </c>
      <c r="M25" s="478">
        <f t="shared" si="13"/>
        <v>0</v>
      </c>
      <c r="N25" s="478">
        <f t="shared" si="14"/>
        <v>0</v>
      </c>
      <c r="O25" s="478">
        <f t="shared" si="15"/>
        <v>0</v>
      </c>
      <c r="P25" s="479">
        <f t="shared" si="16"/>
        <v>0</v>
      </c>
      <c r="Q25" s="477">
        <f t="shared" ca="1" si="17"/>
        <v>157.21866841156228</v>
      </c>
    </row>
    <row r="26" spans="1:17">
      <c r="A26" s="477" t="s">
        <v>629</v>
      </c>
      <c r="B26" s="478">
        <f t="shared" ca="1" si="2"/>
        <v>344.84810106563083</v>
      </c>
      <c r="C26" s="478">
        <f t="shared" ca="1" si="3"/>
        <v>0</v>
      </c>
      <c r="D26" s="478">
        <f t="shared" si="4"/>
        <v>239.2146476984</v>
      </c>
      <c r="E26" s="478">
        <f t="shared" si="5"/>
        <v>54.614699560404695</v>
      </c>
      <c r="F26" s="478">
        <f t="shared" si="6"/>
        <v>202.02970868683272</v>
      </c>
      <c r="G26" s="478">
        <f t="shared" si="7"/>
        <v>0</v>
      </c>
      <c r="H26" s="478">
        <f t="shared" si="8"/>
        <v>0</v>
      </c>
      <c r="I26" s="478">
        <f t="shared" si="9"/>
        <v>0</v>
      </c>
      <c r="J26" s="478">
        <f t="shared" si="10"/>
        <v>2.2576346551716071</v>
      </c>
      <c r="K26" s="478">
        <f t="shared" si="11"/>
        <v>0</v>
      </c>
      <c r="L26" s="478">
        <f t="shared" si="12"/>
        <v>0</v>
      </c>
      <c r="M26" s="478">
        <f t="shared" si="13"/>
        <v>0</v>
      </c>
      <c r="N26" s="478">
        <f t="shared" si="14"/>
        <v>0</v>
      </c>
      <c r="O26" s="478">
        <f t="shared" si="15"/>
        <v>0</v>
      </c>
      <c r="P26" s="479">
        <f t="shared" si="16"/>
        <v>0</v>
      </c>
      <c r="Q26" s="477">
        <f t="shared" ca="1" si="17"/>
        <v>842.96479166643985</v>
      </c>
    </row>
    <row r="27" spans="1:17" s="483" customFormat="1">
      <c r="A27" s="481" t="s">
        <v>555</v>
      </c>
      <c r="B27" s="801">
        <f t="shared" ca="1" si="2"/>
        <v>9.3349277563007629</v>
      </c>
      <c r="C27" s="482">
        <f t="shared" ca="1" si="3"/>
        <v>0</v>
      </c>
      <c r="D27" s="482">
        <f t="shared" si="4"/>
        <v>38.042724221208893</v>
      </c>
      <c r="E27" s="482">
        <f t="shared" si="5"/>
        <v>32.690425645385922</v>
      </c>
      <c r="F27" s="482">
        <f t="shared" si="6"/>
        <v>0</v>
      </c>
      <c r="G27" s="482">
        <f t="shared" si="7"/>
        <v>13051.177399786025</v>
      </c>
      <c r="H27" s="482">
        <f t="shared" si="8"/>
        <v>3483.593258977874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16614.838736386795</v>
      </c>
    </row>
    <row r="28" spans="1:17" ht="16.5" customHeight="1">
      <c r="A28" s="477" t="s">
        <v>545</v>
      </c>
      <c r="B28" s="478">
        <f t="shared" ca="1" si="2"/>
        <v>0</v>
      </c>
      <c r="C28" s="478">
        <f t="shared" ca="1" si="3"/>
        <v>0</v>
      </c>
      <c r="D28" s="478">
        <f t="shared" si="4"/>
        <v>0</v>
      </c>
      <c r="E28" s="478">
        <f t="shared" si="5"/>
        <v>0</v>
      </c>
      <c r="F28" s="478">
        <f t="shared" si="6"/>
        <v>0</v>
      </c>
      <c r="G28" s="478">
        <f t="shared" si="7"/>
        <v>298.74129178214582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298.74129178214582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186.0766402960725</v>
      </c>
      <c r="C32" s="478">
        <f t="shared" ca="1" si="3"/>
        <v>0</v>
      </c>
      <c r="D32" s="478">
        <f t="shared" si="4"/>
        <v>942.42516018000003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1128.5018004760725</v>
      </c>
    </row>
    <row r="33" spans="1:17" s="489" customFormat="1">
      <c r="A33" s="487" t="s">
        <v>549</v>
      </c>
      <c r="B33" s="488">
        <f ca="1">SUM(B22:B32)</f>
        <v>10455.874858373905</v>
      </c>
      <c r="C33" s="488">
        <f t="shared" ref="C33:Q33" ca="1" si="19">SUM(C22:C32)</f>
        <v>449.15294117647068</v>
      </c>
      <c r="D33" s="488">
        <f t="shared" ca="1" si="19"/>
        <v>17620.420044239367</v>
      </c>
      <c r="E33" s="488">
        <f t="shared" si="19"/>
        <v>1145.2995419490128</v>
      </c>
      <c r="F33" s="488">
        <f t="shared" ca="1" si="19"/>
        <v>6014.7450973566347</v>
      </c>
      <c r="G33" s="488">
        <f t="shared" si="19"/>
        <v>13349.918691568171</v>
      </c>
      <c r="H33" s="488">
        <f t="shared" si="19"/>
        <v>3483.593258977874</v>
      </c>
      <c r="I33" s="488">
        <f t="shared" si="19"/>
        <v>0</v>
      </c>
      <c r="J33" s="488">
        <f t="shared" si="19"/>
        <v>13.713078753876147</v>
      </c>
      <c r="K33" s="488">
        <f t="shared" si="19"/>
        <v>0</v>
      </c>
      <c r="L33" s="488">
        <f t="shared" ca="1" si="19"/>
        <v>0</v>
      </c>
      <c r="M33" s="488">
        <f t="shared" si="19"/>
        <v>0</v>
      </c>
      <c r="N33" s="488">
        <f t="shared" ca="1" si="19"/>
        <v>0</v>
      </c>
      <c r="O33" s="488">
        <f t="shared" si="19"/>
        <v>0</v>
      </c>
      <c r="P33" s="488">
        <f t="shared" si="19"/>
        <v>0</v>
      </c>
      <c r="Q33" s="488">
        <f t="shared" ca="1" si="19"/>
        <v>52532.717512395313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4139.9603063837403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1323</v>
      </c>
      <c r="D8" s="1062">
        <f>'SEAP template'!D76</f>
        <v>1556.4705882352941</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314.40705882352944</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4139.9603063837403</v>
      </c>
      <c r="C10" s="1064">
        <f>SUM(C4:C9)</f>
        <v>1323</v>
      </c>
      <c r="D10" s="1064">
        <f t="shared" ref="D10:H10" si="0">SUM(D8:D9)</f>
        <v>1556.4705882352941</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314.40705882352944</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0.20899646783759723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1890</v>
      </c>
      <c r="D17" s="1063">
        <f>'SEAP template'!D87</f>
        <v>2223.5294117647063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449.15294117647068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1890</v>
      </c>
      <c r="D20" s="1064">
        <f t="shared" ref="D20:H20" si="2">SUM(D17:D19)</f>
        <v>2223.5294117647063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449.15294117647068</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0.20899646783759723</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2019-06-29T17:11:34Z</dcterms:modified>
</cp:coreProperties>
</file>