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10" i="17"/>
  <c r="C12" s="1"/>
  <c r="D54" i="14" s="1"/>
  <c r="D56" s="1"/>
  <c r="C20" i="16"/>
  <c r="C22" s="1"/>
  <c r="D43" i="14" s="1"/>
  <c r="C56" i="22"/>
  <c r="C58" s="1"/>
  <c r="D49" i="14" s="1"/>
  <c r="D52" s="1"/>
  <c r="C16" i="22"/>
  <c r="C17" i="19"/>
  <c r="C19" s="1"/>
  <c r="D39" i="14"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<sst xmlns="http://schemas.openxmlformats.org/spreadsheetml/2006/main" count="2428" uniqueCount="909">
  <si>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</si>
  <si>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</si>
  <si>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</si>
  <si>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</si>
  <si>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</si>
  <si>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</si>
  <si>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</si>
  <si>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</si>
  <si>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</si>
  <si>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</si>
  <si>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</si>
  <si>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</si>
  <si>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</si>
  <si>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</si>
  <si>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</si>
  <si>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</si>
  <si>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</si>
  <si>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</si>
  <si>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</si>
  <si>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</si>
  <si>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</si>
  <si>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</si>
  <si>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</si>
  <si>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</si>
  <si>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</si>
  <si>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</si>
  <si>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</si>
  <si>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</si>
  <si>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</si>
  <si>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</si>
  <si>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</si>
  <si>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</si>
  <si>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</si>
  <si>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</si>
  <si>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</si>
  <si>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</si>
  <si>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</si>
  <si>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</si>
  <si>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</si>
  <si>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</si>
  <si>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</si>
  <si>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</si>
  <si>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</si>
  <si>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</si>
  <si>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</si>
  <si>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</si>
  <si>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</si>
  <si>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</si>
  <si>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</si>
  <si>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</si>
  <si>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</si>
  <si>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</si>
  <si>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</si>
  <si>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</si>
  <si>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</si>
  <si>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</si>
  <si>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</si>
  <si>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</si>
  <si>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</si>
  <si>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</si>
  <si>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</si>
  <si>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</si>
  <si>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</si>
  <si>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</si>
  <si>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</si>
  <si>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</si>
  <si>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</si>
  <si>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</si>
  <si>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</si>
  <si>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</si>
  <si>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</si>
  <si>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</si>
  <si>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</si>
  <si>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</si>
  <si>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</si>
  <si>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</si>
  <si>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</si>
  <si>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</si>
  <si>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</si>
  <si>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</si>
  <si>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</si>
  <si>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</si>
  <si>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</si>
  <si>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</si>
  <si>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</si>
  <si>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</si>
  <si>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</si>
  <si>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</si>
  <si>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</si>
  <si>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</si>
  <si>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</si>
  <si>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</si>
  <si>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</si>
  <si>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</si>
  <si>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</si>
  <si>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</si>
  <si>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</si>
  <si>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</si>
  <si>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</si>
  <si>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</si>
  <si>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</si>
  <si>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</si>
  <si>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</si>
  <si>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</si>
  <si>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</si>
  <si>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</si>
  <si>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</si>
  <si>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</si>
  <si>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</si>
  <si>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</si>
  <si>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</si>
  <si>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</si>
  <si>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</si>
  <si>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</si>
  <si>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</si>
  <si>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</si>
  <si>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</si>
  <si>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</si>
  <si>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</si>
  <si>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</si>
  <si>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</si>
  <si>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</si>
  <si>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</si>
  <si>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</si>
  <si>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</si>
  <si>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</si>
  <si>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</si>
  <si>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</si>
  <si>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</si>
  <si>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</si>
  <si>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</si>
  <si>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</si>
  <si>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</si>
  <si>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</si>
  <si>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</si>
  <si>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</si>
  <si>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</si>
  <si>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</si>
  <si>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</si>
  <si>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</si>
  <si>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</si>
  <si>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</si>
  <si>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</si>
  <si>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</si>
  <si>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</si>
  <si>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</si>
  <si>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</si>
  <si>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</si>
  <si>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</si>
  <si>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</si>
  <si>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</si>
  <si>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</si>
  <si>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</si>
  <si>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</si>
  <si>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</si>
  <si>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</si>
  <si>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</si>
  <si>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</si>
  <si>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</si>
  <si>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</si>
  <si>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</si>
  <si>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</si>
  <si>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</si>
  <si>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</si>
  <si>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</si>
  <si>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</si>
  <si>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</si>
  <si>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</si>
  <si>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</si>
  <si>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</si>
  <si>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</si>
  <si>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</si>
  <si>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</si>
  <si>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</si>
  <si>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</si>
  <si>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</si>
  <si>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</si>
  <si>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</si>
  <si>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</si>
  <si>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</si>
  <si>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</si>
  <si>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</si>
  <si>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</si>
  <si>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</si>
  <si>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</si>
  <si>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</si>
  <si>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</si>
  <si>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</si>
  <si>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</si>
  <si>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</si>
  <si>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</si>
  <si>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</si>
  <si>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</si>
  <si>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</si>
  <si>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</si>
  <si>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</si>
  <si>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</si>
  <si>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</si>
  <si>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</si>
  <si>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</si>
  <si>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</si>
  <si>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</si>
  <si>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</si>
  <si>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</si>
  <si>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</si>
  <si>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</si>
  <si>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</si>
  <si>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</si>
  <si>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</si>
  <si>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</si>
  <si>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</si>
  <si>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</si>
  <si>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</si>
  <si>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</si>
  <si>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</si>
  <si>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</si>
  <si>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</si>
  <si>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</si>
  <si>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</si>
  <si>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</si>
  <si>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</si>
  <si>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</si>
  <si>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</si>
  <si>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</si>
  <si>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</si>
  <si>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</si>
  <si>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</si>
  <si>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</si>
  <si>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</si>
  <si>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</si>
  <si>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</si>
  <si>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</si>
  <si>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</si>
  <si>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</si>
  <si>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</si>
  <si>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</si>
  <si>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</si>
  <si>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</si>
  <si>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</si>
  <si>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</si>
  <si>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</si>
  <si>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</si>
  <si>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</si>
  <si>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</si>
  <si>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</si>
  <si>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</si>
  <si>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</si>
  <si>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</si>
  <si>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</si>
  <si>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</si>
  <si>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</si>
  <si>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</si>
  <si>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</si>
  <si>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</si>
  <si>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</si>
  <si>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</si>
  <si>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</si>
  <si>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</si>
  <si>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</si>
  <si>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</si>
  <si>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</si>
  <si>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</si>
  <si>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</si>
  <si>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</si>
  <si>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</si>
  <si>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</si>
  <si>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</si>
  <si>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</si>
  <si>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</si>
  <si>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</si>
  <si>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</si>
  <si>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</si>
  <si>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</si>
  <si>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</si>
  <si>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</si>
  <si>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</si>
  <si>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</si>
  <si>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</si>
  <si>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</si>
  <si>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</si>
  <si>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</si>
  <si>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</si>
  <si>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</si>
  <si>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</si>
  <si>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</si>
  <si>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</si>
  <si>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</si>
  <si>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</si>
  <si>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</si>
  <si>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</si>
  <si>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</si>
  <si>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</si>
  <si>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</si>
  <si>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</si>
  <si>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</si>
  <si>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</si>
  <si>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</si>
  <si>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</si>
  <si>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</si>
  <si>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</si>
  <si>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</si>
  <si>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</si>
  <si>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</si>
  <si>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</si>
  <si>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</si>
  <si>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</si>
  <si>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</si>
  <si>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</si>
  <si>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</si>
  <si>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</si>
  <si>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</si>
  <si>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</si>
  <si>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</si>
  <si>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</si>
  <si>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</si>
  <si>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</si>
  <si>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</si>
  <si>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</si>
  <si>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</si>
  <si>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</si>
  <si>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</si>
  <si>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</si>
  <si>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</si>
  <si>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</si>
  <si>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</si>
  <si>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</si>
  <si>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</si>
  <si>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</si>
  <si>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</si>
  <si>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</si>
  <si>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</si>
  <si>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</si>
  <si>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</si>
  <si>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</si>
  <si>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</si>
  <si>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</si>
  <si>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</si>
  <si>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</si>
  <si>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</si>
  <si>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</si>
  <si>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</si>
  <si>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</si>
  <si>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</si>
  <si>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</si>
  <si>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</si>
  <si>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</si>
  <si>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</si>
  <si>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</si>
  <si>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</si>
  <si>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</si>
  <si>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</si>
  <si>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</si>
  <si>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</si>
  <si>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</si>
  <si>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</si>
  <si>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</si>
  <si>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</si>
  <si>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</si>
  <si>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</si>
  <si>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</si>
  <si>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</si>
  <si>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</si>
  <si>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</si>
  <si>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</si>
  <si>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</si>
  <si>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</si>
  <si>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</si>
  <si>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</si>
  <si>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</si>
  <si>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</si>
  <si>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</si>
  <si>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</si>
  <si>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</si>
  <si>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</si>
  <si>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</si>
  <si>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</si>
  <si>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</si>
  <si>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</si>
  <si>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</si>
  <si>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</si>
  <si>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</si>
  <si>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</si>
  <si>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</si>
  <si>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</si>
  <si>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</si>
  <si>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</si>
  <si>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</si>
  <si>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</si>
  <si>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</si>
  <si>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</si>
  <si>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</si>
  <si>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</si>
  <si>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</si>
  <si>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</si>
  <si>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</si>
  <si>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</si>
  <si>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</si>
  <si>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</si>
  <si>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</si>
  <si>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</si>
  <si>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</si>
  <si>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</si>
  <si>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</si>
  <si>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</si>
  <si>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</si>
  <si>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</si>
  <si>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</si>
  <si>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</si>
  <si>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</si>
  <si>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</si>
  <si>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</si>
  <si>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</si>
  <si>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</si>
  <si>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</si>
  <si>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</si>
  <si>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</si>
  <si>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</si>
  <si>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</si>
  <si>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</si>
  <si>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</si>
  <si>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</si>
  <si>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</si>
  <si>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</si>
  <si>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</si>
  <si>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</si>
  <si>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</si>
  <si>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</si>
  <si>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</si>
  <si>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</si>
  <si>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</si>
  <si>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</si>
  <si>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</si>
  <si>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</si>
  <si>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</si>
  <si>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</si>
  <si>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</si>
  <si>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</si>
  <si>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</si>
  <si>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</si>
  <si>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</si>
  <si>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</si>
  <si>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</si>
  <si>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</si>
  <si>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</si>
  <si>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</si>
  <si>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</si>
  <si>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</si>
  <si>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</si>
  <si>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</si>
  <si>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</si>
  <si>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</si>
  <si>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</si>
  <si>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</si>
  <si>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</si>
  <si>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</si>
  <si>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</si>
  <si>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</si>
  <si>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</si>
  <si>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</si>
  <si>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</si>
  <si>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</si>
  <si>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</si>
  <si>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</si>
  <si>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</si>
  <si>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</si>
  <si>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</si>
  <si>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</si>
  <si>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</si>
  <si>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</si>
  <si>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</si>
  <si>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</si>
  <si>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</si>
  <si>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</si>
  <si>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</si>
  <si>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</si>
  <si>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</si>
  <si>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</si>
  <si>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</si>
  <si>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</si>
  <si>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</si>
  <si>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</si>
  <si>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</si>
  <si>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</si>
  <si>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</si>
  <si>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</si>
  <si>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</si>
  <si>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</si>
  <si>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</si>
  <si>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</si>
  <si>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</si>
  <si>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</si>
  <si>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</si>
  <si>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</si>
  <si>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</si>
  <si>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</si>
  <si>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</si>
  <si>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</si>
  <si>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</si>
  <si>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</si>
  <si>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</si>
  <si>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</si>
  <si>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</si>
  <si>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</si>
  <si>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</si>
  <si>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</si>
  <si>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</si>
  <si>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</si>
  <si>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</si>
  <si>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</si>
  <si>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</si>
  <si>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</si>
  <si>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</si>
  <si>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</si>
  <si>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</si>
  <si>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</si>
  <si>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</si>
  <si>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</si>
  <si>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</si>
  <si>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</si>
  <si>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</si>
  <si>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</si>
  <si>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</si>
  <si>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</si>
  <si>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</si>
  <si>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</si>
  <si>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</si>
  <si>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</si>
  <si>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</si>
  <si>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</si>
  <si>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</si>
  <si>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</si>
  <si>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</si>
  <si>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</si>
  <si>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</si>
  <si>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</si>
  <si>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</si>
  <si>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</si>
  <si>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</si>
  <si>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</si>
  <si>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</si>
  <si>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</si>
  <si>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</si>
  <si>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71022</t>
  </si>
  <si>
    <t>HASSELT</t>
  </si>
  <si>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</si>
  <si>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</si>
  <si>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</si>
  <si>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</si>
  <si>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</si>
  <si>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</si>
  <si>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</si>
  <si>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</si>
  <si>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</si>
  <si>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</si>
  <si>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</si>
  <si>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</si>
  <si>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</si>
  <si>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</si>
  <si>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</si>
  <si>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</si>
  <si>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</si>
  <si>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</si>
  <si>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</si>
  <si>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</si>
  <si>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</si>
  <si>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</si>
  <si>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</si>
  <si>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</si>
  <si>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</si>
  <si>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</si>
  <si>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</si>
  <si>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</si>
  <si>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</si>
  <si>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</si>
  <si>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</si>
  <si>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</si>
  <si>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</si>
  <si>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</si>
  <si>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</si>
  <si>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</si>
  <si>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</si>
  <si>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</si>
  <si>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</si>
  <si>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</si>
  <si>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</si>
  <si>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</si>
  <si>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</si>
  <si>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</si>
  <si>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</si>
  <si>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</si>
  <si>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</si>
  <si>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</si>
  <si>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</si>
  <si>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</si>
  <si>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</si>
  <si>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</si>
  <si>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</si>
  <si>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</si>
  <si>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</si>
  <si>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</si>
  <si>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</si>
  <si>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</si>
  <si>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</si>
  <si>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</si>
  <si>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</si>
  <si>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</si>
  <si>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</si>
  <si>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</si>
  <si>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</si>
  <si>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</si>
  <si>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</si>
  <si>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</si>
  <si>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</si>
  <si>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</si>
  <si>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</si>
  <si>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</si>
  <si>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</si>
  <si>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</si>
  <si>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</si>
  <si>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</si>
  <si>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</si>
  <si>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</si>
  <si>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</si>
  <si>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</si>
  <si>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</si>
  <si>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</si>
  <si>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</si>
  <si>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</si>
  <si>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</si>
  <si>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</si>
  <si>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</si>
  <si>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</si>
  <si>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</si>
  <si>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</si>
  <si>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</si>
  <si>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</si>
  <si>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</si>
  <si>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</si>
  <si>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</si>
  <si>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</si>
  <si>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</si>
  <si>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</si>
  <si>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</si>
  <si>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</si>
  <si>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</si>
  <si>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</si>
  <si>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</si>
  <si>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</si>
  <si>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</si>
  <si>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</si>
  <si>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</si>
  <si>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</si>
  <si>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</si>
  <si>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</si>
  <si>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</si>
  <si>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</si>
  <si>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</si>
  <si>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</si>
  <si>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</si>
  <si>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</si>
  <si>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</si>
  <si>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</si>
  <si>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</si>
  <si>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</si>
  <si>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</si>
  <si>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</si>
  <si>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</si>
  <si>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</si>
  <si>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</si>
  <si>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</si>
  <si>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</si>
  <si>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</si>
  <si>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</si>
  <si>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</si>
  <si>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</si>
  <si>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</si>
  <si>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</si>
  <si>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</si>
  <si>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</si>
  <si>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</si>
  <si>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</si>
  <si>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</si>
  <si>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</si>
  <si>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</si>
  <si>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</si>
  <si>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</si>
  <si>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</si>
  <si>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</si>
  <si>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</si>
  <si>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</si>
  <si>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</si>
  <si>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</si>
  <si>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</si>
  <si>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</si>
  <si>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</si>
  <si>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</si>
  <si>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</si>
  <si>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</si>
  <si>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</si>
  <si>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</si>
  <si>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</si>
  <si>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</si>
  <si>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</si>
  <si>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</si>
  <si>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</si>
  <si>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</si>
  <si>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</si>
  <si>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</si>
  <si>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</si>
  <si>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</si>
  <si>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</si>
  <si>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</si>
  <si>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</si>
  <si>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</si>
  <si>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</si>
  <si>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</si>
  <si>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</si>
  <si>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</si>
  <si>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</si>
  <si>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</si>
  <si>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</si>
  <si>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</si>
  <si>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</si>
  <si>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</si>
  <si>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</si>
  <si>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</si>
  <si>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</si>
  <si>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</si>
  <si>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</si>
  <si>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</si>
  <si>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</si>
  <si>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</si>
  <si>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</si>
  <si>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</si>
  <si>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</si>
  <si>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</si>
  <si>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</si>
  <si>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</si>
  <si>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</si>
  <si>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</si>
  <si>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</si>
  <si>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</si>
  <si>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</si>
  <si>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</si>
  <si>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</si>
  <si>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</si>
  <si>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</si>
  <si>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</si>
  <si>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</si>
  <si>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</si>
  <si>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</si>
  <si>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</si>
  <si>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</si>
  <si>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</si>
  <si>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</si>
  <si>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</si>
  <si>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</si>
  <si>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</si>
  <si>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</si>
  <si>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</si>
  <si>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</si>
  <si>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</si>
  <si>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</si>
  <si>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</si>
  <si>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</si>
  <si>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</si>
  <si>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</si>
  <si>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</si>
  <si>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</si>
  <si>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</si>
  <si>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</si>
  <si>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</si>
  <si>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</si>
  <si>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</si>
  <si>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</si>
  <si>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</si>
  <si>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</si>
  <si>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</si>
  <si>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</si>
  <si>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</si>
  <si>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</si>
  <si>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</si>
  <si>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</si>
  <si>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</si>
  <si>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</si>
  <si>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</si>
  <si>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</si>
  <si>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</si>
  <si>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</si>
  <si>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</si>
  <si>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</si>
  <si>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</si>
  <si>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</si>
  <si>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</si>
  <si>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</si>
  <si>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</si>
  <si>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</si>
  <si>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</si>
  <si>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</si>
  <si>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</si>
  <si>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</si>
  <si>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</si>
  <si>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</si>
  <si>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</si>
  <si>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</si>
  <si>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</si>
  <si>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</si>
  <si>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</si>
  <si>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</si>
  <si>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</si>
  <si>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</si>
  <si>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</si>
  <si>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</si>
  <si>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</si>
  <si>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</si>
  <si>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</si>
  <si>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</si>
  <si>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</si>
  <si>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</si>
  <si>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</si>
  <si>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</si>
  <si>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</si>
  <si>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</si>
  <si>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</si>
  <si>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</si>
  <si>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</si>
  <si>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</si>
  <si>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</si>
  <si>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</si>
  <si>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</si>
  <si>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</si>
  <si>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</si>
  <si>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</si>
  <si>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</si>
  <si>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</si>
  <si>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</si>
  <si>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</si>
  <si>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</si>
  <si>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</si>
  <si>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</si>
  <si>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</si>
  <si>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</si>
  <si>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</si>
  <si>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</si>
  <si>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</si>
  <si>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</si>
  <si>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</si>
  <si>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</si>
  <si>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</si>
  <si>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</si>
  <si>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</si>
  <si>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</si>
  <si>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</si>
  <si>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</si>
  <si>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</si>
  <si>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</si>
  <si>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</si>
  <si>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</si>
  <si>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</si>
  <si>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</si>
  <si>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</si>
  <si>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</si>
  <si>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</si>
  <si>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</si>
  <si>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</si>
  <si>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</si>
  <si>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</si>
  <si>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</si>
  <si>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</si>
  <si>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</si>
  <si>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</si>
  <si>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</si>
  <si>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</si>
  <si>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</si>
  <si>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</si>
  <si>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</si>
  <si>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Mestbank (maart 2019)</t>
  </si>
  <si>
    <t>Fluvius (februari 2019)</t>
  </si>
  <si>
    <t>referentietaak LNE (2017); Jaarverslag De Lijn (2018)</t>
  </si>
  <si>
    <t>VEA (30 april 2019)</t>
  </si>
  <si>
    <t>VEA (mei 2018)</t>
  </si>
  <si>
    <t>VEA (mei 2019)</t>
  </si>
  <si>
    <t>vzw Jessa Ziekenhuis</t>
  </si>
  <si>
    <t>Salvatorstraat 20, 3500 Hasselt</t>
  </si>
  <si>
    <t>WKK-0097 vzw Jessa Ziekenhuis (voorheen CAZ Midden-Limburg)</t>
  </si>
  <si>
    <t>interne verbrandingsmotor</t>
  </si>
  <si>
    <t>WKK interne verbrandinsgmotor (gas)</t>
  </si>
  <si>
    <t>Inter-Energa</t>
  </si>
  <si>
    <t>Roebben-Hendrickx</t>
  </si>
  <si>
    <t>Rapertingenstraat 5, 3500 Hasselt</t>
  </si>
  <si>
    <t>WKK-0093 Roebben-hendrickx</t>
  </si>
  <si>
    <t>Limburgs Galvano Technisch Bedrijf nv</t>
  </si>
  <si>
    <t>Albertkanaalstraat 139 , 3511 Kuringen</t>
  </si>
  <si>
    <t>WKK-0345 Limburgs Galvano Technisch Bedrijf</t>
  </si>
  <si>
    <t>Salvatorrusthuis VZW</t>
  </si>
  <si>
    <t>Ekkelgaarden 17 , 3500 Hasselt</t>
  </si>
  <si>
    <t>WKK-0387 Salvatorrusthuis</t>
  </si>
  <si>
    <t>Cordium cvba</t>
  </si>
  <si>
    <t>Gouverneur Roppesingel 133 , 3500 Hasselt</t>
  </si>
  <si>
    <t>WKK-0638 Cordium</t>
  </si>
  <si>
    <t>Broeker Winningstraat 1-0.03 , 3511 Kuringen</t>
  </si>
  <si>
    <t>WKK-0661 Zuidzicht fase 1</t>
  </si>
  <si>
    <t>Scheepvaartlaan 30 , 3500 Hasselt</t>
  </si>
  <si>
    <t>Aquafin NV</t>
  </si>
  <si>
    <t>Dijkstraat 8 , 2630 Aartselaar</t>
  </si>
  <si>
    <t>BGS-0002 RWZI Hasselt</t>
  </si>
  <si>
    <t>biogas - RWZI</t>
  </si>
  <si>
    <t>niet WKK interne verbrandingsmotor (gas)</t>
  </si>
  <si>
    <t>Rode-Rokstraat 200 , 3511 Hasselt</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</si>
</sst>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545012.6544848585</c:v>
                </c:pt>
                <c:pt idx="1">
                  <c:v>446876.21135735826</c:v>
                </c:pt>
                <c:pt idx="2">
                  <c:v>5050.3500000000004</c:v>
                </c:pt>
                <c:pt idx="3">
                  <c:v>8853.1148553343446</c:v>
                </c:pt>
                <c:pt idx="4">
                  <c:v>167888.62191624314</c:v>
                </c:pt>
                <c:pt idx="5">
                  <c:v>623730.02626600931</c:v>
                </c:pt>
                <c:pt idx="6">
                  <c:v>16406.747157631133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24640"/>
        <c:axId val="76626176"/>
      </c:barChart>
      <c:catAx>
        <c:axId val="76624640"/>
        <c:scaling>
          <c:orientation val="minMax"/>
        </c:scaling>
        <c:axPos val="b"/>
        <c:numFmt formatCode="General" sourceLinked="0"/>
        <c:tickLblPos val="nextTo"/>
        <c:crossAx val="76626176"/>
        <c:crosses val="autoZero"/>
        <c:auto val="1"/>
        <c:lblAlgn val="ctr"/>
        <c:lblOffset val="100"/>
      </c:catAx>
      <c:valAx>
        <c:axId val="76626176"/>
        <c:scaling>
          <c:orientation val="minMax"/>
        </c:scaling>
        <c:axPos val="l"/>
        <c:majorGridlines/>
        <c:numFmt formatCode="#,##0" sourceLinked="1"/>
        <c:tickLblPos val="nextTo"/>
        <c:crossAx val="76624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545012.6544848585</c:v>
                </c:pt>
                <c:pt idx="1">
                  <c:v>446876.21135735826</c:v>
                </c:pt>
                <c:pt idx="2">
                  <c:v>5050.3500000000004</c:v>
                </c:pt>
                <c:pt idx="3">
                  <c:v>8853.1148553343446</c:v>
                </c:pt>
                <c:pt idx="4">
                  <c:v>167888.62191624314</c:v>
                </c:pt>
                <c:pt idx="5">
                  <c:v>623730.02626600931</c:v>
                </c:pt>
                <c:pt idx="6">
                  <c:v>16406.747157631133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104967.44389010798</c:v>
                </c:pt>
                <c:pt idx="1">
                  <c:v>89481.405479483161</c:v>
                </c:pt>
                <c:pt idx="2">
                  <c:v>1003.7950325112046</c:v>
                </c:pt>
                <c:pt idx="3">
                  <c:v>2212.9330588379044</c:v>
                </c:pt>
                <c:pt idx="4">
                  <c:v>34688.124835991475</c:v>
                </c:pt>
                <c:pt idx="5">
                  <c:v>154970.01672782822</c:v>
                </c:pt>
                <c:pt idx="6">
                  <c:v>4149.9469788373253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36224"/>
        <c:axId val="76846208"/>
      </c:barChart>
      <c:catAx>
        <c:axId val="76836224"/>
        <c:scaling>
          <c:orientation val="minMax"/>
        </c:scaling>
        <c:axPos val="b"/>
        <c:numFmt formatCode="General" sourceLinked="0"/>
        <c:tickLblPos val="nextTo"/>
        <c:crossAx val="76846208"/>
        <c:crosses val="autoZero"/>
        <c:auto val="1"/>
        <c:lblAlgn val="ctr"/>
        <c:lblOffset val="100"/>
      </c:catAx>
      <c:valAx>
        <c:axId val="76846208"/>
        <c:scaling>
          <c:orientation val="minMax"/>
        </c:scaling>
        <c:axPos val="l"/>
        <c:majorGridlines/>
        <c:numFmt formatCode="#,##0" sourceLinked="1"/>
        <c:tickLblPos val="nextTo"/>
        <c:crossAx val="768362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104967.44389010798</c:v>
                </c:pt>
                <c:pt idx="1">
                  <c:v>89481.405479483161</c:v>
                </c:pt>
                <c:pt idx="2">
                  <c:v>1003.7950325112046</c:v>
                </c:pt>
                <c:pt idx="3">
                  <c:v>2212.9330588379044</c:v>
                </c:pt>
                <c:pt idx="4">
                  <c:v>34688.124835991475</c:v>
                </c:pt>
                <c:pt idx="5">
                  <c:v>154970.01672782822</c:v>
                </c:pt>
                <c:pt idx="6">
                  <c:v>4149.9469788373253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646</v>
      </c>
      <c r="B2" s="419"/>
      <c r="C2" s="420"/>
    </row>
    <row r="3" spans="1:7" s="11" customFormat="1" ht="15" customHeight="1">
      <c r="A3" s="93"/>
      <c r="B3" s="74"/>
      <c r="C3" s="94"/>
    </row>
    <row r="4" spans="1:7" s="11" customFormat="1" ht="15.75" customHeight="1" thickBot="1">
      <c r="A4" s="105" t="s">
        <v>781</v>
      </c>
      <c r="B4" s="106"/>
      <c r="C4" s="107"/>
    </row>
    <row r="5" spans="1:7" s="413" customFormat="1" ht="15.75" customHeight="1">
      <c r="A5" s="410" t="s">
        <v>0</v>
      </c>
      <c r="B5" s="411"/>
      <c r="C5" s="412"/>
    </row>
    <row r="6" spans="1:7" s="413" customFormat="1" ht="15" customHeight="1">
      <c r="A6" s="414" t="str">
        <f>txtNIS</f>
        <v>71022</v>
      </c>
      <c r="B6" s="415"/>
      <c r="C6" s="416"/>
    </row>
    <row r="7" spans="1:7" s="413" customFormat="1" ht="15.75" customHeight="1">
      <c r="A7" s="417" t="str">
        <f>txtMunicipality</f>
        <v>HASSELT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782</v>
      </c>
      <c r="B10" s="1089"/>
      <c r="C10" s="1090"/>
    </row>
    <row r="11" spans="1:7" s="407" customFormat="1" ht="15.75" thickBot="1">
      <c r="A11" s="430" t="s">
        <v>358</v>
      </c>
      <c r="B11" s="433"/>
      <c r="C11" s="434"/>
      <c r="G11" s="408"/>
    </row>
    <row r="12" spans="1:7">
      <c r="A12" s="44"/>
      <c r="B12" s="43"/>
      <c r="C12" s="96"/>
    </row>
    <row r="13" spans="1:7" s="407" customFormat="1">
      <c r="A13" s="799" t="s">
        <v>612</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783</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569</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572</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599</v>
      </c>
      <c r="B17" s="527">
        <f ca="1">'EF ele_warmte'!B12</f>
        <v>0.19875751829303009</v>
      </c>
      <c r="C17" s="527">
        <f ca="1">'EF ele_warmte'!B22</f>
        <v>0.23764705882352949</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572</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590</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599</v>
      </c>
      <c r="B29" s="528">
        <f ca="1">'EF ele_warmte'!B12</f>
        <v>0.19875751829303009</v>
      </c>
      <c r="C29" s="528">
        <f ca="1">'EF ele_warmte'!B22</f>
        <v>0.23764705882352949</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560</v>
      </c>
      <c r="B10" s="530"/>
      <c r="C10" s="141" t="s">
        <v>181</v>
      </c>
      <c r="D10" s="144" t="s">
        <v>390</v>
      </c>
      <c r="I10" s="1212"/>
      <c r="K10" s="58"/>
    </row>
    <row r="11" spans="1:11" s="43" customFormat="1">
      <c r="A11" s="44" t="s">
        <v>561</v>
      </c>
      <c r="B11" s="47"/>
      <c r="D11" s="142" t="s">
        <v>391</v>
      </c>
      <c r="I11" s="1212"/>
      <c r="K11" s="58"/>
    </row>
    <row r="12" spans="1:11" s="43" customFormat="1">
      <c r="A12" s="44" t="s">
        <v>562</v>
      </c>
      <c r="B12" s="47"/>
      <c r="D12" s="142" t="s">
        <v>391</v>
      </c>
      <c r="I12" s="1212"/>
      <c r="K12" s="58"/>
    </row>
    <row r="13" spans="1:11" s="43" customFormat="1">
      <c r="A13" s="44"/>
      <c r="B13" s="478"/>
      <c r="D13" s="96"/>
      <c r="I13" s="1212"/>
    </row>
    <row r="14" spans="1:11" s="43" customFormat="1">
      <c r="A14" s="304" t="s">
        <v>559</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570</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560</v>
      </c>
      <c r="B31" s="530"/>
      <c r="C31" s="141" t="s">
        <v>181</v>
      </c>
      <c r="D31" s="144" t="s">
        <v>390</v>
      </c>
    </row>
    <row r="32" spans="1:11">
      <c r="A32" s="467" t="s">
        <v>561</v>
      </c>
      <c r="B32" s="47"/>
      <c r="C32" s="48"/>
      <c r="D32" s="142" t="s">
        <v>391</v>
      </c>
    </row>
    <row r="33" spans="1:11">
      <c r="A33" s="44"/>
      <c r="B33" s="48"/>
      <c r="C33" s="48"/>
      <c r="D33" s="142"/>
    </row>
    <row r="34" spans="1:11" s="43" customFormat="1">
      <c r="A34" s="304" t="s">
        <v>559</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741</v>
      </c>
      <c r="B45" s="47"/>
      <c r="C45" s="43"/>
      <c r="D45" s="142" t="s">
        <v>391</v>
      </c>
      <c r="I45" s="58"/>
      <c r="J45" s="58"/>
      <c r="K45" s="58"/>
    </row>
    <row r="46" spans="1:11" s="913" customFormat="1">
      <c r="A46" s="181" t="s">
        <v>742</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563</v>
      </c>
      <c r="B52" s="47"/>
      <c r="C52" s="32"/>
      <c r="D52" s="143" t="s">
        <v>392</v>
      </c>
    </row>
    <row r="53" spans="1:4">
      <c r="A53" s="44" t="s">
        <v>564</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565</v>
      </c>
      <c r="B59" s="47"/>
      <c r="C59" s="32"/>
      <c r="D59" s="142" t="s">
        <v>154</v>
      </c>
    </row>
    <row r="60" spans="1:4">
      <c r="A60" s="44" t="s">
        <v>566</v>
      </c>
      <c r="B60" s="47"/>
      <c r="C60" s="32"/>
      <c r="D60" s="142" t="s">
        <v>155</v>
      </c>
    </row>
    <row r="61" spans="1:4">
      <c r="A61" s="44" t="s">
        <v>567</v>
      </c>
      <c r="B61" s="47"/>
      <c r="C61" s="48"/>
      <c r="D61" s="142" t="s">
        <v>388</v>
      </c>
    </row>
    <row r="62" spans="1:4">
      <c r="A62" s="44" t="s">
        <v>568</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585</v>
      </c>
      <c r="B1" s="672"/>
      <c r="C1" s="672"/>
      <c r="D1" s="672"/>
      <c r="E1" s="673"/>
    </row>
    <row r="2" spans="1:5">
      <c r="A2" s="684" t="s">
        <v>393</v>
      </c>
      <c r="B2" s="689" t="s">
        <v>508</v>
      </c>
      <c r="C2" s="685"/>
      <c r="D2" s="685"/>
      <c r="E2" s="686"/>
    </row>
    <row r="3" spans="1:5">
      <c r="A3" s="687"/>
      <c r="B3" s="688"/>
      <c r="C3" s="676"/>
      <c r="D3" s="676"/>
      <c r="E3" s="677"/>
    </row>
    <row r="4" spans="1:5" s="334" customFormat="1" ht="45">
      <c r="A4" s="675" t="s">
        <v>589</v>
      </c>
      <c r="B4" s="683" t="s">
        <v>578</v>
      </c>
      <c r="C4" s="704" t="s">
        <v>600</v>
      </c>
      <c r="D4" s="705" t="s">
        <v>601</v>
      </c>
      <c r="E4" s="706" t="s">
        <v>602</v>
      </c>
    </row>
    <row r="5" spans="1:5">
      <c r="A5" s="678" t="s">
        <v>579</v>
      </c>
      <c r="B5" s="670" t="s">
        <v>580</v>
      </c>
      <c r="C5" s="701">
        <v>3.678273E-2</v>
      </c>
      <c r="D5" s="702">
        <v>0.27778000000000003</v>
      </c>
      <c r="E5" s="694">
        <f>C5*D5</f>
        <v>1.0217506739400001E-2</v>
      </c>
    </row>
    <row r="6" spans="1:5">
      <c r="A6" s="678" t="s">
        <v>579</v>
      </c>
      <c r="B6" s="670" t="s">
        <v>581</v>
      </c>
      <c r="C6" s="701">
        <v>4.2278999999999997E-2</v>
      </c>
      <c r="D6" s="702">
        <v>0.27778000000000003</v>
      </c>
      <c r="E6" s="694">
        <f t="shared" ref="E6:E21" si="0">C6*D6</f>
        <v>1.174426062E-2</v>
      </c>
    </row>
    <row r="7" spans="1:5">
      <c r="A7" s="678" t="s">
        <v>579</v>
      </c>
      <c r="B7" s="670" t="s">
        <v>582</v>
      </c>
      <c r="C7" s="701">
        <v>42.279000000000003</v>
      </c>
      <c r="D7" s="702">
        <v>0.27778000000000003</v>
      </c>
      <c r="E7" s="694">
        <f t="shared" si="0"/>
        <v>11.744260620000002</v>
      </c>
    </row>
    <row r="8" spans="1:5">
      <c r="A8" s="678" t="s">
        <v>583</v>
      </c>
      <c r="B8" s="670" t="s">
        <v>580</v>
      </c>
      <c r="C8" s="701">
        <v>3.8573799999999998E-2</v>
      </c>
      <c r="D8" s="702">
        <v>0.27778000000000003</v>
      </c>
      <c r="E8" s="694">
        <f t="shared" si="0"/>
        <v>1.0715030164E-2</v>
      </c>
    </row>
    <row r="9" spans="1:5">
      <c r="A9" s="678" t="s">
        <v>583</v>
      </c>
      <c r="B9" s="670" t="s">
        <v>581</v>
      </c>
      <c r="C9" s="701">
        <v>4.0604000000000001E-2</v>
      </c>
      <c r="D9" s="702">
        <v>0.27778000000000003</v>
      </c>
      <c r="E9" s="694">
        <f t="shared" si="0"/>
        <v>1.1278979120000001E-2</v>
      </c>
    </row>
    <row r="10" spans="1:5">
      <c r="A10" s="678" t="s">
        <v>583</v>
      </c>
      <c r="B10" s="670" t="s">
        <v>582</v>
      </c>
      <c r="C10" s="701">
        <v>40.603999999999999</v>
      </c>
      <c r="D10" s="702">
        <v>0.27778000000000003</v>
      </c>
      <c r="E10" s="694">
        <f t="shared" si="0"/>
        <v>11.278979120000001</v>
      </c>
    </row>
    <row r="11" spans="1:5">
      <c r="A11" s="678" t="s">
        <v>603</v>
      </c>
      <c r="B11" s="670" t="s">
        <v>580</v>
      </c>
      <c r="C11" s="701">
        <v>2.3511000000000001E-2</v>
      </c>
      <c r="D11" s="702">
        <v>0.27778000000000003</v>
      </c>
      <c r="E11" s="694">
        <f t="shared" si="0"/>
        <v>6.5308855800000004E-3</v>
      </c>
    </row>
    <row r="12" spans="1:5">
      <c r="A12" s="678" t="s">
        <v>603</v>
      </c>
      <c r="B12" s="670" t="s">
        <v>581</v>
      </c>
      <c r="C12" s="701">
        <v>4.6100000000000002E-2</v>
      </c>
      <c r="D12" s="702">
        <v>0.27778000000000003</v>
      </c>
      <c r="E12" s="694">
        <f t="shared" si="0"/>
        <v>1.2805658000000001E-2</v>
      </c>
    </row>
    <row r="13" spans="1:5">
      <c r="A13" s="678" t="s">
        <v>603</v>
      </c>
      <c r="B13" s="670" t="s">
        <v>582</v>
      </c>
      <c r="C13" s="701">
        <v>46.1</v>
      </c>
      <c r="D13" s="702">
        <v>0.27778000000000003</v>
      </c>
      <c r="E13" s="694">
        <f t="shared" si="0"/>
        <v>12.805658000000001</v>
      </c>
    </row>
    <row r="14" spans="1:5">
      <c r="A14" s="678" t="s">
        <v>604</v>
      </c>
      <c r="B14" s="670" t="s">
        <v>580</v>
      </c>
      <c r="C14" s="701">
        <v>2.6525139999999999E-2</v>
      </c>
      <c r="D14" s="702">
        <v>0.27778000000000003</v>
      </c>
      <c r="E14" s="694">
        <f t="shared" si="0"/>
        <v>7.3681533892000009E-3</v>
      </c>
    </row>
    <row r="15" spans="1:5">
      <c r="A15" s="678" t="s">
        <v>604</v>
      </c>
      <c r="B15" s="670" t="s">
        <v>581</v>
      </c>
      <c r="C15" s="701">
        <v>4.5733000000000003E-2</v>
      </c>
      <c r="D15" s="702">
        <v>0.27778000000000003</v>
      </c>
      <c r="E15" s="694">
        <f t="shared" si="0"/>
        <v>1.2703712740000001E-2</v>
      </c>
    </row>
    <row r="16" spans="1:5">
      <c r="A16" s="678" t="s">
        <v>604</v>
      </c>
      <c r="B16" s="670" t="s">
        <v>582</v>
      </c>
      <c r="C16" s="701">
        <v>45.732999999999997</v>
      </c>
      <c r="D16" s="702">
        <v>0.27778000000000003</v>
      </c>
      <c r="E16" s="694">
        <f t="shared" si="0"/>
        <v>12.70371274</v>
      </c>
    </row>
    <row r="17" spans="1:10">
      <c r="A17" s="678" t="s">
        <v>587</v>
      </c>
      <c r="B17" s="670" t="s">
        <v>584</v>
      </c>
      <c r="C17" s="701">
        <v>3.2923000000000001E-2</v>
      </c>
      <c r="D17" s="702">
        <f>0.27778</f>
        <v>0.27778000000000003</v>
      </c>
      <c r="E17" s="694">
        <f t="shared" si="0"/>
        <v>9.1453509400000015E-3</v>
      </c>
    </row>
    <row r="18" spans="1:10">
      <c r="A18" s="678" t="s">
        <v>588</v>
      </c>
      <c r="B18" s="670" t="s">
        <v>584</v>
      </c>
      <c r="C18" s="701">
        <v>3.8852400000000002E-2</v>
      </c>
      <c r="D18" s="702">
        <f>0.27778</f>
        <v>0.27778000000000003</v>
      </c>
      <c r="E18" s="694">
        <f t="shared" si="0"/>
        <v>1.0792419672000002E-2</v>
      </c>
    </row>
    <row r="19" spans="1:10">
      <c r="A19" s="678" t="s">
        <v>591</v>
      </c>
      <c r="B19" s="670" t="s">
        <v>580</v>
      </c>
      <c r="C19" s="701">
        <v>2.4812460000000001E-2</v>
      </c>
      <c r="D19" s="702">
        <v>0.27778000000000003</v>
      </c>
      <c r="E19" s="694">
        <f t="shared" si="0"/>
        <v>6.8924051388000009E-3</v>
      </c>
    </row>
    <row r="20" spans="1:10">
      <c r="A20" s="678" t="s">
        <v>591</v>
      </c>
      <c r="B20" s="670" t="s">
        <v>581</v>
      </c>
      <c r="C20" s="701">
        <v>4.5948999999999997E-2</v>
      </c>
      <c r="D20" s="702">
        <v>0.27778000000000003</v>
      </c>
      <c r="E20" s="694">
        <f t="shared" si="0"/>
        <v>1.276371322E-2</v>
      </c>
    </row>
    <row r="21" spans="1:10">
      <c r="A21" s="678" t="s">
        <v>591</v>
      </c>
      <c r="B21" s="670" t="s">
        <v>582</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586</v>
      </c>
      <c r="B24" s="672"/>
      <c r="C24" s="672"/>
      <c r="D24" s="672"/>
      <c r="E24" s="673"/>
    </row>
    <row r="25" spans="1:10">
      <c r="A25" s="698" t="s">
        <v>393</v>
      </c>
      <c r="B25" s="676" t="s">
        <v>647</v>
      </c>
      <c r="C25" s="676"/>
      <c r="D25" s="676"/>
      <c r="E25" s="677"/>
    </row>
    <row r="26" spans="1:10">
      <c r="A26" s="44"/>
      <c r="B26" s="43"/>
      <c r="C26" s="43"/>
      <c r="D26" s="43"/>
      <c r="E26" s="96"/>
    </row>
    <row r="27" spans="1:10" s="334" customFormat="1">
      <c r="A27" s="675" t="s">
        <v>589</v>
      </c>
      <c r="B27" s="683" t="s">
        <v>578</v>
      </c>
      <c r="C27" s="691"/>
      <c r="D27" s="690"/>
      <c r="E27" s="706" t="s">
        <v>593</v>
      </c>
    </row>
    <row r="28" spans="1:10">
      <c r="A28" s="678" t="s">
        <v>201</v>
      </c>
      <c r="B28" s="670" t="s">
        <v>580</v>
      </c>
      <c r="C28" s="692"/>
      <c r="D28" s="693"/>
      <c r="E28" s="700">
        <f>E29*0.853</f>
        <v>1.0116343055555555E-2</v>
      </c>
      <c r="G28" s="674"/>
      <c r="H28" s="818"/>
      <c r="I28" s="818"/>
      <c r="J28" s="818"/>
    </row>
    <row r="29" spans="1:10">
      <c r="A29" s="678" t="s">
        <v>201</v>
      </c>
      <c r="B29" s="670" t="s">
        <v>581</v>
      </c>
      <c r="C29" s="692"/>
      <c r="D29" s="693"/>
      <c r="E29" s="700">
        <f>0.042695/3.6</f>
        <v>1.1859722222222221E-2</v>
      </c>
      <c r="F29" s="939"/>
      <c r="G29" s="674"/>
      <c r="H29" s="818"/>
      <c r="I29" s="818"/>
      <c r="J29" s="818"/>
    </row>
    <row r="30" spans="1:10">
      <c r="A30" s="678" t="s">
        <v>119</v>
      </c>
      <c r="B30" s="670" t="s">
        <v>580</v>
      </c>
      <c r="C30" s="692"/>
      <c r="D30" s="693"/>
      <c r="E30" s="700">
        <f>E31*0.755</f>
        <v>9.1803805555555566E-3</v>
      </c>
      <c r="H30" s="818"/>
      <c r="I30" s="818"/>
      <c r="J30" s="818"/>
    </row>
    <row r="31" spans="1:10">
      <c r="A31" s="678" t="s">
        <v>119</v>
      </c>
      <c r="B31" s="670" t="s">
        <v>581</v>
      </c>
      <c r="C31" s="692"/>
      <c r="D31" s="693"/>
      <c r="E31" s="700">
        <f>0.043774/3.6</f>
        <v>1.2159444444444445E-2</v>
      </c>
      <c r="H31" s="818"/>
      <c r="I31" s="818"/>
      <c r="J31" s="818"/>
    </row>
    <row r="32" spans="1:10">
      <c r="A32" s="678" t="s">
        <v>591</v>
      </c>
      <c r="B32" s="670" t="s">
        <v>580</v>
      </c>
      <c r="C32" s="692"/>
      <c r="D32" s="693"/>
      <c r="E32" s="700">
        <f>E33*0.55</f>
        <v>7.1139444444444453E-3</v>
      </c>
      <c r="H32" s="818"/>
    </row>
    <row r="33" spans="1:8">
      <c r="A33" s="678" t="s">
        <v>591</v>
      </c>
      <c r="B33" s="670" t="s">
        <v>581</v>
      </c>
      <c r="C33" s="692"/>
      <c r="D33" s="693"/>
      <c r="E33" s="700">
        <f>0.046564/3.6</f>
        <v>1.2934444444444445E-2</v>
      </c>
      <c r="H33" s="818"/>
    </row>
    <row r="34" spans="1:8">
      <c r="A34" s="678" t="s">
        <v>592</v>
      </c>
      <c r="B34" s="670" t="s">
        <v>580</v>
      </c>
      <c r="C34" s="692"/>
      <c r="D34" s="693"/>
      <c r="E34" s="700">
        <f>E35*0.0007</f>
        <v>9.3333333333333326E-6</v>
      </c>
      <c r="H34" s="818"/>
    </row>
    <row r="35" spans="1:8">
      <c r="A35" s="678" t="s">
        <v>592</v>
      </c>
      <c r="B35" s="670" t="s">
        <v>581</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605</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849</v>
      </c>
      <c r="C21" s="131" t="s">
        <v>573</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71022</v>
      </c>
      <c r="B1" s="332"/>
      <c r="C1" s="332"/>
      <c r="D1" s="332"/>
      <c r="E1" s="332"/>
      <c r="F1" s="333"/>
    </row>
    <row r="3" spans="1:6" ht="19.5">
      <c r="A3" s="335" t="s">
        <v>0</v>
      </c>
    </row>
    <row r="4" spans="1:6" ht="22.5">
      <c r="A4" s="1305" t="s">
        <v>542</v>
      </c>
    </row>
    <row r="5" spans="1:6" ht="22.5">
      <c r="A5" s="1305" t="s">
        <v>543</v>
      </c>
    </row>
    <row r="6" spans="1:6" ht="15.75" thickBot="1"/>
    <row r="7" spans="1:6" ht="20.25" thickBot="1">
      <c r="A7" s="336" t="s">
        <v>1</v>
      </c>
      <c r="B7" s="337" t="s">
        <v>393</v>
      </c>
      <c r="C7" s="337" t="s">
        <v>712</v>
      </c>
      <c r="D7" s="337"/>
      <c r="E7" s="337"/>
      <c r="F7" s="338"/>
    </row>
    <row r="8" spans="1:6" ht="16.5" thickTop="1" thickBot="1">
      <c r="A8" s="339" t="s">
        <v>4</v>
      </c>
      <c r="B8" s="340">
        <v>2017</v>
      </c>
      <c r="C8" s="340"/>
      <c r="D8" s="332"/>
      <c r="E8" s="332"/>
      <c r="F8" s="333"/>
    </row>
    <row r="9" spans="1:6">
      <c r="A9" s="341" t="s">
        <v>2</v>
      </c>
      <c r="B9" s="342">
        <v>35124</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671</v>
      </c>
      <c r="B14" s="334">
        <v>3194.27</v>
      </c>
    </row>
    <row r="15" spans="1:6">
      <c r="A15" s="348" t="s">
        <v>183</v>
      </c>
      <c r="B15" s="334">
        <v>3725</v>
      </c>
    </row>
    <row r="16" spans="1:6">
      <c r="A16" s="348" t="s">
        <v>6</v>
      </c>
      <c r="B16" s="334">
        <v>569</v>
      </c>
    </row>
    <row r="17" spans="1:6">
      <c r="A17" s="348" t="s">
        <v>7</v>
      </c>
      <c r="B17" s="334">
        <v>358</v>
      </c>
    </row>
    <row r="18" spans="1:6">
      <c r="A18" s="348" t="s">
        <v>8</v>
      </c>
      <c r="B18" s="334">
        <v>579</v>
      </c>
    </row>
    <row r="19" spans="1:6">
      <c r="A19" s="348" t="s">
        <v>9</v>
      </c>
      <c r="B19" s="334">
        <v>587</v>
      </c>
    </row>
    <row r="20" spans="1:6">
      <c r="A20" s="348" t="s">
        <v>10</v>
      </c>
      <c r="B20" s="334">
        <v>512</v>
      </c>
    </row>
    <row r="21" spans="1:6">
      <c r="A21" s="348" t="s">
        <v>11</v>
      </c>
      <c r="B21" s="334">
        <v>1027</v>
      </c>
    </row>
    <row r="22" spans="1:6">
      <c r="A22" s="348" t="s">
        <v>12</v>
      </c>
      <c r="B22" s="334">
        <v>4177</v>
      </c>
    </row>
    <row r="23" spans="1:6">
      <c r="A23" s="348" t="s">
        <v>13</v>
      </c>
      <c r="B23" s="334">
        <v>47</v>
      </c>
    </row>
    <row r="24" spans="1:6">
      <c r="A24" s="348" t="s">
        <v>14</v>
      </c>
      <c r="B24" s="334">
        <v>3</v>
      </c>
    </row>
    <row r="25" spans="1:6">
      <c r="A25" s="348" t="s">
        <v>15</v>
      </c>
      <c r="B25" s="334">
        <v>327</v>
      </c>
    </row>
    <row r="26" spans="1:6">
      <c r="A26" s="348" t="s">
        <v>16</v>
      </c>
      <c r="B26" s="334">
        <v>1100</v>
      </c>
    </row>
    <row r="27" spans="1:6">
      <c r="A27" s="348" t="s">
        <v>17</v>
      </c>
      <c r="B27" s="334">
        <v>281</v>
      </c>
    </row>
    <row r="28" spans="1:6" s="356" customFormat="1">
      <c r="A28" s="355" t="s">
        <v>18</v>
      </c>
      <c r="B28" s="355">
        <v>50441</v>
      </c>
    </row>
    <row r="29" spans="1:6">
      <c r="A29" s="355" t="s">
        <v>715</v>
      </c>
      <c r="B29" s="355">
        <v>422</v>
      </c>
      <c r="C29" s="356"/>
      <c r="D29" s="356"/>
      <c r="E29" s="356"/>
      <c r="F29" s="356"/>
    </row>
    <row r="30" spans="1:6">
      <c r="A30" s="341" t="s">
        <v>716</v>
      </c>
      <c r="B30" s="341">
        <v>115</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64</v>
      </c>
      <c r="D36" s="334">
        <v>15157380.499</v>
      </c>
      <c r="E36" s="334">
        <v>252</v>
      </c>
      <c r="F36" s="334">
        <v>8021830.5140000004</v>
      </c>
    </row>
    <row r="37" spans="1:6">
      <c r="A37" s="348" t="s">
        <v>24</v>
      </c>
      <c r="B37" s="348" t="s">
        <v>27</v>
      </c>
      <c r="C37" s="334">
        <v>0</v>
      </c>
      <c r="D37" s="334">
        <v>0</v>
      </c>
      <c r="E37" s="334">
        <v>0</v>
      </c>
      <c r="F37" s="334">
        <v>0</v>
      </c>
    </row>
    <row r="38" spans="1:6">
      <c r="A38" s="348" t="s">
        <v>24</v>
      </c>
      <c r="B38" s="348" t="s">
        <v>28</v>
      </c>
      <c r="C38" s="334">
        <v>2</v>
      </c>
      <c r="D38" s="334">
        <v>3049925.1889999998</v>
      </c>
      <c r="E38" s="334">
        <v>1</v>
      </c>
      <c r="F38" s="334">
        <v>533876</v>
      </c>
    </row>
    <row r="39" spans="1:6">
      <c r="A39" s="348" t="s">
        <v>29</v>
      </c>
      <c r="B39" s="348" t="s">
        <v>30</v>
      </c>
      <c r="C39" s="334">
        <v>23953</v>
      </c>
      <c r="D39" s="334">
        <v>339282124.700001</v>
      </c>
      <c r="E39" s="334">
        <v>35453</v>
      </c>
      <c r="F39" s="334">
        <v>111025672.443</v>
      </c>
    </row>
    <row r="40" spans="1:6">
      <c r="A40" s="348" t="s">
        <v>29</v>
      </c>
      <c r="B40" s="348" t="s">
        <v>28</v>
      </c>
      <c r="C40" s="334">
        <v>0</v>
      </c>
      <c r="D40" s="334">
        <v>0</v>
      </c>
      <c r="E40" s="334">
        <v>1</v>
      </c>
      <c r="F40" s="334">
        <v>6652</v>
      </c>
    </row>
    <row r="41" spans="1:6">
      <c r="A41" s="348" t="s">
        <v>31</v>
      </c>
      <c r="B41" s="348" t="s">
        <v>32</v>
      </c>
      <c r="C41" s="334">
        <v>284</v>
      </c>
      <c r="D41" s="334">
        <v>27830136.006000001</v>
      </c>
      <c r="E41" s="334">
        <v>619</v>
      </c>
      <c r="F41" s="334">
        <v>25954232.112</v>
      </c>
    </row>
    <row r="42" spans="1:6">
      <c r="A42" s="348" t="s">
        <v>31</v>
      </c>
      <c r="B42" s="348" t="s">
        <v>33</v>
      </c>
      <c r="C42" s="334">
        <v>6</v>
      </c>
      <c r="D42" s="334">
        <v>1632300</v>
      </c>
      <c r="E42" s="334">
        <v>7</v>
      </c>
      <c r="F42" s="334">
        <v>2080820</v>
      </c>
    </row>
    <row r="43" spans="1:6">
      <c r="A43" s="348" t="s">
        <v>31</v>
      </c>
      <c r="B43" s="348" t="s">
        <v>34</v>
      </c>
      <c r="C43" s="334">
        <v>0</v>
      </c>
      <c r="D43" s="334">
        <v>0</v>
      </c>
      <c r="E43" s="334">
        <v>0</v>
      </c>
      <c r="F43" s="334">
        <v>0</v>
      </c>
    </row>
    <row r="44" spans="1:6">
      <c r="A44" s="348" t="s">
        <v>31</v>
      </c>
      <c r="B44" s="348" t="s">
        <v>35</v>
      </c>
      <c r="C44" s="334">
        <v>32</v>
      </c>
      <c r="D44" s="334">
        <v>4741074.5710000005</v>
      </c>
      <c r="E44" s="334">
        <v>101</v>
      </c>
      <c r="F44" s="334">
        <v>4562557.83</v>
      </c>
    </row>
    <row r="45" spans="1:6">
      <c r="A45" s="348" t="s">
        <v>31</v>
      </c>
      <c r="B45" s="348" t="s">
        <v>36</v>
      </c>
      <c r="C45" s="334">
        <v>9</v>
      </c>
      <c r="D45" s="334">
        <v>38222859</v>
      </c>
      <c r="E45" s="334">
        <v>16</v>
      </c>
      <c r="F45" s="334">
        <v>10103915.943</v>
      </c>
    </row>
    <row r="46" spans="1:6">
      <c r="A46" s="348" t="s">
        <v>31</v>
      </c>
      <c r="B46" s="348" t="s">
        <v>37</v>
      </c>
      <c r="C46" s="334">
        <v>0</v>
      </c>
      <c r="D46" s="334">
        <v>0</v>
      </c>
      <c r="E46" s="334">
        <v>0</v>
      </c>
      <c r="F46" s="334">
        <v>0</v>
      </c>
    </row>
    <row r="47" spans="1:6">
      <c r="A47" s="348" t="s">
        <v>31</v>
      </c>
      <c r="B47" s="348" t="s">
        <v>38</v>
      </c>
      <c r="C47" s="334">
        <v>19</v>
      </c>
      <c r="D47" s="334">
        <v>1229570</v>
      </c>
      <c r="E47" s="334">
        <v>24</v>
      </c>
      <c r="F47" s="334">
        <v>1846337</v>
      </c>
    </row>
    <row r="48" spans="1:6">
      <c r="A48" s="348" t="s">
        <v>31</v>
      </c>
      <c r="B48" s="348" t="s">
        <v>28</v>
      </c>
      <c r="C48" s="334">
        <v>1</v>
      </c>
      <c r="D48" s="334">
        <v>28363</v>
      </c>
      <c r="E48" s="334">
        <v>2</v>
      </c>
      <c r="F48" s="334">
        <v>85095</v>
      </c>
    </row>
    <row r="49" spans="1:6">
      <c r="A49" s="348" t="s">
        <v>31</v>
      </c>
      <c r="B49" s="348" t="s">
        <v>39</v>
      </c>
      <c r="C49" s="334">
        <v>15</v>
      </c>
      <c r="D49" s="334">
        <v>378670</v>
      </c>
      <c r="E49" s="334">
        <v>18</v>
      </c>
      <c r="F49" s="334">
        <v>178666.55</v>
      </c>
    </row>
    <row r="50" spans="1:6">
      <c r="A50" s="348" t="s">
        <v>31</v>
      </c>
      <c r="B50" s="348" t="s">
        <v>40</v>
      </c>
      <c r="C50" s="334">
        <v>43</v>
      </c>
      <c r="D50" s="334">
        <v>8597932.4370000008</v>
      </c>
      <c r="E50" s="334">
        <v>62</v>
      </c>
      <c r="F50" s="334">
        <v>9270135.4069999997</v>
      </c>
    </row>
    <row r="51" spans="1:6">
      <c r="A51" s="348" t="s">
        <v>41</v>
      </c>
      <c r="B51" s="348" t="s">
        <v>42</v>
      </c>
      <c r="C51" s="334">
        <v>20</v>
      </c>
      <c r="D51" s="334">
        <v>1347942.8</v>
      </c>
      <c r="E51" s="334">
        <v>110</v>
      </c>
      <c r="F51" s="334">
        <v>1577678.7409999999</v>
      </c>
    </row>
    <row r="52" spans="1:6">
      <c r="A52" s="348" t="s">
        <v>41</v>
      </c>
      <c r="B52" s="348" t="s">
        <v>28</v>
      </c>
      <c r="C52" s="334">
        <v>0</v>
      </c>
      <c r="D52" s="334">
        <v>0</v>
      </c>
      <c r="E52" s="334">
        <v>0</v>
      </c>
      <c r="F52" s="334">
        <v>0</v>
      </c>
    </row>
    <row r="53" spans="1:6">
      <c r="A53" s="348" t="s">
        <v>43</v>
      </c>
      <c r="B53" s="348" t="s">
        <v>44</v>
      </c>
      <c r="C53" s="334">
        <v>362</v>
      </c>
      <c r="D53" s="334">
        <v>20316052.578000002</v>
      </c>
      <c r="E53" s="334">
        <v>1207</v>
      </c>
      <c r="F53" s="334">
        <v>9036456.3000000007</v>
      </c>
    </row>
    <row r="54" spans="1:6">
      <c r="A54" s="348" t="s">
        <v>45</v>
      </c>
      <c r="B54" s="348" t="s">
        <v>46</v>
      </c>
      <c r="C54" s="334">
        <v>0</v>
      </c>
      <c r="D54" s="334">
        <v>0</v>
      </c>
      <c r="E54" s="334">
        <v>3</v>
      </c>
      <c r="F54" s="334">
        <v>5050350</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308</v>
      </c>
      <c r="D57" s="334">
        <v>18413402.395</v>
      </c>
      <c r="E57" s="334">
        <v>564</v>
      </c>
      <c r="F57" s="334">
        <v>17006992.640000001</v>
      </c>
    </row>
    <row r="58" spans="1:6">
      <c r="A58" s="348" t="s">
        <v>48</v>
      </c>
      <c r="B58" s="348" t="s">
        <v>50</v>
      </c>
      <c r="C58" s="334">
        <v>309</v>
      </c>
      <c r="D58" s="334">
        <v>45464011.336999997</v>
      </c>
      <c r="E58" s="334">
        <v>449</v>
      </c>
      <c r="F58" s="334">
        <v>19478081.307</v>
      </c>
    </row>
    <row r="59" spans="1:6">
      <c r="A59" s="348" t="s">
        <v>48</v>
      </c>
      <c r="B59" s="348" t="s">
        <v>51</v>
      </c>
      <c r="C59" s="334">
        <v>768</v>
      </c>
      <c r="D59" s="334">
        <v>40168431.318000004</v>
      </c>
      <c r="E59" s="334">
        <v>1411</v>
      </c>
      <c r="F59" s="334">
        <v>62813167.048</v>
      </c>
    </row>
    <row r="60" spans="1:6">
      <c r="A60" s="348" t="s">
        <v>48</v>
      </c>
      <c r="B60" s="348" t="s">
        <v>52</v>
      </c>
      <c r="C60" s="334">
        <v>376</v>
      </c>
      <c r="D60" s="334">
        <v>24656323.010000002</v>
      </c>
      <c r="E60" s="334">
        <v>512</v>
      </c>
      <c r="F60" s="334">
        <v>20901923.076000001</v>
      </c>
    </row>
    <row r="61" spans="1:6">
      <c r="A61" s="348" t="s">
        <v>48</v>
      </c>
      <c r="B61" s="348" t="s">
        <v>53</v>
      </c>
      <c r="C61" s="334">
        <v>1219</v>
      </c>
      <c r="D61" s="334">
        <v>72564578.451000005</v>
      </c>
      <c r="E61" s="334">
        <v>2263</v>
      </c>
      <c r="F61" s="334">
        <v>68229057.502000004</v>
      </c>
    </row>
    <row r="62" spans="1:6">
      <c r="A62" s="348" t="s">
        <v>48</v>
      </c>
      <c r="B62" s="348" t="s">
        <v>54</v>
      </c>
      <c r="C62" s="334">
        <v>131</v>
      </c>
      <c r="D62" s="334">
        <v>34610045.990999997</v>
      </c>
      <c r="E62" s="334">
        <v>116</v>
      </c>
      <c r="F62" s="334">
        <v>11332843.458000001</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1</v>
      </c>
      <c r="D65" s="334">
        <v>16876</v>
      </c>
      <c r="E65" s="334">
        <v>1</v>
      </c>
      <c r="F65" s="334">
        <v>4303</v>
      </c>
    </row>
    <row r="66" spans="1:6">
      <c r="A66" s="348" t="s">
        <v>55</v>
      </c>
      <c r="B66" s="348" t="s">
        <v>57</v>
      </c>
      <c r="C66" s="334">
        <v>4</v>
      </c>
      <c r="D66" s="334">
        <v>1979045.389</v>
      </c>
      <c r="E66" s="334">
        <v>89</v>
      </c>
      <c r="F66" s="334">
        <v>3679422.0440000002</v>
      </c>
    </row>
    <row r="67" spans="1:6">
      <c r="A67" s="355" t="s">
        <v>55</v>
      </c>
      <c r="B67" s="355" t="s">
        <v>58</v>
      </c>
      <c r="C67" s="334">
        <v>0</v>
      </c>
      <c r="D67" s="334">
        <v>0</v>
      </c>
      <c r="E67" s="334">
        <v>0</v>
      </c>
      <c r="F67" s="334">
        <v>0</v>
      </c>
    </row>
    <row r="68" spans="1:6">
      <c r="A68" s="341" t="s">
        <v>55</v>
      </c>
      <c r="B68" s="341" t="s">
        <v>59</v>
      </c>
      <c r="C68" s="334">
        <v>18</v>
      </c>
      <c r="D68" s="334">
        <v>1365014.2890000001</v>
      </c>
      <c r="E68" s="334">
        <v>42</v>
      </c>
      <c r="F68" s="334">
        <v>2064421.1</v>
      </c>
    </row>
    <row r="69" spans="1:6" ht="15.75" thickBot="1">
      <c r="A69" s="343"/>
    </row>
    <row r="70" spans="1:6" ht="19.5">
      <c r="A70" s="336" t="s">
        <v>60</v>
      </c>
      <c r="B70" s="337"/>
      <c r="C70" s="337" t="s">
        <v>398</v>
      </c>
      <c r="D70" s="337" t="s">
        <v>798</v>
      </c>
      <c r="E70" s="337"/>
      <c r="F70" s="344"/>
    </row>
    <row r="71" spans="1:6" ht="20.25" thickBot="1">
      <c r="A71" s="357"/>
      <c r="B71" s="358"/>
      <c r="C71" s="358"/>
      <c r="D71" s="359" t="s">
        <v>436</v>
      </c>
      <c r="E71" s="358"/>
      <c r="F71" s="360"/>
    </row>
    <row r="72" spans="1:6" ht="16.5" thickTop="1" thickBot="1">
      <c r="A72" s="345" t="s">
        <v>61</v>
      </c>
      <c r="B72" s="346" t="s">
        <v>62</v>
      </c>
      <c r="C72" s="1306" t="s">
        <v>670</v>
      </c>
      <c r="D72" s="361">
        <v>2017</v>
      </c>
      <c r="E72" s="361"/>
      <c r="F72" s="347"/>
    </row>
    <row r="73" spans="1:6">
      <c r="A73" s="348" t="s">
        <v>63</v>
      </c>
      <c r="B73" s="348" t="s">
        <v>652</v>
      </c>
      <c r="C73" s="1307" t="s">
        <v>654</v>
      </c>
      <c r="D73" s="476">
        <v>386456377</v>
      </c>
      <c r="E73" s="476"/>
    </row>
    <row r="74" spans="1:6">
      <c r="A74" s="348" t="s">
        <v>63</v>
      </c>
      <c r="B74" s="348" t="s">
        <v>653</v>
      </c>
      <c r="C74" s="1307" t="s">
        <v>655</v>
      </c>
      <c r="D74" s="476">
        <v>27594555</v>
      </c>
      <c r="E74" s="476"/>
    </row>
    <row r="75" spans="1:6">
      <c r="A75" s="348" t="s">
        <v>64</v>
      </c>
      <c r="B75" s="348" t="s">
        <v>652</v>
      </c>
      <c r="C75" s="1307" t="s">
        <v>656</v>
      </c>
      <c r="D75" s="476">
        <v>107510524</v>
      </c>
      <c r="E75" s="476"/>
    </row>
    <row r="76" spans="1:6">
      <c r="A76" s="348" t="s">
        <v>64</v>
      </c>
      <c r="B76" s="348" t="s">
        <v>653</v>
      </c>
      <c r="C76" s="1307" t="s">
        <v>657</v>
      </c>
      <c r="D76" s="476">
        <v>492248</v>
      </c>
      <c r="E76" s="476"/>
    </row>
    <row r="77" spans="1:6">
      <c r="A77" s="348" t="s">
        <v>65</v>
      </c>
      <c r="B77" s="348" t="s">
        <v>652</v>
      </c>
      <c r="C77" s="1307" t="s">
        <v>658</v>
      </c>
      <c r="D77" s="476">
        <v>236145299</v>
      </c>
      <c r="E77" s="476"/>
    </row>
    <row r="78" spans="1:6">
      <c r="A78" s="341" t="s">
        <v>65</v>
      </c>
      <c r="B78" s="341" t="s">
        <v>653</v>
      </c>
      <c r="C78" s="341" t="s">
        <v>659</v>
      </c>
      <c r="D78" s="1308">
        <v>24363427</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4558004</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544</v>
      </c>
      <c r="B89" s="334">
        <v>0</v>
      </c>
    </row>
    <row r="90" spans="1:6">
      <c r="A90" s="348" t="s">
        <v>545</v>
      </c>
      <c r="B90" s="1309">
        <v>15091.702589576033</v>
      </c>
    </row>
    <row r="91" spans="1:6">
      <c r="A91" s="348" t="s">
        <v>67</v>
      </c>
      <c r="B91" s="334">
        <v>16494.212864762037</v>
      </c>
    </row>
    <row r="92" spans="1:6">
      <c r="A92" s="341" t="s">
        <v>68</v>
      </c>
      <c r="B92" s="342">
        <v>9984.5313303306411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12607</v>
      </c>
    </row>
    <row r="98" spans="1:6">
      <c r="A98" s="348" t="s">
        <v>71</v>
      </c>
      <c r="B98" s="334">
        <v>2</v>
      </c>
    </row>
    <row r="99" spans="1:6">
      <c r="A99" s="348" t="s">
        <v>72</v>
      </c>
      <c r="B99" s="334">
        <v>137</v>
      </c>
    </row>
    <row r="100" spans="1:6">
      <c r="A100" s="348" t="s">
        <v>73</v>
      </c>
      <c r="B100" s="334">
        <v>1808</v>
      </c>
    </row>
    <row r="101" spans="1:6">
      <c r="A101" s="348" t="s">
        <v>74</v>
      </c>
      <c r="B101" s="334">
        <v>132</v>
      </c>
    </row>
    <row r="102" spans="1:6">
      <c r="A102" s="348" t="s">
        <v>75</v>
      </c>
      <c r="B102" s="334">
        <v>416</v>
      </c>
    </row>
    <row r="103" spans="1:6">
      <c r="A103" s="348" t="s">
        <v>76</v>
      </c>
      <c r="B103" s="334">
        <v>298</v>
      </c>
    </row>
    <row r="104" spans="1:6">
      <c r="A104" s="348" t="s">
        <v>77</v>
      </c>
      <c r="B104" s="334">
        <v>12509</v>
      </c>
    </row>
    <row r="105" spans="1:6">
      <c r="A105" s="341" t="s">
        <v>78</v>
      </c>
      <c r="B105" s="341">
        <v>11</v>
      </c>
      <c r="C105" s="342"/>
      <c r="D105" s="342"/>
      <c r="E105" s="342"/>
      <c r="F105" s="342"/>
    </row>
    <row r="106" spans="1:6">
      <c r="A106" s="343"/>
    </row>
    <row r="107" spans="1:6" ht="15.75" thickBot="1">
      <c r="A107" s="343"/>
    </row>
    <row r="108" spans="1:6" ht="20.25" thickBot="1">
      <c r="A108" s="336" t="s">
        <v>641</v>
      </c>
      <c r="B108" s="337" t="s">
        <v>393</v>
      </c>
      <c r="C108" s="337" t="s">
        <v>880</v>
      </c>
      <c r="D108" s="337"/>
      <c r="E108" s="337"/>
      <c r="F108" s="344"/>
    </row>
    <row r="109" spans="1:6" ht="16.5" thickTop="1" thickBot="1">
      <c r="A109" s="345" t="s">
        <v>4</v>
      </c>
      <c r="B109" s="346" t="s">
        <v>5</v>
      </c>
      <c r="C109" s="346"/>
      <c r="D109" s="346"/>
      <c r="E109" s="346"/>
      <c r="F109" s="347"/>
    </row>
    <row r="110" spans="1:6">
      <c r="A110" s="348" t="s">
        <v>642</v>
      </c>
      <c r="B110" s="334">
        <v>0</v>
      </c>
    </row>
    <row r="111" spans="1:6">
      <c r="A111" s="1310" t="s">
        <v>643</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4</v>
      </c>
      <c r="C121" s="334">
        <v>0</v>
      </c>
    </row>
    <row r="122" spans="1:6">
      <c r="A122" s="348" t="s">
        <v>86</v>
      </c>
      <c r="B122" s="334">
        <v>0</v>
      </c>
      <c r="C122" s="334">
        <v>0</v>
      </c>
    </row>
    <row r="123" spans="1:6">
      <c r="A123" s="348" t="s">
        <v>87</v>
      </c>
      <c r="B123" s="334">
        <v>151</v>
      </c>
      <c r="C123" s="334">
        <v>182</v>
      </c>
    </row>
    <row r="124" spans="1:6">
      <c r="A124" s="341" t="s">
        <v>88</v>
      </c>
      <c r="B124" s="334">
        <v>6</v>
      </c>
      <c r="C124" s="334">
        <v>9</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587</v>
      </c>
    </row>
    <row r="130" spans="1:6">
      <c r="A130" s="348" t="s">
        <v>294</v>
      </c>
      <c r="B130" s="334">
        <v>8</v>
      </c>
    </row>
    <row r="131" spans="1:6">
      <c r="A131" s="348" t="s">
        <v>295</v>
      </c>
      <c r="B131" s="334">
        <v>10</v>
      </c>
    </row>
    <row r="132" spans="1:6">
      <c r="A132" s="341" t="s">
        <v>296</v>
      </c>
      <c r="B132" s="342">
        <v>112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823</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825</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823</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824</v>
      </c>
      <c r="B44" s="535"/>
      <c r="E44" s="674"/>
      <c r="F44" s="674"/>
    </row>
    <row r="45" spans="1:14">
      <c r="A45" s="44"/>
      <c r="B45" s="535"/>
      <c r="E45" s="674"/>
      <c r="F45" s="674"/>
    </row>
    <row r="46" spans="1:14" ht="18">
      <c r="A46" s="137" t="s">
        <v>189</v>
      </c>
      <c r="B46" s="536" t="s">
        <v>571</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622</v>
      </c>
      <c r="B1" s="547"/>
      <c r="C1" s="548"/>
    </row>
    <row r="2" spans="1:3" s="334" customFormat="1">
      <c r="A2" s="395"/>
      <c r="B2" s="515"/>
      <c r="C2" s="550"/>
    </row>
    <row r="3" spans="1:3" s="334" customFormat="1">
      <c r="A3" s="393"/>
      <c r="B3" s="551">
        <v>2017</v>
      </c>
      <c r="C3" s="396" t="s">
        <v>181</v>
      </c>
    </row>
    <row r="4" spans="1:3">
      <c r="A4" s="120" t="s">
        <v>300</v>
      </c>
      <c r="B4" s="552">
        <v>4560.3379253907206</v>
      </c>
      <c r="C4" s="139" t="s">
        <v>826</v>
      </c>
    </row>
    <row r="5" spans="1:3" ht="15.75" thickBot="1">
      <c r="A5" s="958" t="s">
        <v>621</v>
      </c>
      <c r="B5" s="966">
        <v>675419.64000000013</v>
      </c>
      <c r="C5" s="967" t="s">
        <v>827</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651</v>
      </c>
      <c r="B6" s="439" t="s">
        <v>780</v>
      </c>
      <c r="C6" s="440" t="s">
        <v>357</v>
      </c>
    </row>
    <row r="7" spans="1:3" s="334" customFormat="1">
      <c r="A7" s="950" t="s">
        <v>743</v>
      </c>
      <c r="B7" s="441" t="s">
        <v>598</v>
      </c>
      <c r="C7" s="442" t="s">
        <v>597</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400951.23870815092</v>
      </c>
      <c r="C3" s="43" t="s">
        <v>169</v>
      </c>
      <c r="D3" s="43"/>
      <c r="E3" s="154"/>
      <c r="F3" s="43"/>
      <c r="G3" s="43"/>
      <c r="H3" s="43"/>
      <c r="I3" s="43"/>
      <c r="J3" s="43"/>
      <c r="K3" s="96"/>
    </row>
    <row r="4" spans="1:11">
      <c r="A4" s="383" t="s">
        <v>170</v>
      </c>
      <c r="B4" s="49">
        <f>IF(ISERROR('SEAP template'!B78),0,'SEAP template'!B78)</f>
        <v>42807.946784668711</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706</v>
      </c>
      <c r="G6" s="43" t="s">
        <v>711</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542.40564705882366</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0.19875751829303009</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774.86521008403395</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3260.5714285714289</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0.23764705882352949</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670</v>
      </c>
      <c r="B1" s="914" t="s">
        <v>307</v>
      </c>
      <c r="C1" s="914" t="s">
        <v>311</v>
      </c>
      <c r="D1" s="914" t="s">
        <v>312</v>
      </c>
      <c r="E1" s="914" t="s">
        <v>313</v>
      </c>
      <c r="F1" s="914" t="s">
        <v>314</v>
      </c>
      <c r="H1" s="957" t="s">
        <v>797</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668</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668</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668</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668</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652</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652</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652</v>
      </c>
      <c r="C9" s="316" t="s">
        <v>63</v>
      </c>
      <c r="D9" s="316" t="s">
        <v>644</v>
      </c>
      <c r="E9" s="316" t="s">
        <v>644</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652</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652</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652</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652</v>
      </c>
      <c r="C13" s="316" t="s">
        <v>63</v>
      </c>
      <c r="D13" s="316" t="s">
        <v>672</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652</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652</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652</v>
      </c>
      <c r="C16" s="316" t="s">
        <v>64</v>
      </c>
      <c r="D16" s="316" t="s">
        <v>644</v>
      </c>
      <c r="E16" s="316" t="s">
        <v>644</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652</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652</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652</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652</v>
      </c>
      <c r="C20" s="316" t="s">
        <v>64</v>
      </c>
      <c r="D20" s="316" t="s">
        <v>672</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652</v>
      </c>
      <c r="C21" s="316" t="s">
        <v>669</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652</v>
      </c>
      <c r="C22" s="316" t="s">
        <v>669</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652</v>
      </c>
      <c r="C23" s="316" t="s">
        <v>669</v>
      </c>
      <c r="D23" s="316" t="s">
        <v>644</v>
      </c>
      <c r="E23" s="316" t="s">
        <v>644</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652</v>
      </c>
      <c r="C24" s="316" t="s">
        <v>669</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652</v>
      </c>
      <c r="C25" s="316" t="s">
        <v>669</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652</v>
      </c>
      <c r="C26" s="316" t="s">
        <v>669</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652</v>
      </c>
      <c r="C27" s="316" t="s">
        <v>669</v>
      </c>
      <c r="D27" s="316" t="s">
        <v>672</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653</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653</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653</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653</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653</v>
      </c>
      <c r="C32" s="316" t="s">
        <v>669</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653</v>
      </c>
      <c r="C33" s="316" t="s">
        <v>669</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847</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650</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5050.3500000000004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5050.3500000000004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0.19875751829303009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1003.7950325112046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111032.324443</v>
      </c>
      <c r="C5" s="17">
        <f>IF(ISERROR('Eigen informatie GS &amp; warmtenet'!B59),0,'Eigen informatie GS &amp; warmtenet'!B59)</f>
        <v>0</v>
      </c>
      <c r="D5" s="30">
        <f>(SUM(HH_hh_gas_kWh,HH_rest_gas_kWh)/1000)*0.902</f>
        <v>306032.47647940088</v>
      </c>
      <c r="E5" s="17">
        <f>B46*B57</f>
        <v>22233.353669344964</v>
      </c>
      <c r="F5" s="17">
        <f>B51*B62</f>
        <v>47771.738900874145</v>
      </c>
      <c r="G5" s="18"/>
      <c r="H5" s="17"/>
      <c r="I5" s="17"/>
      <c r="J5" s="17">
        <f>B50*B61+C50*C61</f>
        <v>0</v>
      </c>
      <c r="K5" s="17"/>
      <c r="L5" s="17"/>
      <c r="M5" s="17"/>
      <c r="N5" s="17">
        <f>B48*B59+C48*C59</f>
        <v>37071.393579026102</v>
      </c>
      <c r="O5" s="17">
        <f>B69*B70*B71</f>
        <v>1543.5194946831109</v>
      </c>
      <c r="P5" s="17">
        <f>B77*B78*B79/1000-B77*B78*B79/1000/B80</f>
        <v>2833.6350537672715</v>
      </c>
    </row>
    <row r="6" spans="1:16">
      <c r="A6" s="16" t="s">
        <v>617</v>
      </c>
      <c r="B6" s="809">
        <f>kWh_PV_kleiner_dan_10kW</f>
        <v>16494.212864762037</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127526.53730776205</v>
      </c>
      <c r="C8" s="21">
        <f>C5</f>
        <v>0</v>
      </c>
      <c r="D8" s="21">
        <f>D5</f>
        <v>306032.47647940088</v>
      </c>
      <c r="E8" s="21">
        <f>E5</f>
        <v>22233.353669344964</v>
      </c>
      <c r="F8" s="21">
        <f>F5</f>
        <v>47771.738900874145</v>
      </c>
      <c r="G8" s="21"/>
      <c r="H8" s="21"/>
      <c r="I8" s="21"/>
      <c r="J8" s="21">
        <f>J5</f>
        <v>0</v>
      </c>
      <c r="K8" s="21"/>
      <c r="L8" s="21">
        <f>L5</f>
        <v>0</v>
      </c>
      <c r="M8" s="21">
        <f>M5</f>
        <v>0</v>
      </c>
      <c r="N8" s="21">
        <f>N5</f>
        <v>37071.393579026102</v>
      </c>
      <c r="O8" s="21">
        <f>O5</f>
        <v>1543.5194946831109</v>
      </c>
      <c r="P8" s="21">
        <f>P5</f>
        <v>2833.6350537672715</v>
      </c>
    </row>
    <row r="9" spans="1:16">
      <c r="B9" s="19"/>
      <c r="C9" s="19"/>
      <c r="D9" s="258"/>
      <c r="E9" s="19"/>
      <c r="F9" s="19"/>
      <c r="G9" s="19"/>
      <c r="H9" s="19"/>
      <c r="I9" s="19"/>
      <c r="J9" s="19"/>
      <c r="K9" s="19"/>
      <c r="L9" s="19"/>
      <c r="M9" s="19"/>
      <c r="N9" s="19"/>
      <c r="O9" s="19"/>
      <c r="P9" s="19"/>
    </row>
    <row r="10" spans="1:16">
      <c r="A10" s="24" t="s">
        <v>213</v>
      </c>
      <c r="B10" s="25">
        <f ca="1">'EF ele_warmte'!B12</f>
        <v>0.19875751829303009</v>
      </c>
      <c r="C10" s="25">
        <f ca="1">'EF ele_warmte'!B22</f>
        <v>0.23764705882352949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25346.8580717943</v>
      </c>
      <c r="C12" s="23">
        <f ca="1">C10*C8</f>
        <v>0</v>
      </c>
      <c r="D12" s="23">
        <f>D8*D10</f>
        <v>61818.560248838985</v>
      </c>
      <c r="E12" s="23">
        <f>E10*E8</f>
        <v>5046.9712829413074</v>
      </c>
      <c r="F12" s="23">
        <f>F10*F8</f>
        <v>12755.054286533397</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12607</v>
      </c>
      <c r="C18" s="166" t="s">
        <v>110</v>
      </c>
      <c r="D18" s="228"/>
      <c r="E18" s="15"/>
    </row>
    <row r="19" spans="1:7">
      <c r="A19" s="171" t="s">
        <v>71</v>
      </c>
      <c r="B19" s="37">
        <f>aantalw2001_ander</f>
        <v>2</v>
      </c>
      <c r="C19" s="166" t="s">
        <v>110</v>
      </c>
      <c r="D19" s="229"/>
      <c r="E19" s="15"/>
    </row>
    <row r="20" spans="1:7">
      <c r="A20" s="171" t="s">
        <v>72</v>
      </c>
      <c r="B20" s="37">
        <f>aantalw2001_propaan</f>
        <v>137</v>
      </c>
      <c r="C20" s="167">
        <f>IF(ISERROR(B20/SUM($B$20,$B$21,$B$22)*100),0,B20/SUM($B$20,$B$21,$B$22)*100)</f>
        <v>6.5960519980741452</v>
      </c>
      <c r="D20" s="229"/>
      <c r="E20" s="15"/>
    </row>
    <row r="21" spans="1:7">
      <c r="A21" s="171" t="s">
        <v>73</v>
      </c>
      <c r="B21" s="37">
        <f>aantalw2001_elektriciteit</f>
        <v>1808</v>
      </c>
      <c r="C21" s="167">
        <f>IF(ISERROR(B21/SUM($B$20,$B$21,$B$22)*100),0,B21/SUM($B$20,$B$21,$B$22)*100)</f>
        <v>87.048627828598939</v>
      </c>
      <c r="D21" s="229"/>
      <c r="E21" s="15"/>
    </row>
    <row r="22" spans="1:7">
      <c r="A22" s="171" t="s">
        <v>74</v>
      </c>
      <c r="B22" s="37">
        <f>aantalw2001_hout</f>
        <v>132</v>
      </c>
      <c r="C22" s="167">
        <f>IF(ISERROR(B22/SUM($B$20,$B$21,$B$22)*100),0,B22/SUM($B$20,$B$21,$B$22)*100)</f>
        <v>6.3553201733269145</v>
      </c>
      <c r="D22" s="229"/>
      <c r="E22" s="15"/>
    </row>
    <row r="23" spans="1:7">
      <c r="A23" s="171" t="s">
        <v>75</v>
      </c>
      <c r="B23" s="37">
        <f>aantalw2001_niet_gespec</f>
        <v>416</v>
      </c>
      <c r="C23" s="166" t="s">
        <v>110</v>
      </c>
      <c r="D23" s="228"/>
      <c r="E23" s="15"/>
    </row>
    <row r="24" spans="1:7">
      <c r="A24" s="171" t="s">
        <v>76</v>
      </c>
      <c r="B24" s="37">
        <f>aantalw2001_steenkool</f>
        <v>298</v>
      </c>
      <c r="C24" s="166" t="s">
        <v>110</v>
      </c>
      <c r="D24" s="229"/>
      <c r="E24" s="15"/>
    </row>
    <row r="25" spans="1:7">
      <c r="A25" s="171" t="s">
        <v>77</v>
      </c>
      <c r="B25" s="37">
        <f>aantalw2001_stookolie</f>
        <v>12509</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839</v>
      </c>
      <c r="B28" s="37">
        <f>aantalHuishoudens2011</f>
        <v>35124</v>
      </c>
      <c r="C28" s="36"/>
      <c r="D28" s="228"/>
    </row>
    <row r="29" spans="1:7" s="15" customFormat="1">
      <c r="A29" s="230" t="s">
        <v>840</v>
      </c>
      <c r="B29" s="37">
        <f>SUM(HH_hh_gas_aantal,HH_rest_gas_aantal)</f>
        <v>23953</v>
      </c>
      <c r="C29" s="36"/>
      <c r="D29" s="228"/>
    </row>
    <row r="30" spans="1:7" s="15" customFormat="1">
      <c r="A30" s="231"/>
      <c r="B30" s="29"/>
      <c r="C30" s="36"/>
      <c r="D30" s="232"/>
    </row>
    <row r="31" spans="1:7">
      <c r="A31" s="172" t="s">
        <v>841</v>
      </c>
      <c r="B31" s="168" t="s">
        <v>215</v>
      </c>
      <c r="C31" s="165" t="s">
        <v>216</v>
      </c>
      <c r="D31" s="174"/>
      <c r="G31" s="15"/>
    </row>
    <row r="32" spans="1:7">
      <c r="A32" s="171" t="s">
        <v>70</v>
      </c>
      <c r="B32" s="37">
        <f>B29</f>
        <v>23953</v>
      </c>
      <c r="C32" s="167">
        <f>IF(ISERROR(B32/SUM($B$32,$B$34,$B$35,$B$36,$B$38,$B$39)*100),0,B32/SUM($B$32,$B$34,$B$35,$B$36,$B$38,$B$39)*100)</f>
        <v>68.721847654568919</v>
      </c>
      <c r="D32" s="233"/>
      <c r="G32" s="15"/>
    </row>
    <row r="33" spans="1:7">
      <c r="A33" s="171" t="s">
        <v>71</v>
      </c>
      <c r="B33" s="34" t="s">
        <v>110</v>
      </c>
      <c r="C33" s="167"/>
      <c r="D33" s="233"/>
      <c r="G33" s="15"/>
    </row>
    <row r="34" spans="1:7">
      <c r="A34" s="171" t="s">
        <v>72</v>
      </c>
      <c r="B34" s="33">
        <f>IF((($B$28-$B$32-$B$39-$B$77-$B$38)*C20/100)&lt;0,0,($B$28-$B$32-$B$39-$B$77-$B$38)*C20/100)</f>
        <v>567.55069812229169</v>
      </c>
      <c r="C34" s="167">
        <f>IF(ISERROR(B34/SUM($B$32,$B$34,$B$35,$B$36,$B$38,$B$39)*100),0,B34/SUM($B$32,$B$34,$B$35,$B$36,$B$38,$B$39)*100)</f>
        <v>1.6283193175219959</v>
      </c>
      <c r="D34" s="233"/>
      <c r="G34" s="15"/>
    </row>
    <row r="35" spans="1:7">
      <c r="A35" s="171" t="s">
        <v>73</v>
      </c>
      <c r="B35" s="33">
        <f>IF((($B$28-$B$32-$B$39-$B$77-$B$38)*C21/100)&lt;0,0,($B$28-$B$32-$B$39-$B$77-$B$38)*C21/100)</f>
        <v>7490.0121328839668</v>
      </c>
      <c r="C35" s="167">
        <f>IF(ISERROR(B35/SUM($B$32,$B$34,$B$35,$B$36,$B$38,$B$39)*100),0,B35/SUM($B$32,$B$34,$B$35,$B$36,$B$38,$B$39)*100)</f>
        <v>21.489060774304882</v>
      </c>
      <c r="D35" s="233"/>
      <c r="G35" s="15"/>
    </row>
    <row r="36" spans="1:7">
      <c r="A36" s="171" t="s">
        <v>74</v>
      </c>
      <c r="B36" s="33">
        <f>IF((($B$28-$B$32-$B$39-$B$77-$B$38)*C22/100)&lt;0,0,($B$28-$B$32-$B$39-$B$77-$B$38)*C22/100)</f>
        <v>546.83716899374099</v>
      </c>
      <c r="C36" s="167">
        <f>IF(ISERROR(B36/SUM($B$32,$B$34,$B$35,$B$36,$B$38,$B$39)*100),0,B36/SUM($B$32,$B$34,$B$35,$B$36,$B$38,$B$39)*100)</f>
        <v>1.568891605203675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2297.6000000000004</v>
      </c>
      <c r="C39" s="167">
        <f>IF(ISERROR(B39/SUM($B$32,$B$34,$B$35,$B$36,$B$38,$B$39)*100),0,B39/SUM($B$32,$B$34,$B$35,$B$36,$B$38,$B$39)*100)</f>
        <v>6.5918806484005179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837</v>
      </c>
      <c r="C43" s="169" t="s">
        <v>838</v>
      </c>
      <c r="D43" s="174"/>
    </row>
    <row r="44" spans="1:7">
      <c r="A44" s="171" t="s">
        <v>70</v>
      </c>
      <c r="B44" s="33">
        <f t="shared" ref="B44:B52" si="0">B32</f>
        <v>23953</v>
      </c>
      <c r="C44" s="34" t="s">
        <v>110</v>
      </c>
      <c r="D44" s="174"/>
    </row>
    <row r="45" spans="1:7">
      <c r="A45" s="171" t="s">
        <v>71</v>
      </c>
      <c r="B45" s="33" t="str">
        <f t="shared" si="0"/>
        <v>-</v>
      </c>
      <c r="C45" s="34" t="s">
        <v>110</v>
      </c>
      <c r="D45" s="174"/>
    </row>
    <row r="46" spans="1:7">
      <c r="A46" s="171" t="s">
        <v>72</v>
      </c>
      <c r="B46" s="33">
        <f t="shared" si="0"/>
        <v>567.55069812229169</v>
      </c>
      <c r="C46" s="34" t="s">
        <v>110</v>
      </c>
      <c r="D46" s="174"/>
    </row>
    <row r="47" spans="1:7">
      <c r="A47" s="171" t="s">
        <v>73</v>
      </c>
      <c r="B47" s="33">
        <f t="shared" si="0"/>
        <v>7490.0121328839668</v>
      </c>
      <c r="C47" s="34" t="s">
        <v>110</v>
      </c>
      <c r="D47" s="174"/>
    </row>
    <row r="48" spans="1:7">
      <c r="A48" s="171" t="s">
        <v>74</v>
      </c>
      <c r="B48" s="33">
        <f t="shared" si="0"/>
        <v>546.83716899374099</v>
      </c>
      <c r="C48" s="33">
        <f>B48*10</f>
        <v>5468.3716899374103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2297.6000000000004</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835</v>
      </c>
      <c r="C54" s="165" t="s">
        <v>836</v>
      </c>
      <c r="D54" s="301" t="s">
        <v>834</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778</v>
      </c>
      <c r="C69" s="43"/>
      <c r="D69" s="173"/>
    </row>
    <row r="70" spans="1:6">
      <c r="A70" s="171" t="s">
        <v>471</v>
      </c>
      <c r="B70" s="315">
        <v>5.3300370073084435</v>
      </c>
      <c r="C70" s="43"/>
      <c r="D70" s="309" t="s">
        <v>862</v>
      </c>
    </row>
    <row r="71" spans="1:6">
      <c r="A71" s="245" t="s">
        <v>472</v>
      </c>
      <c r="B71" s="320">
        <f>1.34/3.6</f>
        <v>0.37222222222222223</v>
      </c>
      <c r="C71" s="43" t="s">
        <v>217</v>
      </c>
      <c r="D71" s="309" t="s">
        <v>863</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269</v>
      </c>
      <c r="C77" s="32"/>
      <c r="D77" s="177"/>
    </row>
    <row r="78" spans="1:6">
      <c r="A78" s="171" t="s">
        <v>441</v>
      </c>
      <c r="B78" s="315">
        <v>8.5956185892968069</v>
      </c>
      <c r="C78" s="32" t="s">
        <v>262</v>
      </c>
      <c r="D78" s="309" t="s">
        <v>862</v>
      </c>
    </row>
    <row r="79" spans="1:6">
      <c r="A79" s="171" t="s">
        <v>442</v>
      </c>
      <c r="B79" s="315">
        <v>1671.14092090028</v>
      </c>
      <c r="C79" s="32" t="s">
        <v>264</v>
      </c>
      <c r="D79" s="309" t="s">
        <v>862</v>
      </c>
    </row>
    <row r="80" spans="1:6">
      <c r="A80" s="171" t="s">
        <v>404</v>
      </c>
      <c r="B80" s="315">
        <v>3.75</v>
      </c>
      <c r="C80" s="43"/>
      <c r="D80" s="309" t="s">
        <v>863</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199762.06503100001</v>
      </c>
      <c r="C5" s="17">
        <f>IF(ISERROR('Eigen informatie GS &amp; warmtenet'!B60),0,'Eigen informatie GS &amp; warmtenet'!B60)</f>
        <v>0</v>
      </c>
      <c r="D5" s="30">
        <f>SUM(D6:D12)</f>
        <v>212760.86683680399</v>
      </c>
      <c r="E5" s="17">
        <f>SUM(E6:E12)</f>
        <v>2810.9554106997398</v>
      </c>
      <c r="F5" s="17">
        <f>SUM(F6:F12)</f>
        <v>22454.524020404904</v>
      </c>
      <c r="G5" s="18"/>
      <c r="H5" s="17"/>
      <c r="I5" s="17"/>
      <c r="J5" s="17">
        <f>SUM(J6:J12)</f>
        <v>0.28871163606020867</v>
      </c>
      <c r="K5" s="17"/>
      <c r="L5" s="17"/>
      <c r="M5" s="17"/>
      <c r="N5" s="17">
        <f>SUM(N6:N12)</f>
        <v>11492.742467253038</v>
      </c>
      <c r="O5" s="17">
        <f>B38*B39*B40</f>
        <v>39.178086126729234</v>
      </c>
      <c r="P5" s="17">
        <f>B46*B47*B48/1000-B46*B47*B48/1000/B49</f>
        <v>735.54793629093024</v>
      </c>
      <c r="R5" s="32"/>
    </row>
    <row r="6" spans="1:18">
      <c r="A6" s="32" t="s">
        <v>53</v>
      </c>
      <c r="B6" s="37">
        <f>B26</f>
        <v>68229.057502000011</v>
      </c>
      <c r="C6" s="33"/>
      <c r="D6" s="37">
        <f>IF(ISERROR(TER_kantoor_gas_kWh/1000),0,TER_kantoor_gas_kWh/1000)*0.902</f>
        <v>65453.249762802006</v>
      </c>
      <c r="E6" s="33">
        <f>$C$26*'E Balans VL '!I12/100/3.6*1000000</f>
        <v>549.01734975931856</v>
      </c>
      <c r="F6" s="33">
        <f>$C$26*('E Balans VL '!L12+'E Balans VL '!N12)/100/3.6*1000000</f>
        <v>8341.7200263252889</v>
      </c>
      <c r="G6" s="34"/>
      <c r="H6" s="33"/>
      <c r="I6" s="33"/>
      <c r="J6" s="33">
        <f>$C$26*('E Balans VL '!D12+'E Balans VL '!E12)/100/3.6*1000000</f>
        <v>0</v>
      </c>
      <c r="K6" s="33"/>
      <c r="L6" s="33"/>
      <c r="M6" s="33"/>
      <c r="N6" s="33">
        <f>$C$26*'E Balans VL '!Y12/100/3.6*1000000</f>
        <v>36.669758489902009</v>
      </c>
      <c r="O6" s="33"/>
      <c r="P6" s="33"/>
      <c r="R6" s="32"/>
    </row>
    <row r="7" spans="1:18">
      <c r="A7" s="32" t="s">
        <v>52</v>
      </c>
      <c r="B7" s="37">
        <f t="shared" ref="B7:B12" si="0">B27</f>
        <v>20901.923076000003</v>
      </c>
      <c r="C7" s="33"/>
      <c r="D7" s="37">
        <f>IF(ISERROR(TER_horeca_gas_kWh/1000),0,TER_horeca_gas_kWh/1000)*0.902</f>
        <v>22240.003355020002</v>
      </c>
      <c r="E7" s="33">
        <f>$C$27*'E Balans VL '!I9/100/3.6*1000000</f>
        <v>224.43532768642726</v>
      </c>
      <c r="F7" s="33">
        <f>$C$27*('E Balans VL '!L9+'E Balans VL '!N9)/100/3.6*1000000</f>
        <v>2513.9945017331779</v>
      </c>
      <c r="G7" s="34"/>
      <c r="H7" s="33"/>
      <c r="I7" s="33"/>
      <c r="J7" s="33">
        <f>$C$27*('E Balans VL '!D9+'E Balans VL '!E9)/100/3.6*1000000</f>
        <v>0</v>
      </c>
      <c r="K7" s="33"/>
      <c r="L7" s="33"/>
      <c r="M7" s="33"/>
      <c r="N7" s="33">
        <f>$C$27*'E Balans VL '!Y9/100/3.6*1000000</f>
        <v>3.1336219018900038</v>
      </c>
      <c r="O7" s="33"/>
      <c r="P7" s="33"/>
      <c r="R7" s="32"/>
    </row>
    <row r="8" spans="1:18">
      <c r="A8" s="6" t="s">
        <v>51</v>
      </c>
      <c r="B8" s="37">
        <f t="shared" si="0"/>
        <v>62813.167048000003</v>
      </c>
      <c r="C8" s="33"/>
      <c r="D8" s="37">
        <f>IF(ISERROR(TER_handel_gas_kWh/1000),0,TER_handel_gas_kWh/1000)*0.902</f>
        <v>36231.925048836005</v>
      </c>
      <c r="E8" s="33">
        <f>$C$28*'E Balans VL '!I13/100/3.6*1000000</f>
        <v>1685.7131029228715</v>
      </c>
      <c r="F8" s="33">
        <f>$C$28*('E Balans VL '!L13+'E Balans VL '!N13)/100/3.6*1000000</f>
        <v>5994.3120881056575</v>
      </c>
      <c r="G8" s="34"/>
      <c r="H8" s="33"/>
      <c r="I8" s="33"/>
      <c r="J8" s="33">
        <f>$C$28*('E Balans VL '!D13+'E Balans VL '!E13)/100/3.6*1000000</f>
        <v>0</v>
      </c>
      <c r="K8" s="33"/>
      <c r="L8" s="33"/>
      <c r="M8" s="33"/>
      <c r="N8" s="33">
        <f>$C$28*'E Balans VL '!Y13/100/3.6*1000000</f>
        <v>24.899853627749799</v>
      </c>
      <c r="O8" s="33"/>
      <c r="P8" s="33"/>
      <c r="R8" s="32"/>
    </row>
    <row r="9" spans="1:18">
      <c r="A9" s="32" t="s">
        <v>50</v>
      </c>
      <c r="B9" s="37">
        <f t="shared" si="0"/>
        <v>19478.081307</v>
      </c>
      <c r="C9" s="33"/>
      <c r="D9" s="37">
        <f>IF(ISERROR(TER_gezond_gas_kWh/1000),0,TER_gezond_gas_kWh/1000)*0.902</f>
        <v>41008.538225974</v>
      </c>
      <c r="E9" s="33">
        <f>$C$29*'E Balans VL '!I10/100/3.6*1000000</f>
        <v>36.508266707999994</v>
      </c>
      <c r="F9" s="33">
        <f>$C$29*('E Balans VL '!L10+'E Balans VL '!N10)/100/3.6*1000000</f>
        <v>1601.2760072331191</v>
      </c>
      <c r="G9" s="34"/>
      <c r="H9" s="33"/>
      <c r="I9" s="33"/>
      <c r="J9" s="33">
        <f>$C$29*('E Balans VL '!D10+'E Balans VL '!E10)/100/3.6*1000000</f>
        <v>0</v>
      </c>
      <c r="K9" s="33"/>
      <c r="L9" s="33"/>
      <c r="M9" s="33"/>
      <c r="N9" s="33">
        <f>$C$29*'E Balans VL '!Y10/100/3.6*1000000</f>
        <v>151.55400530527973</v>
      </c>
      <c r="O9" s="33"/>
      <c r="P9" s="33"/>
      <c r="R9" s="32"/>
    </row>
    <row r="10" spans="1:18">
      <c r="A10" s="32" t="s">
        <v>49</v>
      </c>
      <c r="B10" s="37">
        <f t="shared" si="0"/>
        <v>17006.99264</v>
      </c>
      <c r="C10" s="33"/>
      <c r="D10" s="37">
        <f>IF(ISERROR(TER_ander_gas_kWh/1000),0,TER_ander_gas_kWh/1000)*0.902</f>
        <v>16608.888960290002</v>
      </c>
      <c r="E10" s="33">
        <f>$C$30*'E Balans VL '!I14/100/3.6*1000000</f>
        <v>26.216451483753715</v>
      </c>
      <c r="F10" s="33">
        <f>$C$30*('E Balans VL '!L14+'E Balans VL '!N14)/100/3.6*1000000</f>
        <v>2640.3403023984461</v>
      </c>
      <c r="G10" s="34"/>
      <c r="H10" s="33"/>
      <c r="I10" s="33"/>
      <c r="J10" s="33">
        <f>$C$30*('E Balans VL '!D14+'E Balans VL '!E14)/100/3.6*1000000</f>
        <v>0.28871163606020867</v>
      </c>
      <c r="K10" s="33"/>
      <c r="L10" s="33"/>
      <c r="M10" s="33"/>
      <c r="N10" s="33">
        <f>$C$30*'E Balans VL '!Y14/100/3.6*1000000</f>
        <v>11251.281260601389</v>
      </c>
      <c r="O10" s="33"/>
      <c r="P10" s="33"/>
      <c r="R10" s="32"/>
    </row>
    <row r="11" spans="1:18">
      <c r="A11" s="32" t="s">
        <v>54</v>
      </c>
      <c r="B11" s="37">
        <f t="shared" si="0"/>
        <v>11332.843458000001</v>
      </c>
      <c r="C11" s="33"/>
      <c r="D11" s="37">
        <f>IF(ISERROR(TER_onderwijs_gas_kWh/1000),0,TER_onderwijs_gas_kWh/1000)*0.902</f>
        <v>31218.261483882001</v>
      </c>
      <c r="E11" s="33">
        <f>$C$31*'E Balans VL '!I11/100/3.6*1000000</f>
        <v>289.06491213936852</v>
      </c>
      <c r="F11" s="33">
        <f>$C$31*('E Balans VL '!L11+'E Balans VL '!N11)/100/3.6*1000000</f>
        <v>1362.8810946092162</v>
      </c>
      <c r="G11" s="34"/>
      <c r="H11" s="33"/>
      <c r="I11" s="33"/>
      <c r="J11" s="33">
        <f>$C$31*('E Balans VL '!D11+'E Balans VL '!E11)/100/3.6*1000000</f>
        <v>0</v>
      </c>
      <c r="K11" s="33"/>
      <c r="L11" s="33"/>
      <c r="M11" s="33"/>
      <c r="N11" s="33">
        <f>$C$31*'E Balans VL '!Y11/100/3.6*1000000</f>
        <v>25.203967326828902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3294.9</v>
      </c>
      <c r="C13" s="247">
        <f ca="1">'lokale energieproductie'!O91+'lokale energieproductie'!O60</f>
        <v>2939.1428571428573</v>
      </c>
      <c r="D13" s="310">
        <f ca="1">('lokale energieproductie'!P60+'lokale energieproductie'!P91)*(-1)</f>
        <v>-5878.2857142857156</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-3535.7142857142858</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203056.965031</v>
      </c>
      <c r="C16" s="21">
        <f t="shared" ca="1" si="1"/>
        <v>2939.1428571428573</v>
      </c>
      <c r="D16" s="21">
        <f t="shared" ca="1" si="1"/>
        <v>206882.58112251828</v>
      </c>
      <c r="E16" s="21">
        <f t="shared" si="1"/>
        <v>2810.9554106997398</v>
      </c>
      <c r="F16" s="21">
        <f t="shared" ca="1" si="1"/>
        <v>22454.524020404904</v>
      </c>
      <c r="G16" s="21">
        <f t="shared" si="1"/>
        <v>0</v>
      </c>
      <c r="H16" s="21">
        <f t="shared" si="1"/>
        <v>0</v>
      </c>
      <c r="I16" s="21">
        <f t="shared" si="1"/>
        <v>0</v>
      </c>
      <c r="J16" s="21">
        <f t="shared" si="1"/>
        <v>0.28871163606020867</v>
      </c>
      <c r="K16" s="21">
        <f t="shared" si="1"/>
        <v>0</v>
      </c>
      <c r="L16" s="21">
        <f t="shared" ca="1" si="1"/>
        <v>0</v>
      </c>
      <c r="M16" s="21">
        <f t="shared" si="1"/>
        <v>0</v>
      </c>
      <c r="N16" s="21">
        <f t="shared" ca="1" si="1"/>
        <v>7957.0281815387516</v>
      </c>
      <c r="O16" s="21">
        <f>O5</f>
        <v>39.178086126729234</v>
      </c>
      <c r="P16" s="21">
        <f>P5</f>
        <v>735.54793629093024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0.19875751829303009</v>
      </c>
      <c r="C18" s="25">
        <f ca="1">'EF ele_warmte'!B22</f>
        <v>0.23764705882352949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40359.098441676157</v>
      </c>
      <c r="C20" s="23">
        <f t="shared" ref="C20:P20" ca="1" si="2">C16*C18</f>
        <v>698.4786554621852</v>
      </c>
      <c r="D20" s="23">
        <f t="shared" ca="1" si="2"/>
        <v>41790.281386748698</v>
      </c>
      <c r="E20" s="23">
        <f t="shared" si="2"/>
        <v>638.08687822884099</v>
      </c>
      <c r="F20" s="23">
        <f t="shared" ca="1" si="2"/>
        <v>5995.3579134481097</v>
      </c>
      <c r="G20" s="23">
        <f t="shared" si="2"/>
        <v>0</v>
      </c>
      <c r="H20" s="23">
        <f t="shared" si="2"/>
        <v>0</v>
      </c>
      <c r="I20" s="23">
        <f t="shared" si="2"/>
        <v>0</v>
      </c>
      <c r="J20" s="23">
        <f t="shared" si="2"/>
        <v>0.10220391916531386</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68229.057502000011</v>
      </c>
      <c r="C26" s="39">
        <f>IF(ISERROR(B26*3.6/1000000/'E Balans VL '!Z12*100),0,B26*3.6/1000000/'E Balans VL '!Z12*100)</f>
        <v>1.4474170324855113</v>
      </c>
      <c r="D26" s="237" t="s">
        <v>718</v>
      </c>
      <c r="F26" s="6"/>
    </row>
    <row r="27" spans="1:18">
      <c r="A27" s="231" t="s">
        <v>52</v>
      </c>
      <c r="B27" s="33">
        <f>IF(ISERROR(TER_horeca_ele_kWh/1000),0,TER_horeca_ele_kWh/1000)</f>
        <v>20901.923076000003</v>
      </c>
      <c r="C27" s="39">
        <f>IF(ISERROR(B27*3.6/1000000/'E Balans VL '!Z9*100),0,B27*3.6/1000000/'E Balans VL '!Z9*100)</f>
        <v>1.5740999674454352</v>
      </c>
      <c r="D27" s="237" t="s">
        <v>718</v>
      </c>
      <c r="F27" s="6"/>
    </row>
    <row r="28" spans="1:18">
      <c r="A28" s="171" t="s">
        <v>51</v>
      </c>
      <c r="B28" s="33">
        <f>IF(ISERROR(TER_handel_ele_kWh/1000),0,TER_handel_ele_kWh/1000)</f>
        <v>62813.167048000003</v>
      </c>
      <c r="C28" s="39">
        <f>IF(ISERROR(B28*3.6/1000000/'E Balans VL '!Z13*100),0,B28*3.6/1000000/'E Balans VL '!Z13*100)</f>
        <v>1.8232436749877119</v>
      </c>
      <c r="D28" s="237" t="s">
        <v>718</v>
      </c>
      <c r="F28" s="6"/>
    </row>
    <row r="29" spans="1:18">
      <c r="A29" s="231" t="s">
        <v>50</v>
      </c>
      <c r="B29" s="33">
        <f>IF(ISERROR(TER_gezond_ele_kWh/1000),0,TER_gezond_ele_kWh/1000)</f>
        <v>19478.081307</v>
      </c>
      <c r="C29" s="39">
        <f>IF(ISERROR(B29*3.6/1000000/'E Balans VL '!Z10*100),0,B29*3.6/1000000/'E Balans VL '!Z10*100)</f>
        <v>1.9643877283689875</v>
      </c>
      <c r="D29" s="237" t="s">
        <v>718</v>
      </c>
      <c r="F29" s="6"/>
    </row>
    <row r="30" spans="1:18">
      <c r="A30" s="231" t="s">
        <v>49</v>
      </c>
      <c r="B30" s="33">
        <f>IF(ISERROR(TER_ander_ele_kWh/1000),0,TER_ander_ele_kWh/1000)</f>
        <v>17006.99264</v>
      </c>
      <c r="C30" s="39">
        <f>IF(ISERROR(B30*3.6/1000000/'E Balans VL '!Z14*100),0,B30*3.6/1000000/'E Balans VL '!Z14*100)</f>
        <v>1.234089333953275</v>
      </c>
      <c r="D30" s="237" t="s">
        <v>718</v>
      </c>
      <c r="F30" s="6"/>
    </row>
    <row r="31" spans="1:18">
      <c r="A31" s="231" t="s">
        <v>54</v>
      </c>
      <c r="B31" s="33">
        <f>IF(ISERROR(TER_onderwijs_ele_kWh/1000),0,TER_onderwijs_ele_kWh/1000)</f>
        <v>11332.843458000001</v>
      </c>
      <c r="C31" s="39">
        <f>IF(ISERROR(B31*3.6/1000000/'E Balans VL '!Z11*100),0,B31*3.6/1000000/'E Balans VL '!Z11*100)</f>
        <v>3.2303218804044844</v>
      </c>
      <c r="D31" s="237" t="s">
        <v>718</v>
      </c>
    </row>
    <row r="32" spans="1:18">
      <c r="A32" s="231" t="s">
        <v>259</v>
      </c>
      <c r="B32" s="33">
        <f>IF(ISERROR(TER_rest_ele_kWh/1000),0,TER_rest_ele_kWh/1000)</f>
        <v>0</v>
      </c>
      <c r="C32" s="39">
        <f>IF(ISERROR(B32*3.6/1000000/'E Balans VL '!Z8*100),0,B32*3.6/1000000/'E Balans VL '!Z8*100)</f>
        <v>0</v>
      </c>
      <c r="D32" s="237" t="s">
        <v>718</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8</v>
      </c>
      <c r="C38" s="43"/>
      <c r="D38" s="232"/>
    </row>
    <row r="39" spans="1:4">
      <c r="A39" s="171" t="s">
        <v>471</v>
      </c>
      <c r="B39" s="315">
        <v>13.15681996793146</v>
      </c>
      <c r="C39" s="43"/>
      <c r="D39" s="309" t="s">
        <v>862</v>
      </c>
    </row>
    <row r="40" spans="1:4">
      <c r="A40" s="6" t="s">
        <v>472</v>
      </c>
      <c r="B40" s="320">
        <f>1.34/3.6</f>
        <v>0.37222222222222223</v>
      </c>
      <c r="C40" s="43" t="s">
        <v>217</v>
      </c>
      <c r="D40" s="309" t="s">
        <v>863</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14</v>
      </c>
      <c r="C46" s="32"/>
      <c r="D46" s="232"/>
    </row>
    <row r="47" spans="1:4">
      <c r="A47" s="171" t="s">
        <v>441</v>
      </c>
      <c r="B47" s="559">
        <v>37.963784638354454</v>
      </c>
      <c r="C47" s="32" t="s">
        <v>262</v>
      </c>
      <c r="D47" s="309" t="s">
        <v>862</v>
      </c>
    </row>
    <row r="48" spans="1:4">
      <c r="A48" s="171" t="s">
        <v>442</v>
      </c>
      <c r="B48" s="559">
        <v>1887.1743212997605</v>
      </c>
      <c r="C48" s="32" t="s">
        <v>264</v>
      </c>
      <c r="D48" s="309" t="s">
        <v>862</v>
      </c>
    </row>
    <row r="49" spans="1:4">
      <c r="A49" s="171" t="s">
        <v>404</v>
      </c>
      <c r="B49" s="559">
        <v>3.75</v>
      </c>
      <c r="C49" s="32"/>
      <c r="D49" s="309" t="s">
        <v>863</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54081.759842000007</v>
      </c>
      <c r="C5" s="17">
        <f>IF(ISERROR('Eigen informatie GS &amp; warmtenet'!B61),0,'Eigen informatie GS &amp; warmtenet'!B61)</f>
        <v>0</v>
      </c>
      <c r="D5" s="30">
        <f>SUM(D6:D15)</f>
        <v>74560.136322627994</v>
      </c>
      <c r="E5" s="17">
        <f>SUM(E6:E15)</f>
        <v>7698.6065676924418</v>
      </c>
      <c r="F5" s="17">
        <f>SUM(F6:F15)</f>
        <v>26458.87677001096</v>
      </c>
      <c r="G5" s="18"/>
      <c r="H5" s="17"/>
      <c r="I5" s="17"/>
      <c r="J5" s="17">
        <f>SUM(J6:J15)</f>
        <v>210.35956459121797</v>
      </c>
      <c r="K5" s="17"/>
      <c r="L5" s="17"/>
      <c r="M5" s="17"/>
      <c r="N5" s="17">
        <f>SUM(N6:N15)</f>
        <v>4975.3114207490689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4562.5578299999997</v>
      </c>
      <c r="C8" s="33"/>
      <c r="D8" s="37">
        <f>IF( ISERROR(IND_metaal_Gas_kWH/1000),0,IND_metaal_Gas_kWH/1000)*0.902</f>
        <v>4276.449263042</v>
      </c>
      <c r="E8" s="33">
        <f>C30*'E Balans VL '!I18/100/3.6*1000000</f>
        <v>32.915652441079132</v>
      </c>
      <c r="F8" s="33">
        <f>C30*'E Balans VL '!L18/100/3.6*1000000+C30*'E Balans VL '!N18/100/3.6*1000000</f>
        <v>431.53384304477618</v>
      </c>
      <c r="G8" s="34"/>
      <c r="H8" s="33"/>
      <c r="I8" s="33"/>
      <c r="J8" s="40">
        <f>C30*'E Balans VL '!D18/100/3.6*1000000+C30*'E Balans VL '!E18/100/3.6*1000000</f>
        <v>4.5890471793414713</v>
      </c>
      <c r="K8" s="33"/>
      <c r="L8" s="33"/>
      <c r="M8" s="33"/>
      <c r="N8" s="33">
        <f>C30*'E Balans VL '!Y18/100/3.6*1000000</f>
        <v>57.68280230745799</v>
      </c>
      <c r="O8" s="33"/>
      <c r="P8" s="33"/>
      <c r="R8" s="32"/>
    </row>
    <row r="9" spans="1:18">
      <c r="A9" s="6" t="s">
        <v>32</v>
      </c>
      <c r="B9" s="37">
        <f t="shared" si="0"/>
        <v>25954.232112000002</v>
      </c>
      <c r="C9" s="33"/>
      <c r="D9" s="37">
        <f>IF( ISERROR(IND_andere_gas_kWh/1000),0,IND_andere_gas_kWh/1000)*0.902</f>
        <v>25102.782677412</v>
      </c>
      <c r="E9" s="33">
        <f>C31*'E Balans VL '!I19/100/3.6*1000000</f>
        <v>7192.2647697979319</v>
      </c>
      <c r="F9" s="33">
        <f>C31*'E Balans VL '!L19/100/3.6*1000000+C31*'E Balans VL '!N19/100/3.6*1000000</f>
        <v>21510.92366195346</v>
      </c>
      <c r="G9" s="34"/>
      <c r="H9" s="33"/>
      <c r="I9" s="33"/>
      <c r="J9" s="40">
        <f>C31*'E Balans VL '!D19/100/3.6*1000000+C31*'E Balans VL '!E19/100/3.6*1000000</f>
        <v>0</v>
      </c>
      <c r="K9" s="33"/>
      <c r="L9" s="33"/>
      <c r="M9" s="33"/>
      <c r="N9" s="33">
        <f>C31*'E Balans VL '!Y19/100/3.6*1000000</f>
        <v>1883.959796705384</v>
      </c>
      <c r="O9" s="33"/>
      <c r="P9" s="33"/>
      <c r="R9" s="32"/>
    </row>
    <row r="10" spans="1:18">
      <c r="A10" s="6" t="s">
        <v>40</v>
      </c>
      <c r="B10" s="37">
        <f t="shared" si="0"/>
        <v>9270.1354069999998</v>
      </c>
      <c r="C10" s="33"/>
      <c r="D10" s="37">
        <f>IF( ISERROR(IND_voed_gas_kWh/1000),0,IND_voed_gas_kWh/1000)*0.902</f>
        <v>7755.3350581740015</v>
      </c>
      <c r="E10" s="33">
        <f>C32*'E Balans VL '!I20/100/3.6*1000000</f>
        <v>16.4112796665665</v>
      </c>
      <c r="F10" s="33">
        <f>C32*'E Balans VL '!L20/100/3.6*1000000+C32*'E Balans VL '!N20/100/3.6*1000000</f>
        <v>500.66947245112067</v>
      </c>
      <c r="G10" s="34"/>
      <c r="H10" s="33"/>
      <c r="I10" s="33"/>
      <c r="J10" s="40">
        <f>C32*'E Balans VL '!D20/100/3.6*1000000+C32*'E Balans VL '!E20/100/3.6*1000000</f>
        <v>0</v>
      </c>
      <c r="K10" s="33"/>
      <c r="L10" s="33"/>
      <c r="M10" s="33"/>
      <c r="N10" s="33">
        <f>C32*'E Balans VL '!Y20/100/3.6*1000000</f>
        <v>538.66566405299568</v>
      </c>
      <c r="O10" s="33"/>
      <c r="P10" s="33"/>
      <c r="R10" s="32"/>
    </row>
    <row r="11" spans="1:18">
      <c r="A11" s="6" t="s">
        <v>39</v>
      </c>
      <c r="B11" s="37">
        <f t="shared" si="0"/>
        <v>178.66655</v>
      </c>
      <c r="C11" s="33"/>
      <c r="D11" s="37">
        <f>IF( ISERROR(IND_textiel_gas_kWh/1000),0,IND_textiel_gas_kWh/1000)*0.902</f>
        <v>341.56034</v>
      </c>
      <c r="E11" s="33">
        <f>C33*'E Balans VL '!I21/100/3.6*1000000</f>
        <v>0.62981813343921433</v>
      </c>
      <c r="F11" s="33">
        <f>C33*'E Balans VL '!L21/100/3.6*1000000+C33*'E Balans VL '!N21/100/3.6*1000000</f>
        <v>5.2441304135517566</v>
      </c>
      <c r="G11" s="34"/>
      <c r="H11" s="33"/>
      <c r="I11" s="33"/>
      <c r="J11" s="40">
        <f>C33*'E Balans VL '!D21/100/3.6*1000000+C33*'E Balans VL '!E21/100/3.6*1000000</f>
        <v>0</v>
      </c>
      <c r="K11" s="33"/>
      <c r="L11" s="33"/>
      <c r="M11" s="33"/>
      <c r="N11" s="33">
        <f>C33*'E Balans VL '!Y21/100/3.6*1000000</f>
        <v>7.8720226175486268</v>
      </c>
      <c r="O11" s="33"/>
      <c r="P11" s="33"/>
      <c r="R11" s="32"/>
    </row>
    <row r="12" spans="1:18">
      <c r="A12" s="6" t="s">
        <v>36</v>
      </c>
      <c r="B12" s="37">
        <f t="shared" si="0"/>
        <v>10103.915943</v>
      </c>
      <c r="C12" s="33"/>
      <c r="D12" s="37">
        <f>IF( ISERROR(IND_min_gas_kWh/1000),0,IND_min_gas_kWh/1000)*0.902</f>
        <v>34477.018817999997</v>
      </c>
      <c r="E12" s="33">
        <f>C34*'E Balans VL '!I22/100/3.6*1000000</f>
        <v>444.94041711816533</v>
      </c>
      <c r="F12" s="33">
        <f>C34*'E Balans VL '!L22/100/3.6*1000000+C34*'E Balans VL '!N22/100/3.6*1000000</f>
        <v>3951.0391860123223</v>
      </c>
      <c r="G12" s="34"/>
      <c r="H12" s="33"/>
      <c r="I12" s="33"/>
      <c r="J12" s="40">
        <f>C34*'E Balans VL '!D22/100/3.6*1000000+C34*'E Balans VL '!E22/100/3.6*1000000</f>
        <v>3.0679079326575218</v>
      </c>
      <c r="K12" s="33"/>
      <c r="L12" s="33"/>
      <c r="M12" s="33"/>
      <c r="N12" s="33">
        <f>C34*'E Balans VL '!Y22/100/3.6*1000000</f>
        <v>2499.4026043173217</v>
      </c>
      <c r="O12" s="33"/>
      <c r="P12" s="33"/>
      <c r="R12" s="32"/>
    </row>
    <row r="13" spans="1:18">
      <c r="A13" s="6" t="s">
        <v>38</v>
      </c>
      <c r="B13" s="37">
        <f t="shared" si="0"/>
        <v>1846.337</v>
      </c>
      <c r="C13" s="33"/>
      <c r="D13" s="37">
        <f>IF( ISERROR(IND_papier_gas_kWh/1000),0,IND_papier_gas_kWh/1000)*0.902</f>
        <v>1109.07214</v>
      </c>
      <c r="E13" s="33">
        <f>C35*'E Balans VL '!I23/100/3.6*1000000</f>
        <v>2.7165957225241706</v>
      </c>
      <c r="F13" s="33">
        <f>C35*'E Balans VL '!L23/100/3.6*1000000+C35*'E Balans VL '!N23/100/3.6*1000000</f>
        <v>19.769296212162221</v>
      </c>
      <c r="G13" s="34"/>
      <c r="H13" s="33"/>
      <c r="I13" s="33"/>
      <c r="J13" s="40">
        <f>C35*'E Balans VL '!D23/100/3.6*1000000+C35*'E Balans VL '!E23/100/3.6*1000000</f>
        <v>201.99962151609475</v>
      </c>
      <c r="K13" s="33"/>
      <c r="L13" s="33"/>
      <c r="M13" s="33"/>
      <c r="N13" s="33">
        <f>C35*'E Balans VL '!Y23/100/3.6*1000000</f>
        <v>-16.726231153495448</v>
      </c>
      <c r="O13" s="33"/>
      <c r="P13" s="33"/>
      <c r="R13" s="32"/>
    </row>
    <row r="14" spans="1:18">
      <c r="A14" s="6" t="s">
        <v>33</v>
      </c>
      <c r="B14" s="37">
        <f t="shared" si="0"/>
        <v>2080.8200000000002</v>
      </c>
      <c r="C14" s="33"/>
      <c r="D14" s="37">
        <f>IF( ISERROR(IND_chemie_gas_kWh/1000),0,IND_chemie_gas_kWh/1000)*0.902</f>
        <v>1472.3345999999999</v>
      </c>
      <c r="E14" s="33">
        <f>C36*'E Balans VL '!I24/100/3.6*1000000</f>
        <v>4.7063957232106848</v>
      </c>
      <c r="F14" s="33">
        <f>C36*'E Balans VL '!L24/100/3.6*1000000+C36*'E Balans VL '!N24/100/3.6*1000000</f>
        <v>24.568181826467423</v>
      </c>
      <c r="G14" s="34"/>
      <c r="H14" s="33"/>
      <c r="I14" s="33"/>
      <c r="J14" s="40">
        <f>C36*'E Balans VL '!D24/100/3.6*1000000+C36*'E Balans VL '!E24/100/3.6*1000000</f>
        <v>0</v>
      </c>
      <c r="K14" s="33"/>
      <c r="L14" s="33"/>
      <c r="M14" s="33"/>
      <c r="N14" s="33">
        <f>C36*'E Balans VL '!Y24/100/3.6*1000000</f>
        <v>1.1429632809810208</v>
      </c>
      <c r="O14" s="33"/>
      <c r="P14" s="33"/>
      <c r="R14" s="32"/>
    </row>
    <row r="15" spans="1:18">
      <c r="A15" s="6" t="s">
        <v>269</v>
      </c>
      <c r="B15" s="37">
        <f t="shared" si="0"/>
        <v>85.094999999999999</v>
      </c>
      <c r="C15" s="33"/>
      <c r="D15" s="37">
        <f>IF( ISERROR(IND_rest_gas_kWh/1000),0,IND_rest_gas_kWh/1000)*0.902</f>
        <v>25.583425999999999</v>
      </c>
      <c r="E15" s="33">
        <f>C37*'E Balans VL '!I15/100/3.6*1000000</f>
        <v>4.0216390895251841</v>
      </c>
      <c r="F15" s="33">
        <f>C37*'E Balans VL '!L15/100/3.6*1000000+C37*'E Balans VL '!N15/100/3.6*1000000</f>
        <v>15.128998097097281</v>
      </c>
      <c r="G15" s="34"/>
      <c r="H15" s="33"/>
      <c r="I15" s="33"/>
      <c r="J15" s="40">
        <f>C37*'E Balans VL '!D15/100/3.6*1000000+C37*'E Balans VL '!E15/100/3.6*1000000</f>
        <v>0.70298796312422385</v>
      </c>
      <c r="K15" s="33"/>
      <c r="L15" s="33"/>
      <c r="M15" s="33"/>
      <c r="N15" s="33">
        <f>C37*'E Balans VL '!Y15/100/3.6*1000000</f>
        <v>3.3117986208756838</v>
      </c>
      <c r="O15" s="33"/>
      <c r="P15" s="33"/>
      <c r="R15" s="32"/>
    </row>
    <row r="16" spans="1:18">
      <c r="A16" s="16" t="s">
        <v>482</v>
      </c>
      <c r="B16" s="247">
        <f>'lokale energieproductie'!N90+'lokale energieproductie'!N59</f>
        <v>225</v>
      </c>
      <c r="C16" s="247">
        <f>'lokale energieproductie'!O90+'lokale energieproductie'!O59</f>
        <v>321.42857142857144</v>
      </c>
      <c r="D16" s="310">
        <f>('lokale energieproductie'!P59+'lokale energieproductie'!P90)*(-1)</f>
        <v>-642.85714285714289</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54306.759842000007</v>
      </c>
      <c r="C18" s="21">
        <f>C5+C16</f>
        <v>321.42857142857144</v>
      </c>
      <c r="D18" s="21">
        <f>MAX((D5+D16),0)</f>
        <v>73917.279179770849</v>
      </c>
      <c r="E18" s="21">
        <f>MAX((E5+E16),0)</f>
        <v>7698.6065676924418</v>
      </c>
      <c r="F18" s="21">
        <f>MAX((F5+F16),0)</f>
        <v>26458.87677001096</v>
      </c>
      <c r="G18" s="21"/>
      <c r="H18" s="21"/>
      <c r="I18" s="21"/>
      <c r="J18" s="21">
        <f>MAX((J5+J16),0)</f>
        <v>210.35956459121797</v>
      </c>
      <c r="K18" s="21"/>
      <c r="L18" s="21">
        <f>MAX((L5+L16),0)</f>
        <v>0</v>
      </c>
      <c r="M18" s="21"/>
      <c r="N18" s="21">
        <f>MAX((N5+N16),0)</f>
        <v>4975.3114207490689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0.19875751829303009</v>
      </c>
      <c r="C20" s="25">
        <f ca="1">'EF ele_warmte'!B22</f>
        <v>0.23764705882352949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10793.876812731509</v>
      </c>
      <c r="C22" s="23">
        <f ca="1">C18*C20</f>
        <v>76.386554621848774</v>
      </c>
      <c r="D22" s="23">
        <f>D18*D20</f>
        <v>14931.290394313712</v>
      </c>
      <c r="E22" s="23">
        <f>E18*E20</f>
        <v>1747.5836908661843</v>
      </c>
      <c r="F22" s="23">
        <f>F18*F20</f>
        <v>7064.5200975929265</v>
      </c>
      <c r="G22" s="23"/>
      <c r="H22" s="23"/>
      <c r="I22" s="23"/>
      <c r="J22" s="23">
        <f>J18*J20</f>
        <v>74.46728586529116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718</v>
      </c>
    </row>
    <row r="29" spans="1:18">
      <c r="A29" s="171" t="s">
        <v>37</v>
      </c>
      <c r="B29" s="37">
        <f>IF( ISERROR(IND_nonf_ele_kWh/1000),0,IND_nonf_ele_kWh/1000)</f>
        <v>0</v>
      </c>
      <c r="C29" s="39">
        <f>IF(ISERROR(B29*3.6/1000000/'E Balans VL '!Z17*100),0,B29*3.6/1000000/'E Balans VL '!Z17*100)</f>
        <v>0</v>
      </c>
      <c r="D29" s="237" t="s">
        <v>718</v>
      </c>
    </row>
    <row r="30" spans="1:18">
      <c r="A30" s="171" t="s">
        <v>35</v>
      </c>
      <c r="B30" s="37">
        <f>IF( ISERROR(IND_metaal_ele_kWh/1000),0,IND_metaal_ele_kWh/1000)</f>
        <v>4562.5578299999997</v>
      </c>
      <c r="C30" s="39">
        <f>IF(ISERROR(B30*3.6/1000000/'E Balans VL '!Z18*100),0,B30*3.6/1000000/'E Balans VL '!Z18*100)</f>
        <v>0.26338934434943079</v>
      </c>
      <c r="D30" s="237" t="s">
        <v>718</v>
      </c>
    </row>
    <row r="31" spans="1:18">
      <c r="A31" s="6" t="s">
        <v>32</v>
      </c>
      <c r="B31" s="37">
        <f>IF( ISERROR(IND_ander_ele_kWh/1000),0,IND_ander_ele_kWh/1000)</f>
        <v>25954.232112000002</v>
      </c>
      <c r="C31" s="39">
        <f>IF(ISERROR(B31*3.6/1000000/'E Balans VL '!Z19*100),0,B31*3.6/1000000/'E Balans VL '!Z19*100)</f>
        <v>1.3054137478477035</v>
      </c>
      <c r="D31" s="237" t="s">
        <v>718</v>
      </c>
    </row>
    <row r="32" spans="1:18">
      <c r="A32" s="171" t="s">
        <v>40</v>
      </c>
      <c r="B32" s="37">
        <f>IF( ISERROR(IND_voed_ele_kWh/1000),0,IND_voed_ele_kWh/1000)</f>
        <v>9270.1354069999998</v>
      </c>
      <c r="C32" s="39">
        <f>IF(ISERROR(B32*3.6/1000000/'E Balans VL '!Z20*100),0,B32*3.6/1000000/'E Balans VL '!Z20*100)</f>
        <v>0.30875055741693175</v>
      </c>
      <c r="D32" s="237" t="s">
        <v>718</v>
      </c>
    </row>
    <row r="33" spans="1:5">
      <c r="A33" s="171" t="s">
        <v>39</v>
      </c>
      <c r="B33" s="37">
        <f>IF( ISERROR(IND_textiel_ele_kWh/1000),0,IND_textiel_ele_kWh/1000)</f>
        <v>178.66655</v>
      </c>
      <c r="C33" s="39">
        <f>IF(ISERROR(B33*3.6/1000000/'E Balans VL '!Z21*100),0,B33*3.6/1000000/'E Balans VL '!Z21*100)</f>
        <v>2.7856389111280924E-2</v>
      </c>
      <c r="D33" s="237" t="s">
        <v>718</v>
      </c>
    </row>
    <row r="34" spans="1:5">
      <c r="A34" s="171" t="s">
        <v>36</v>
      </c>
      <c r="B34" s="37">
        <f>IF( ISERROR(IND_min_ele_kWh/1000),0,IND_min_ele_kWh/1000)</f>
        <v>10103.915943</v>
      </c>
      <c r="C34" s="39">
        <f>IF(ISERROR(B34*3.6/1000000/'E Balans VL '!Z22*100),0,B34*3.6/1000000/'E Balans VL '!Z22*100)</f>
        <v>1.8847215968543509</v>
      </c>
      <c r="D34" s="237" t="s">
        <v>718</v>
      </c>
    </row>
    <row r="35" spans="1:5">
      <c r="A35" s="171" t="s">
        <v>38</v>
      </c>
      <c r="B35" s="37">
        <f>IF( ISERROR(IND_papier_ele_kWh/1000),0,IND_papier_ele_kWh/1000)</f>
        <v>1846.337</v>
      </c>
      <c r="C35" s="39">
        <f>IF(ISERROR(B35*3.6/1000000/'E Balans VL '!Z22*100),0,B35*3.6/1000000/'E Balans VL '!Z22*100)</f>
        <v>0.34440421304000468</v>
      </c>
      <c r="D35" s="237" t="s">
        <v>718</v>
      </c>
    </row>
    <row r="36" spans="1:5">
      <c r="A36" s="171" t="s">
        <v>33</v>
      </c>
      <c r="B36" s="37">
        <f>IF( ISERROR(IND_chemie_ele_kWh/1000),0,IND_chemie_ele_kWh/1000)</f>
        <v>2080.8200000000002</v>
      </c>
      <c r="C36" s="39">
        <f>IF(ISERROR(B36*3.6/1000000/'E Balans VL '!Z24*100),0,B36*3.6/1000000/'E Balans VL '!Z24*100)</f>
        <v>5.4884191163554398E-2</v>
      </c>
      <c r="D36" s="237" t="s">
        <v>718</v>
      </c>
    </row>
    <row r="37" spans="1:5">
      <c r="A37" s="171" t="s">
        <v>269</v>
      </c>
      <c r="B37" s="37">
        <f>IF( ISERROR(IND_rest_ele_kWh/1000),0,IND_rest_ele_kWh/1000)</f>
        <v>85.094999999999999</v>
      </c>
      <c r="C37" s="39">
        <f>IF(ISERROR(B37*3.6/1000000/'E Balans VL '!Z15*100),0,B37*3.6/1000000/'E Balans VL '!Z15*100)</f>
        <v>6.6397370344137762E-4</v>
      </c>
      <c r="D37" s="237" t="s">
        <v>718</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862</v>
      </c>
    </row>
    <row r="45" spans="1:5">
      <c r="A45" s="6" t="s">
        <v>472</v>
      </c>
      <c r="B45" s="320">
        <f>1.34/3.6</f>
        <v>0.37222222222222223</v>
      </c>
      <c r="C45" s="43" t="s">
        <v>217</v>
      </c>
      <c r="D45" s="309" t="s">
        <v>863</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1577.6787409999999</v>
      </c>
      <c r="C5" s="17">
        <f>'Eigen informatie GS &amp; warmtenet'!B62</f>
        <v>0</v>
      </c>
      <c r="D5" s="30">
        <f>IF(ISERROR(SUM(LB_lb_gas_kWh,LB_rest_gas_kWh)/1000),0,SUM(LB_lb_gas_kWh,LB_rest_gas_kWh)/1000)*0.902</f>
        <v>1215.8444056000001</v>
      </c>
      <c r="E5" s="17">
        <f>B17*'E Balans VL '!I25/3.6*1000000/100</f>
        <v>49.238833252343895</v>
      </c>
      <c r="F5" s="17">
        <f>B17*('E Balans VL '!L25/3.6*1000000+'E Balans VL '!N25/3.6*1000000)/100</f>
        <v>5575.6914412303186</v>
      </c>
      <c r="G5" s="18"/>
      <c r="H5" s="17"/>
      <c r="I5" s="17"/>
      <c r="J5" s="17">
        <f>('E Balans VL '!D25+'E Balans VL '!E25)/3.6*1000000*landbouw!B17/100</f>
        <v>434.66143425168173</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1577.6787409999999</v>
      </c>
      <c r="C8" s="21">
        <f>C5+C6</f>
        <v>0</v>
      </c>
      <c r="D8" s="21">
        <f>MAX((D5+D6),0)</f>
        <v>1215.8444056000001</v>
      </c>
      <c r="E8" s="21">
        <f>MAX((E5+E6),0)</f>
        <v>49.238833252343895</v>
      </c>
      <c r="F8" s="21">
        <f>MAX((F5+F6),0)</f>
        <v>5575.6914412303186</v>
      </c>
      <c r="G8" s="21"/>
      <c r="H8" s="21"/>
      <c r="I8" s="21"/>
      <c r="J8" s="21">
        <f>MAX((J5+J6),0)</f>
        <v>434.66143425168173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0.19875751829303009</v>
      </c>
      <c r="C10" s="31">
        <f ca="1">'EF ele_warmte'!B22</f>
        <v>0.23764705882352949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313.57551122483216</v>
      </c>
      <c r="C12" s="23">
        <f ca="1">C8*C10</f>
        <v>0</v>
      </c>
      <c r="D12" s="23">
        <f>D8*D10</f>
        <v>245.60056993120003</v>
      </c>
      <c r="E12" s="23">
        <f>E8*E10</f>
        <v>11.177215148282064</v>
      </c>
      <c r="F12" s="23">
        <f>F8*F10</f>
        <v>1488.7096148084952</v>
      </c>
      <c r="G12" s="23"/>
      <c r="H12" s="23"/>
      <c r="I12" s="23"/>
      <c r="J12" s="23">
        <f>J8*J10</f>
        <v>153.87014772509534</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0.23453325472216124</v>
      </c>
      <c r="C17" s="237" t="s">
        <v>717</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235.47240575363995</v>
      </c>
      <c r="C26" s="247">
        <f>B26*'GWP N2O_CH4'!B5</f>
        <v>4944.9205208264393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72.559631616395819</v>
      </c>
      <c r="C27" s="247">
        <f>B27*'GWP N2O_CH4'!B5</f>
        <v>1523.7522639443123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5.9665936126079648</v>
      </c>
      <c r="C28" s="247">
        <f>B28*'GWP N2O_CH4'!B4</f>
        <v>1849.6440199084691</v>
      </c>
      <c r="D28" s="50"/>
    </row>
    <row r="29" spans="1:4">
      <c r="A29" s="41" t="s">
        <v>276</v>
      </c>
      <c r="B29" s="247">
        <f>B34*'ha_N2O bodem landbouw'!B4</f>
        <v>21.567259466926092</v>
      </c>
      <c r="C29" s="247">
        <f>B29*'GWP N2O_CH4'!B4</f>
        <v>6685.8504347470889</v>
      </c>
      <c r="D29" s="50"/>
    </row>
    <row r="31" spans="1:4">
      <c r="A31" s="193" t="s">
        <v>489</v>
      </c>
      <c r="B31" s="203"/>
      <c r="C31" s="225"/>
    </row>
    <row r="32" spans="1:4">
      <c r="A32" s="236"/>
      <c r="B32" s="32"/>
      <c r="C32" s="237"/>
    </row>
    <row r="33" spans="1:5">
      <c r="A33" s="238"/>
      <c r="B33" s="224" t="s">
        <v>620</v>
      </c>
      <c r="C33" s="239" t="s">
        <v>181</v>
      </c>
    </row>
    <row r="34" spans="1:5">
      <c r="A34" s="257" t="s">
        <v>111</v>
      </c>
      <c r="B34" s="35">
        <f>IF(ISERROR(aantalCultuurgronden/'ha_N2O bodem landbouw'!B5),0,aantalCultuurgronden/'ha_N2O bodem landbouw'!B5)</f>
        <v>4.7293116913212641E-3</v>
      </c>
      <c r="C34" s="968" t="s">
        <v>734</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1.4273693509999998E-3</v>
      </c>
      <c r="C5" s="463" t="s">
        <v>210</v>
      </c>
      <c r="D5" s="448">
        <f>SUM(D6:D11)</f>
        <v>5.5975875054549516E-3</v>
      </c>
      <c r="E5" s="448">
        <f>SUM(E6:E11)</f>
        <v>4.659176321882375E-3</v>
      </c>
      <c r="F5" s="461" t="s">
        <v>210</v>
      </c>
      <c r="G5" s="448">
        <f>SUM(G6:G11)</f>
        <v>1.6857652502492124</v>
      </c>
      <c r="H5" s="448">
        <f>SUM(H6:H11)</f>
        <v>0.4229746679220095</v>
      </c>
      <c r="I5" s="463" t="s">
        <v>210</v>
      </c>
      <c r="J5" s="463" t="s">
        <v>210</v>
      </c>
      <c r="K5" s="463" t="s">
        <v>210</v>
      </c>
      <c r="L5" s="463" t="s">
        <v>210</v>
      </c>
      <c r="M5" s="448">
        <f>SUM(M6:M11)</f>
        <v>0.1250040432080744</v>
      </c>
      <c r="N5" s="463" t="s">
        <v>210</v>
      </c>
      <c r="O5" s="463" t="s">
        <v>210</v>
      </c>
      <c r="P5" s="464" t="s">
        <v>210</v>
      </c>
    </row>
    <row r="6" spans="1:18">
      <c r="A6" s="261" t="s">
        <v>654</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7.555222170349999E-4</v>
      </c>
      <c r="C6" s="449"/>
      <c r="D6" s="917">
        <f>vkm_2011_GW_PW*SUMIFS(TableVerdeelsleutelVkm[CNG],TableVerdeelsleutelVkm[Voertuigtype],"Lichte voertuigen")*SUMIFS(TableECFTransport[EnergieConsumptieFactor (PJ per km)],TableECFTransport[Index],CONCATENATE($A6,"_CNG_CNG"))</f>
        <v>2.6270794386042359E-3</v>
      </c>
      <c r="E6" s="917">
        <f>vkm_2011_GW_PW*SUMIFS(TableVerdeelsleutelVkm[LPG],TableVerdeelsleutelVkm[Voertuigtype],"Lichte voertuigen")*SUMIFS(TableECFTransport[EnergieConsumptieFactor (PJ per km)],TableECFTransport[Index],CONCATENATE($A6,"_LPG_LPG"))</f>
        <v>2.0697057726612E-3</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0.56339797669968561</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0.19715187183070892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4.5447633770240567E-2</v>
      </c>
      <c r="N6" s="449"/>
      <c r="O6" s="449"/>
      <c r="P6" s="450"/>
    </row>
    <row r="7" spans="1:18">
      <c r="A7" s="261" t="s">
        <v>655</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0.26104866033519336</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6.576656979444472E-5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1.5052881327736901E-2</v>
      </c>
      <c r="N7" s="449"/>
      <c r="O7" s="449"/>
      <c r="P7" s="450"/>
      <c r="R7" s="913"/>
    </row>
    <row r="8" spans="1:18">
      <c r="A8" s="261" t="s">
        <v>656</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2.1018307441999999E-4</v>
      </c>
      <c r="C8" s="449"/>
      <c r="D8" s="451">
        <f>vkm_2011_NGW_PW*SUMIFS(TableVerdeelsleutelVkm[CNG],TableVerdeelsleutelVkm[Voertuigtype],"Lichte voertuigen")*SUMIFS(TableECFTransport[EnergieConsumptieFactor (PJ per km)],TableECFTransport[Index],CONCATENATE($A8,"_CNG_CNG"))</f>
        <v>1.2934032087715201E-3</v>
      </c>
      <c r="E8" s="451">
        <f>vkm_2011_NGW_PW*SUMIFS(TableVerdeelsleutelVkm[LPG],TableVerdeelsleutelVkm[Voertuigtype],"Lichte voertuigen")*SUMIFS(TableECFTransport[EnergieConsumptieFactor (PJ per km)],TableECFTransport[Index],CONCATENATE($A8,"_LPG_LPG"))</f>
        <v>9.4466540899389997E-4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0.23862634903678448</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9.4580680117753252E-2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1.9977998923772632E-2</v>
      </c>
      <c r="N8" s="449"/>
      <c r="O8" s="449"/>
      <c r="P8" s="450"/>
      <c r="R8" s="913"/>
    </row>
    <row r="9" spans="1:18">
      <c r="A9" s="261" t="s">
        <v>657</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5.9575293528426384E-3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1.4161752606867969E-6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3.435241818846432E-4</v>
      </c>
      <c r="N9" s="449"/>
      <c r="O9" s="449"/>
      <c r="P9" s="450"/>
      <c r="R9" s="913"/>
    </row>
    <row r="10" spans="1:18">
      <c r="A10" s="261" t="s">
        <v>658</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4.6166405954499998E-4</v>
      </c>
      <c r="C10" s="449"/>
      <c r="D10" s="451">
        <f>vkm_2011_SW_PW*SUMIFS(TableVerdeelsleutelVkm[CNG],TableVerdeelsleutelVkm[Voertuigtype],"Lichte voertuigen")*SUMIFS(TableECFTransport[EnergieConsumptieFactor (PJ per km)],TableECFTransport[Index],CONCATENATE($A10,"_CNG_CNG"))</f>
        <v>1.677104858079196E-3</v>
      </c>
      <c r="E10" s="451">
        <f>vkm_2011_SW_PW*SUMIFS(TableVerdeelsleutelVkm[LPG],TableVerdeelsleutelVkm[Voertuigtype],"Lichte voertuigen")*SUMIFS(TableECFTransport[EnergieConsumptieFactor (PJ per km)],TableECFTransport[Index],CONCATENATE($A10,"_LPG_LPG"))</f>
        <v>1.6448051402272752E-3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0.39772266152193153</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0.13111517301555028</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3.1552783055960258E-2</v>
      </c>
      <c r="N10" s="449"/>
      <c r="O10" s="449"/>
      <c r="P10" s="450"/>
      <c r="R10" s="913"/>
    </row>
    <row r="11" spans="1:18">
      <c r="A11" s="4" t="s">
        <v>659</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0.2190120733027747</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5.9760212941889474E-5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1.2629221948479399E-2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396.49148638888886</v>
      </c>
      <c r="C14" s="21"/>
      <c r="D14" s="21">
        <f t="shared" ref="D14:M14" si="0">((D5)*10^9/3600)+D12</f>
        <v>1554.8854181819311</v>
      </c>
      <c r="E14" s="21">
        <f t="shared" si="0"/>
        <v>1294.2156449673262</v>
      </c>
      <c r="F14" s="21"/>
      <c r="G14" s="21">
        <f t="shared" si="0"/>
        <v>468268.12506922567</v>
      </c>
      <c r="H14" s="21">
        <f t="shared" si="0"/>
        <v>117492.9633116693</v>
      </c>
      <c r="I14" s="21"/>
      <c r="J14" s="21"/>
      <c r="K14" s="21"/>
      <c r="L14" s="21"/>
      <c r="M14" s="21">
        <f t="shared" si="0"/>
        <v>34723.345335576225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0.19875751829303009</v>
      </c>
      <c r="C16" s="56">
        <f ca="1">'EF ele_warmte'!B22</f>
        <v>0.23764705882352949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78.805663858970263</v>
      </c>
      <c r="C18" s="23"/>
      <c r="D18" s="23">
        <f t="shared" ref="D18:M18" si="1">D14*D16</f>
        <v>314.08685447275008</v>
      </c>
      <c r="E18" s="23">
        <f t="shared" si="1"/>
        <v>293.78695140758305</v>
      </c>
      <c r="F18" s="23"/>
      <c r="G18" s="23">
        <f t="shared" si="1"/>
        <v>125027.58939348326</v>
      </c>
      <c r="H18" s="23">
        <f t="shared" si="1"/>
        <v>29255.747864605655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660</v>
      </c>
      <c r="D23" s="954" t="s">
        <v>661</v>
      </c>
      <c r="E23" s="954" t="s">
        <v>662</v>
      </c>
      <c r="F23" s="954" t="s">
        <v>644</v>
      </c>
      <c r="G23" s="954" t="s">
        <v>663</v>
      </c>
      <c r="H23" s="954" t="s">
        <v>664</v>
      </c>
      <c r="I23" s="954" t="s">
        <v>118</v>
      </c>
      <c r="J23" s="954" t="s">
        <v>665</v>
      </c>
      <c r="K23" s="954" t="s">
        <v>666</v>
      </c>
      <c r="L23" s="955" t="s">
        <v>667</v>
      </c>
      <c r="M23" s="129" t="s">
        <v>181</v>
      </c>
      <c r="N23" s="268" t="s">
        <v>315</v>
      </c>
    </row>
    <row r="24" spans="1:18">
      <c r="A24" s="32" t="s">
        <v>652</v>
      </c>
      <c r="B24" s="941">
        <v>2.8E-3</v>
      </c>
      <c r="C24" s="941">
        <v>0.73029999999999995</v>
      </c>
      <c r="D24" s="915"/>
      <c r="E24" s="941"/>
      <c r="F24" s="941">
        <v>0</v>
      </c>
      <c r="G24" s="941">
        <v>2.3E-3</v>
      </c>
      <c r="H24" s="915"/>
      <c r="I24" s="915">
        <v>2.5000000000000001E-3</v>
      </c>
      <c r="J24" s="915">
        <v>0.25330000000000003</v>
      </c>
      <c r="K24" s="915">
        <v>1.12E-2</v>
      </c>
      <c r="M24" s="269" t="s">
        <v>800</v>
      </c>
      <c r="N24" s="916">
        <f>SUM(B24:K24)</f>
        <v>1.0024</v>
      </c>
      <c r="O24" s="913" t="s">
        <v>645</v>
      </c>
    </row>
    <row r="25" spans="1:18">
      <c r="A25" s="32" t="s">
        <v>653</v>
      </c>
      <c r="B25" s="915"/>
      <c r="C25" s="941">
        <v>0.99960000000000004</v>
      </c>
      <c r="D25" s="915"/>
      <c r="E25" s="915"/>
      <c r="F25" s="941"/>
      <c r="G25" s="915"/>
      <c r="H25" s="915"/>
      <c r="I25" s="915"/>
      <c r="J25" s="915">
        <v>4.0000000000000002E-4</v>
      </c>
      <c r="K25" s="915"/>
      <c r="M25" s="269" t="s">
        <v>800</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693</v>
      </c>
      <c r="F31" s="53"/>
      <c r="G31" s="43"/>
      <c r="H31" s="43"/>
      <c r="I31" s="43"/>
      <c r="J31" s="43"/>
      <c r="K31" s="43"/>
      <c r="L31" s="174"/>
    </row>
    <row r="32" spans="1:18">
      <c r="A32" s="278" t="s">
        <v>320</v>
      </c>
      <c r="B32" s="279"/>
      <c r="C32" s="280"/>
      <c r="D32" s="279">
        <v>3.73E-2</v>
      </c>
      <c r="E32" s="952" t="s">
        <v>693</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799</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693</v>
      </c>
      <c r="F38" s="282"/>
      <c r="G38" s="58"/>
      <c r="H38" s="58"/>
      <c r="I38" s="58"/>
      <c r="J38" s="58"/>
      <c r="K38" s="58"/>
      <c r="L38" s="284"/>
    </row>
    <row r="39" spans="1:16">
      <c r="A39" s="278" t="s">
        <v>325</v>
      </c>
      <c r="B39" s="279"/>
      <c r="C39" s="280"/>
      <c r="D39" s="279">
        <v>2.8799999999999999E-2</v>
      </c>
      <c r="E39" s="952" t="s">
        <v>693</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5.5954341287694269E-2</v>
      </c>
      <c r="H50" s="321">
        <f t="shared" si="2"/>
        <v>0</v>
      </c>
      <c r="I50" s="321">
        <f t="shared" si="2"/>
        <v>0</v>
      </c>
      <c r="J50" s="321">
        <f t="shared" si="2"/>
        <v>0</v>
      </c>
      <c r="K50" s="321">
        <f t="shared" si="2"/>
        <v>0</v>
      </c>
      <c r="L50" s="321">
        <f t="shared" si="2"/>
        <v>0</v>
      </c>
      <c r="M50" s="321">
        <f t="shared" si="2"/>
        <v>3.1099484797778073E-3</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5.5954341287694269E-2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3.1099484797778073E-3</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15542.872579915074</v>
      </c>
      <c r="H54" s="21">
        <f t="shared" si="3"/>
        <v>0</v>
      </c>
      <c r="I54" s="21">
        <f t="shared" si="3"/>
        <v>0</v>
      </c>
      <c r="J54" s="21">
        <f t="shared" si="3"/>
        <v>0</v>
      </c>
      <c r="K54" s="21">
        <f t="shared" si="3"/>
        <v>0</v>
      </c>
      <c r="L54" s="21">
        <f t="shared" si="3"/>
        <v>0</v>
      </c>
      <c r="M54" s="21">
        <f t="shared" si="3"/>
        <v>863.87457771605762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0.19875751829303009</v>
      </c>
      <c r="C56" s="56">
        <f ca="1">'EF ele_warmte'!B22</f>
        <v>0.23764705882352949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4149.9469788373253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555</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720</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556</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208107.31503100001</v>
      </c>
      <c r="D10" s="712">
        <f ca="1">tertiair!C16</f>
        <v>2939.1428571428573</v>
      </c>
      <c r="E10" s="712">
        <f ca="1">tertiair!D16</f>
        <v>206882.58112251828</v>
      </c>
      <c r="F10" s="712">
        <f>tertiair!E16</f>
        <v>2810.9554106997398</v>
      </c>
      <c r="G10" s="712">
        <f ca="1">tertiair!F16</f>
        <v>22454.524020404904</v>
      </c>
      <c r="H10" s="712">
        <f>tertiair!G16</f>
        <v>0</v>
      </c>
      <c r="I10" s="712">
        <f>tertiair!H16</f>
        <v>0</v>
      </c>
      <c r="J10" s="712">
        <f>tertiair!I16</f>
        <v>0</v>
      </c>
      <c r="K10" s="712">
        <f>tertiair!J16</f>
        <v>0.28871163606020867</v>
      </c>
      <c r="L10" s="712">
        <f>tertiair!K16</f>
        <v>0</v>
      </c>
      <c r="M10" s="712">
        <f ca="1">tertiair!L16</f>
        <v>0</v>
      </c>
      <c r="N10" s="712">
        <f>tertiair!M16</f>
        <v>0</v>
      </c>
      <c r="O10" s="712">
        <f ca="1">tertiair!N16</f>
        <v>7957.0281815387516</v>
      </c>
      <c r="P10" s="712">
        <f>tertiair!O16</f>
        <v>39.178086126729234</v>
      </c>
      <c r="Q10" s="713">
        <f>tertiair!P16</f>
        <v>735.54793629093024</v>
      </c>
      <c r="R10" s="715">
        <f ca="1">SUM(C10:Q10)</f>
        <v>451926.5613573583</v>
      </c>
      <c r="S10" s="67"/>
    </row>
    <row r="11" spans="1:19" s="474" customFormat="1">
      <c r="A11" s="834" t="s">
        <v>224</v>
      </c>
      <c r="B11" s="839"/>
      <c r="C11" s="712">
        <f>huishoudens!B8</f>
        <v>127526.53730776205</v>
      </c>
      <c r="D11" s="712">
        <f>huishoudens!C8</f>
        <v>0</v>
      </c>
      <c r="E11" s="712">
        <f>huishoudens!D8</f>
        <v>306032.47647940088</v>
      </c>
      <c r="F11" s="712">
        <f>huishoudens!E8</f>
        <v>22233.353669344964</v>
      </c>
      <c r="G11" s="712">
        <f>huishoudens!F8</f>
        <v>47771.738900874145</v>
      </c>
      <c r="H11" s="712">
        <f>huishoudens!G8</f>
        <v>0</v>
      </c>
      <c r="I11" s="712">
        <f>huishoudens!H8</f>
        <v>0</v>
      </c>
      <c r="J11" s="712">
        <f>huishoudens!I8</f>
        <v>0</v>
      </c>
      <c r="K11" s="712">
        <f>huishoudens!J8</f>
        <v>0</v>
      </c>
      <c r="L11" s="712">
        <f>huishoudens!K8</f>
        <v>0</v>
      </c>
      <c r="M11" s="712">
        <f>huishoudens!L8</f>
        <v>0</v>
      </c>
      <c r="N11" s="712">
        <f>huishoudens!M8</f>
        <v>0</v>
      </c>
      <c r="O11" s="712">
        <f>huishoudens!N8</f>
        <v>37071.393579026102</v>
      </c>
      <c r="P11" s="712">
        <f>huishoudens!O8</f>
        <v>1543.5194946831109</v>
      </c>
      <c r="Q11" s="713">
        <f>huishoudens!P8</f>
        <v>2833.6350537672715</v>
      </c>
      <c r="R11" s="715">
        <f>SUM(C11:Q11)</f>
        <v>545012.6544848585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634</v>
      </c>
      <c r="B13" s="843" t="s">
        <v>632</v>
      </c>
      <c r="C13" s="712">
        <f>industrie!B18</f>
        <v>54306.759842000007</v>
      </c>
      <c r="D13" s="712">
        <f>industrie!C18</f>
        <v>321.42857142857144</v>
      </c>
      <c r="E13" s="712">
        <f>industrie!D18</f>
        <v>73917.279179770849</v>
      </c>
      <c r="F13" s="712">
        <f>industrie!E18</f>
        <v>7698.6065676924418</v>
      </c>
      <c r="G13" s="712">
        <f>industrie!F18</f>
        <v>26458.87677001096</v>
      </c>
      <c r="H13" s="712">
        <f>industrie!G18</f>
        <v>0</v>
      </c>
      <c r="I13" s="712">
        <f>industrie!H18</f>
        <v>0</v>
      </c>
      <c r="J13" s="712">
        <f>industrie!I18</f>
        <v>0</v>
      </c>
      <c r="K13" s="712">
        <f>industrie!J18</f>
        <v>210.35956459121797</v>
      </c>
      <c r="L13" s="712">
        <f>industrie!K18</f>
        <v>0</v>
      </c>
      <c r="M13" s="712">
        <f>industrie!L18</f>
        <v>0</v>
      </c>
      <c r="N13" s="712">
        <f>industrie!M18</f>
        <v>0</v>
      </c>
      <c r="O13" s="712">
        <f>industrie!N18</f>
        <v>4975.3114207490689</v>
      </c>
      <c r="P13" s="712">
        <f>industrie!O18</f>
        <v>0</v>
      </c>
      <c r="Q13" s="713">
        <f>industrie!P18</f>
        <v>0</v>
      </c>
      <c r="R13" s="715">
        <f>SUM(C13:Q13)</f>
        <v>167888.62191624314</v>
      </c>
      <c r="S13" s="67"/>
    </row>
    <row r="14" spans="1:19" s="474" customFormat="1">
      <c r="A14" s="834"/>
      <c r="B14" s="843" t="s">
        <v>633</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735</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389940.61218076205</v>
      </c>
      <c r="D16" s="748">
        <f t="shared" ref="D16:R16" ca="1" si="0">SUM(D9:D15)</f>
        <v>3260.5714285714289</v>
      </c>
      <c r="E16" s="748">
        <f t="shared" ca="1" si="0"/>
        <v>586832.33678169001</v>
      </c>
      <c r="F16" s="748">
        <f t="shared" si="0"/>
        <v>32742.915647737143</v>
      </c>
      <c r="G16" s="748">
        <f t="shared" ca="1" si="0"/>
        <v>96685.139691290009</v>
      </c>
      <c r="H16" s="748">
        <f t="shared" si="0"/>
        <v>0</v>
      </c>
      <c r="I16" s="748">
        <f t="shared" si="0"/>
        <v>0</v>
      </c>
      <c r="J16" s="748">
        <f t="shared" si="0"/>
        <v>0</v>
      </c>
      <c r="K16" s="748">
        <f t="shared" si="0"/>
        <v>210.64827622727819</v>
      </c>
      <c r="L16" s="748">
        <f t="shared" si="0"/>
        <v>0</v>
      </c>
      <c r="M16" s="748">
        <f t="shared" ca="1" si="0"/>
        <v>0</v>
      </c>
      <c r="N16" s="748">
        <f t="shared" si="0"/>
        <v>0</v>
      </c>
      <c r="O16" s="748">
        <f t="shared" ca="1" si="0"/>
        <v>50003.733181313917</v>
      </c>
      <c r="P16" s="748">
        <f t="shared" si="0"/>
        <v>1582.6975808098402</v>
      </c>
      <c r="Q16" s="748">
        <f t="shared" si="0"/>
        <v>3569.1829900582015</v>
      </c>
      <c r="R16" s="748">
        <f t="shared" ca="1" si="0"/>
        <v>1164827.8377584598</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15542.872579915074</v>
      </c>
      <c r="I19" s="712">
        <f>transport!H54</f>
        <v>0</v>
      </c>
      <c r="J19" s="712">
        <f>transport!I54</f>
        <v>0</v>
      </c>
      <c r="K19" s="712">
        <f>transport!J54</f>
        <v>0</v>
      </c>
      <c r="L19" s="712">
        <f>transport!K54</f>
        <v>0</v>
      </c>
      <c r="M19" s="712">
        <f>transport!L54</f>
        <v>0</v>
      </c>
      <c r="N19" s="712">
        <f>transport!M54</f>
        <v>863.87457771605762</v>
      </c>
      <c r="O19" s="712">
        <f>transport!N54</f>
        <v>0</v>
      </c>
      <c r="P19" s="712">
        <f>transport!O54</f>
        <v>0</v>
      </c>
      <c r="Q19" s="713">
        <f>transport!P54</f>
        <v>0</v>
      </c>
      <c r="R19" s="715">
        <f>SUM(C19:Q19)</f>
        <v>16406.747157631133</v>
      </c>
      <c r="S19" s="67"/>
    </row>
    <row r="20" spans="1:19" s="474" customFormat="1">
      <c r="A20" s="834" t="s">
        <v>306</v>
      </c>
      <c r="B20" s="839"/>
      <c r="C20" s="712">
        <f>transport!B14</f>
        <v>396.49148638888886</v>
      </c>
      <c r="D20" s="712">
        <f>transport!C14</f>
        <v>0</v>
      </c>
      <c r="E20" s="712">
        <f>transport!D14</f>
        <v>1554.8854181819311</v>
      </c>
      <c r="F20" s="712">
        <f>transport!E14</f>
        <v>1294.2156449673262</v>
      </c>
      <c r="G20" s="712">
        <f>transport!F14</f>
        <v>0</v>
      </c>
      <c r="H20" s="712">
        <f>transport!G14</f>
        <v>468268.12506922567</v>
      </c>
      <c r="I20" s="712">
        <f>transport!H14</f>
        <v>117492.9633116693</v>
      </c>
      <c r="J20" s="712">
        <f>transport!I14</f>
        <v>0</v>
      </c>
      <c r="K20" s="712">
        <f>transport!J14</f>
        <v>0</v>
      </c>
      <c r="L20" s="712">
        <f>transport!K14</f>
        <v>0</v>
      </c>
      <c r="M20" s="712">
        <f>transport!L14</f>
        <v>0</v>
      </c>
      <c r="N20" s="712">
        <f>transport!M14</f>
        <v>34723.345335576225</v>
      </c>
      <c r="O20" s="712">
        <f>transport!N14</f>
        <v>0</v>
      </c>
      <c r="P20" s="712">
        <f>transport!O14</f>
        <v>0</v>
      </c>
      <c r="Q20" s="713">
        <f>transport!P14</f>
        <v>0</v>
      </c>
      <c r="R20" s="715">
        <f>SUM(C20:Q20)</f>
        <v>623730.02626600931</v>
      </c>
      <c r="S20" s="67"/>
    </row>
    <row r="21" spans="1:19" s="474" customFormat="1" ht="15" thickBot="1">
      <c r="A21" s="856" t="s">
        <v>738</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396.49148638888886</v>
      </c>
      <c r="D22" s="837">
        <f t="shared" ref="D22:R22" si="1">SUM(D18:D21)</f>
        <v>0</v>
      </c>
      <c r="E22" s="837">
        <f t="shared" si="1"/>
        <v>1554.8854181819311</v>
      </c>
      <c r="F22" s="837">
        <f t="shared" si="1"/>
        <v>1294.2156449673262</v>
      </c>
      <c r="G22" s="837">
        <f t="shared" si="1"/>
        <v>0</v>
      </c>
      <c r="H22" s="837">
        <f t="shared" si="1"/>
        <v>483810.99764914077</v>
      </c>
      <c r="I22" s="837">
        <f t="shared" si="1"/>
        <v>117492.9633116693</v>
      </c>
      <c r="J22" s="837">
        <f t="shared" si="1"/>
        <v>0</v>
      </c>
      <c r="K22" s="837">
        <f t="shared" si="1"/>
        <v>0</v>
      </c>
      <c r="L22" s="837">
        <f t="shared" si="1"/>
        <v>0</v>
      </c>
      <c r="M22" s="837">
        <f t="shared" si="1"/>
        <v>0</v>
      </c>
      <c r="N22" s="837">
        <f t="shared" si="1"/>
        <v>35587.219913292283</v>
      </c>
      <c r="O22" s="837">
        <f t="shared" si="1"/>
        <v>0</v>
      </c>
      <c r="P22" s="837">
        <f t="shared" si="1"/>
        <v>0</v>
      </c>
      <c r="Q22" s="837">
        <f t="shared" si="1"/>
        <v>0</v>
      </c>
      <c r="R22" s="837">
        <f t="shared" si="1"/>
        <v>640136.77342364041</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629</v>
      </c>
      <c r="B24" s="839"/>
      <c r="C24" s="712">
        <f>+landbouw!B8</f>
        <v>1577.6787409999999</v>
      </c>
      <c r="D24" s="712">
        <f>+landbouw!C8</f>
        <v>0</v>
      </c>
      <c r="E24" s="712">
        <f>+landbouw!D8</f>
        <v>1215.8444056000001</v>
      </c>
      <c r="F24" s="712">
        <f>+landbouw!E8</f>
        <v>49.238833252343895</v>
      </c>
      <c r="G24" s="712">
        <f>+landbouw!F8</f>
        <v>5575.6914412303186</v>
      </c>
      <c r="H24" s="712">
        <f>+landbouw!G8</f>
        <v>0</v>
      </c>
      <c r="I24" s="712">
        <f>+landbouw!H8</f>
        <v>0</v>
      </c>
      <c r="J24" s="712">
        <f>+landbouw!I8</f>
        <v>0</v>
      </c>
      <c r="K24" s="712">
        <f>+landbouw!J8</f>
        <v>434.66143425168173</v>
      </c>
      <c r="L24" s="712">
        <f>+landbouw!K8</f>
        <v>0</v>
      </c>
      <c r="M24" s="712">
        <f>+landbouw!L8</f>
        <v>0</v>
      </c>
      <c r="N24" s="712">
        <f>+landbouw!M8</f>
        <v>0</v>
      </c>
      <c r="O24" s="712">
        <f>+landbouw!N8</f>
        <v>0</v>
      </c>
      <c r="P24" s="712">
        <f>+landbouw!O8</f>
        <v>0</v>
      </c>
      <c r="Q24" s="713">
        <f>+landbouw!P8</f>
        <v>0</v>
      </c>
      <c r="R24" s="715">
        <f>SUM(C24:Q24)</f>
        <v>8853.1148553343446</v>
      </c>
      <c r="S24" s="67"/>
    </row>
    <row r="25" spans="1:19" s="474" customFormat="1" ht="15" thickBot="1">
      <c r="A25" s="856" t="s">
        <v>736</v>
      </c>
      <c r="B25" s="982"/>
      <c r="C25" s="983">
        <f>IF(Onbekend_ele_kWh="---",0,Onbekend_ele_kWh)/1000+IF(REST_rest_ele_kWh="---",0,REST_rest_ele_kWh)/1000</f>
        <v>9036.4563000000016</v>
      </c>
      <c r="D25" s="983"/>
      <c r="E25" s="983">
        <f>IF(onbekend_gas_kWh="---",0,onbekend_gas_kWh)/1000+IF(REST_rest_gas_kWh="---",0,REST_rest_gas_kWh)/1000</f>
        <v>20316.052578000003</v>
      </c>
      <c r="F25" s="983"/>
      <c r="G25" s="983"/>
      <c r="H25" s="983"/>
      <c r="I25" s="983"/>
      <c r="J25" s="983"/>
      <c r="K25" s="983"/>
      <c r="L25" s="983"/>
      <c r="M25" s="983"/>
      <c r="N25" s="983"/>
      <c r="O25" s="983"/>
      <c r="P25" s="983"/>
      <c r="Q25" s="984"/>
      <c r="R25" s="715">
        <f>SUM(C25:Q25)</f>
        <v>29352.508878000004</v>
      </c>
      <c r="S25" s="67"/>
    </row>
    <row r="26" spans="1:19" s="474" customFormat="1" ht="15.75" thickBot="1">
      <c r="A26" s="720" t="s">
        <v>737</v>
      </c>
      <c r="B26" s="842"/>
      <c r="C26" s="837">
        <f>SUM(C24:C25)</f>
        <v>10614.135041000001</v>
      </c>
      <c r="D26" s="837">
        <f t="shared" ref="D26:R26" si="2">SUM(D24:D25)</f>
        <v>0</v>
      </c>
      <c r="E26" s="837">
        <f t="shared" si="2"/>
        <v>21531.896983600003</v>
      </c>
      <c r="F26" s="837">
        <f t="shared" si="2"/>
        <v>49.238833252343895</v>
      </c>
      <c r="G26" s="837">
        <f t="shared" si="2"/>
        <v>5575.6914412303186</v>
      </c>
      <c r="H26" s="837">
        <f t="shared" si="2"/>
        <v>0</v>
      </c>
      <c r="I26" s="837">
        <f t="shared" si="2"/>
        <v>0</v>
      </c>
      <c r="J26" s="837">
        <f t="shared" si="2"/>
        <v>0</v>
      </c>
      <c r="K26" s="837">
        <f t="shared" si="2"/>
        <v>434.66143425168173</v>
      </c>
      <c r="L26" s="837">
        <f t="shared" si="2"/>
        <v>0</v>
      </c>
      <c r="M26" s="837">
        <f t="shared" si="2"/>
        <v>0</v>
      </c>
      <c r="N26" s="837">
        <f t="shared" si="2"/>
        <v>0</v>
      </c>
      <c r="O26" s="837">
        <f t="shared" si="2"/>
        <v>0</v>
      </c>
      <c r="P26" s="837">
        <f t="shared" si="2"/>
        <v>0</v>
      </c>
      <c r="Q26" s="837">
        <f t="shared" si="2"/>
        <v>0</v>
      </c>
      <c r="R26" s="837">
        <f t="shared" si="2"/>
        <v>38205.623733334345</v>
      </c>
      <c r="S26" s="67"/>
    </row>
    <row r="27" spans="1:19" s="474" customFormat="1" ht="17.25" thickTop="1" thickBot="1">
      <c r="A27" s="721" t="s">
        <v>115</v>
      </c>
      <c r="B27" s="829"/>
      <c r="C27" s="722">
        <f ca="1">C22+C16+C26</f>
        <v>400951.23870815092</v>
      </c>
      <c r="D27" s="722">
        <f t="shared" ref="D27:R27" ca="1" si="3">D22+D16+D26</f>
        <v>3260.5714285714289</v>
      </c>
      <c r="E27" s="722">
        <f t="shared" ca="1" si="3"/>
        <v>609919.11918347189</v>
      </c>
      <c r="F27" s="722">
        <f t="shared" si="3"/>
        <v>34086.370125956812</v>
      </c>
      <c r="G27" s="722">
        <f t="shared" ca="1" si="3"/>
        <v>102260.83113252032</v>
      </c>
      <c r="H27" s="722">
        <f t="shared" si="3"/>
        <v>483810.99764914077</v>
      </c>
      <c r="I27" s="722">
        <f t="shared" si="3"/>
        <v>117492.9633116693</v>
      </c>
      <c r="J27" s="722">
        <f t="shared" si="3"/>
        <v>0</v>
      </c>
      <c r="K27" s="722">
        <f t="shared" si="3"/>
        <v>645.30971047895991</v>
      </c>
      <c r="L27" s="722">
        <f t="shared" si="3"/>
        <v>0</v>
      </c>
      <c r="M27" s="722">
        <f t="shared" ca="1" si="3"/>
        <v>0</v>
      </c>
      <c r="N27" s="722">
        <f t="shared" si="3"/>
        <v>35587.219913292283</v>
      </c>
      <c r="O27" s="722">
        <f t="shared" ca="1" si="3"/>
        <v>50003.733181313917</v>
      </c>
      <c r="P27" s="722">
        <f t="shared" si="3"/>
        <v>1582.6975808098402</v>
      </c>
      <c r="Q27" s="722">
        <f t="shared" si="3"/>
        <v>3569.1829900582015</v>
      </c>
      <c r="R27" s="722">
        <f t="shared" ca="1" si="3"/>
        <v>1843170.2349154344</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41362.89347418736</v>
      </c>
      <c r="D40" s="712">
        <f ca="1">tertiair!C20</f>
        <v>698.4786554621852</v>
      </c>
      <c r="E40" s="712">
        <f ca="1">tertiair!D20</f>
        <v>41790.281386748698</v>
      </c>
      <c r="F40" s="712">
        <f>tertiair!E20</f>
        <v>638.08687822884099</v>
      </c>
      <c r="G40" s="712">
        <f ca="1">tertiair!F20</f>
        <v>5995.3579134481097</v>
      </c>
      <c r="H40" s="712">
        <f>tertiair!G20</f>
        <v>0</v>
      </c>
      <c r="I40" s="712">
        <f>tertiair!H20</f>
        <v>0</v>
      </c>
      <c r="J40" s="712">
        <f>tertiair!I20</f>
        <v>0</v>
      </c>
      <c r="K40" s="712">
        <f>tertiair!J20</f>
        <v>0.10220391916531386</v>
      </c>
      <c r="L40" s="712">
        <f>tertiair!K20</f>
        <v>0</v>
      </c>
      <c r="M40" s="712">
        <f ca="1">tertiair!L20</f>
        <v>0</v>
      </c>
      <c r="N40" s="712">
        <f>tertiair!M20</f>
        <v>0</v>
      </c>
      <c r="O40" s="712">
        <f ca="1">tertiair!N20</f>
        <v>0</v>
      </c>
      <c r="P40" s="712">
        <f>tertiair!O20</f>
        <v>0</v>
      </c>
      <c r="Q40" s="795">
        <f>tertiair!P20</f>
        <v>0</v>
      </c>
      <c r="R40" s="875">
        <f t="shared" ca="1" si="4"/>
        <v>90485.200511994364</v>
      </c>
    </row>
    <row r="41" spans="1:18">
      <c r="A41" s="847" t="s">
        <v>224</v>
      </c>
      <c r="B41" s="854"/>
      <c r="C41" s="712">
        <f ca="1">huishoudens!B12</f>
        <v>25346.8580717943</v>
      </c>
      <c r="D41" s="712">
        <f ca="1">huishoudens!C12</f>
        <v>0</v>
      </c>
      <c r="E41" s="712">
        <f>huishoudens!D12</f>
        <v>61818.560248838985</v>
      </c>
      <c r="F41" s="712">
        <f>huishoudens!E12</f>
        <v>5046.9712829413074</v>
      </c>
      <c r="G41" s="712">
        <f>huishoudens!F12</f>
        <v>12755.054286533397</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104967.44389010798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635</v>
      </c>
      <c r="B43" s="862" t="s">
        <v>632</v>
      </c>
      <c r="C43" s="712">
        <f ca="1">industrie!B22</f>
        <v>10793.876812731509</v>
      </c>
      <c r="D43" s="712">
        <f ca="1">industrie!C22</f>
        <v>76.386554621848774</v>
      </c>
      <c r="E43" s="712">
        <f>industrie!D22</f>
        <v>14931.290394313712</v>
      </c>
      <c r="F43" s="712">
        <f>industrie!E22</f>
        <v>1747.5836908661843</v>
      </c>
      <c r="G43" s="712">
        <f>industrie!F22</f>
        <v>7064.5200975929265</v>
      </c>
      <c r="H43" s="712">
        <f>industrie!G22</f>
        <v>0</v>
      </c>
      <c r="I43" s="712">
        <f>industrie!H22</f>
        <v>0</v>
      </c>
      <c r="J43" s="712">
        <f>industrie!I22</f>
        <v>0</v>
      </c>
      <c r="K43" s="712">
        <f>industrie!J22</f>
        <v>74.46728586529116</v>
      </c>
      <c r="L43" s="712">
        <f>industrie!K22</f>
        <v>0</v>
      </c>
      <c r="M43" s="712">
        <f>industrie!L22</f>
        <v>0</v>
      </c>
      <c r="N43" s="712">
        <f>industrie!M22</f>
        <v>0</v>
      </c>
      <c r="O43" s="712">
        <f>industrie!N22</f>
        <v>0</v>
      </c>
      <c r="P43" s="712">
        <f>industrie!O22</f>
        <v>0</v>
      </c>
      <c r="Q43" s="795">
        <f>industrie!P22</f>
        <v>0</v>
      </c>
      <c r="R43" s="874">
        <f t="shared" ca="1" si="4"/>
        <v>34688.124835991475</v>
      </c>
    </row>
    <row r="44" spans="1:18">
      <c r="A44" s="847"/>
      <c r="B44" s="854" t="s">
        <v>633</v>
      </c>
      <c r="C44" s="712"/>
      <c r="D44" s="712"/>
      <c r="E44" s="712"/>
      <c r="F44" s="712"/>
      <c r="G44" s="712"/>
      <c r="H44" s="712"/>
      <c r="I44" s="712"/>
      <c r="J44" s="712"/>
      <c r="K44" s="712"/>
      <c r="L44" s="712"/>
      <c r="M44" s="712"/>
      <c r="N44" s="712"/>
      <c r="O44" s="712"/>
      <c r="P44" s="712"/>
      <c r="Q44" s="795"/>
      <c r="R44" s="875">
        <f t="shared" si="4"/>
        <v>0</v>
      </c>
    </row>
    <row r="45" spans="1:18" ht="15" thickBot="1">
      <c r="A45" s="981" t="s">
        <v>735</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77503.628358713177</v>
      </c>
      <c r="D46" s="748">
        <f t="shared" ref="D46:Q46" ca="1" si="5">SUM(D39:D45)</f>
        <v>774.86521008403395</v>
      </c>
      <c r="E46" s="748">
        <f t="shared" ca="1" si="5"/>
        <v>118540.13202990139</v>
      </c>
      <c r="F46" s="748">
        <f t="shared" si="5"/>
        <v>7432.6418520363322</v>
      </c>
      <c r="G46" s="748">
        <f t="shared" ca="1" si="5"/>
        <v>25814.932297574433</v>
      </c>
      <c r="H46" s="748">
        <f t="shared" si="5"/>
        <v>0</v>
      </c>
      <c r="I46" s="748">
        <f t="shared" si="5"/>
        <v>0</v>
      </c>
      <c r="J46" s="748">
        <f t="shared" si="5"/>
        <v>0</v>
      </c>
      <c r="K46" s="748">
        <f t="shared" si="5"/>
        <v>74.569489784456479</v>
      </c>
      <c r="L46" s="748">
        <f t="shared" si="5"/>
        <v>0</v>
      </c>
      <c r="M46" s="748">
        <f t="shared" ca="1" si="5"/>
        <v>0</v>
      </c>
      <c r="N46" s="748">
        <f t="shared" si="5"/>
        <v>0</v>
      </c>
      <c r="O46" s="748">
        <f t="shared" ca="1" si="5"/>
        <v>0</v>
      </c>
      <c r="P46" s="748">
        <f t="shared" si="5"/>
        <v>0</v>
      </c>
      <c r="Q46" s="748">
        <f t="shared" si="5"/>
        <v>0</v>
      </c>
      <c r="R46" s="748">
        <f ca="1">SUM(R39:R45)</f>
        <v>230140.76923809381</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4149.9469788373253</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4149.9469788373253</v>
      </c>
    </row>
    <row r="50" spans="1:18">
      <c r="A50" s="850" t="s">
        <v>306</v>
      </c>
      <c r="B50" s="860"/>
      <c r="C50" s="718">
        <f ca="1">transport!B18</f>
        <v>78.805663858970263</v>
      </c>
      <c r="D50" s="718">
        <f>transport!C18</f>
        <v>0</v>
      </c>
      <c r="E50" s="718">
        <f>transport!D18</f>
        <v>314.08685447275008</v>
      </c>
      <c r="F50" s="718">
        <f>transport!E18</f>
        <v>293.78695140758305</v>
      </c>
      <c r="G50" s="718">
        <f>transport!F18</f>
        <v>0</v>
      </c>
      <c r="H50" s="718">
        <f>transport!G18</f>
        <v>125027.58939348326</v>
      </c>
      <c r="I50" s="718">
        <f>transport!H18</f>
        <v>29255.747864605655</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154970.01672782822</v>
      </c>
    </row>
    <row r="51" spans="1:18" ht="15" thickBot="1">
      <c r="A51" s="847" t="s">
        <v>738</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78.805663858970263</v>
      </c>
      <c r="D52" s="748">
        <f t="shared" ref="D52:Q52" ca="1" si="6">SUM(D48:D51)</f>
        <v>0</v>
      </c>
      <c r="E52" s="748">
        <f t="shared" si="6"/>
        <v>314.08685447275008</v>
      </c>
      <c r="F52" s="748">
        <f t="shared" si="6"/>
        <v>293.78695140758305</v>
      </c>
      <c r="G52" s="748">
        <f t="shared" si="6"/>
        <v>0</v>
      </c>
      <c r="H52" s="748">
        <f t="shared" si="6"/>
        <v>129177.53637232058</v>
      </c>
      <c r="I52" s="748">
        <f t="shared" si="6"/>
        <v>29255.747864605655</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159119.96370666556</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629</v>
      </c>
      <c r="B54" s="860"/>
      <c r="C54" s="718">
        <f ca="1">+landbouw!B12</f>
        <v>313.57551122483216</v>
      </c>
      <c r="D54" s="718">
        <f ca="1">+landbouw!C12</f>
        <v>0</v>
      </c>
      <c r="E54" s="718">
        <f>+landbouw!D12</f>
        <v>245.60056993120003</v>
      </c>
      <c r="F54" s="718">
        <f>+landbouw!E12</f>
        <v>11.177215148282064</v>
      </c>
      <c r="G54" s="718">
        <f>+landbouw!F12</f>
        <v>1488.7096148084952</v>
      </c>
      <c r="H54" s="718">
        <f>+landbouw!G12</f>
        <v>0</v>
      </c>
      <c r="I54" s="718">
        <f>+landbouw!H12</f>
        <v>0</v>
      </c>
      <c r="J54" s="718">
        <f>+landbouw!I12</f>
        <v>0</v>
      </c>
      <c r="K54" s="718">
        <f>+landbouw!J12</f>
        <v>153.87014772509534</v>
      </c>
      <c r="L54" s="718">
        <f>+landbouw!K12</f>
        <v>0</v>
      </c>
      <c r="M54" s="718">
        <f>+landbouw!L12</f>
        <v>0</v>
      </c>
      <c r="N54" s="718">
        <f>+landbouw!M12</f>
        <v>0</v>
      </c>
      <c r="O54" s="718">
        <f>+landbouw!N12</f>
        <v>0</v>
      </c>
      <c r="P54" s="718">
        <f>+landbouw!O12</f>
        <v>0</v>
      </c>
      <c r="Q54" s="719">
        <f>+landbouw!P12</f>
        <v>0</v>
      </c>
      <c r="R54" s="747">
        <f ca="1">SUM(C54:Q54)</f>
        <v>2212.9330588379044</v>
      </c>
    </row>
    <row r="55" spans="1:18" ht="15" thickBot="1">
      <c r="A55" s="850" t="s">
        <v>736</v>
      </c>
      <c r="B55" s="860"/>
      <c r="C55" s="718">
        <f ca="1">C25*'EF ele_warmte'!B12</f>
        <v>1796.0636283514173</v>
      </c>
      <c r="D55" s="718"/>
      <c r="E55" s="718">
        <f>E25*EF_CO2_aardgas</f>
        <v>4103.8426207560005</v>
      </c>
      <c r="F55" s="718"/>
      <c r="G55" s="718"/>
      <c r="H55" s="718"/>
      <c r="I55" s="718"/>
      <c r="J55" s="718"/>
      <c r="K55" s="718"/>
      <c r="L55" s="718"/>
      <c r="M55" s="718"/>
      <c r="N55" s="718"/>
      <c r="O55" s="718"/>
      <c r="P55" s="718"/>
      <c r="Q55" s="719"/>
      <c r="R55" s="747">
        <f ca="1">SUM(C55:Q55)</f>
        <v>5899.9062491074183</v>
      </c>
    </row>
    <row r="56" spans="1:18" ht="15.75" thickBot="1">
      <c r="A56" s="848" t="s">
        <v>737</v>
      </c>
      <c r="B56" s="861"/>
      <c r="C56" s="748">
        <f ca="1">SUM(C54:C55)</f>
        <v>2109.6391395762494</v>
      </c>
      <c r="D56" s="748">
        <f t="shared" ref="D56:Q56" ca="1" si="7">SUM(D54:D55)</f>
        <v>0</v>
      </c>
      <c r="E56" s="748">
        <f t="shared" si="7"/>
        <v>4349.4431906872005</v>
      </c>
      <c r="F56" s="748">
        <f t="shared" si="7"/>
        <v>11.177215148282064</v>
      </c>
      <c r="G56" s="748">
        <f t="shared" si="7"/>
        <v>1488.7096148084952</v>
      </c>
      <c r="H56" s="748">
        <f t="shared" si="7"/>
        <v>0</v>
      </c>
      <c r="I56" s="748">
        <f t="shared" si="7"/>
        <v>0</v>
      </c>
      <c r="J56" s="748">
        <f t="shared" si="7"/>
        <v>0</v>
      </c>
      <c r="K56" s="748">
        <f t="shared" si="7"/>
        <v>153.87014772509534</v>
      </c>
      <c r="L56" s="748">
        <f t="shared" si="7"/>
        <v>0</v>
      </c>
      <c r="M56" s="748">
        <f t="shared" si="7"/>
        <v>0</v>
      </c>
      <c r="N56" s="748">
        <f t="shared" si="7"/>
        <v>0</v>
      </c>
      <c r="O56" s="748">
        <f t="shared" si="7"/>
        <v>0</v>
      </c>
      <c r="P56" s="748">
        <f t="shared" si="7"/>
        <v>0</v>
      </c>
      <c r="Q56" s="749">
        <f t="shared" si="7"/>
        <v>0</v>
      </c>
      <c r="R56" s="750">
        <f ca="1">SUM(R54:R55)</f>
        <v>8112.8393079453226</v>
      </c>
    </row>
    <row r="57" spans="1:18" ht="15.75">
      <c r="A57" s="828" t="s">
        <v>630</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79692.073162148401</v>
      </c>
      <c r="D61" s="756">
        <f t="shared" ref="D61:Q61" ca="1" si="8">D46+D52+D56</f>
        <v>774.86521008403395</v>
      </c>
      <c r="E61" s="756">
        <f t="shared" ca="1" si="8"/>
        <v>123203.66207506135</v>
      </c>
      <c r="F61" s="756">
        <f t="shared" si="8"/>
        <v>7737.606018592197</v>
      </c>
      <c r="G61" s="756">
        <f t="shared" ca="1" si="8"/>
        <v>27303.641912382929</v>
      </c>
      <c r="H61" s="756">
        <f t="shared" si="8"/>
        <v>129177.53637232058</v>
      </c>
      <c r="I61" s="756">
        <f t="shared" si="8"/>
        <v>29255.747864605655</v>
      </c>
      <c r="J61" s="756">
        <f t="shared" si="8"/>
        <v>0</v>
      </c>
      <c r="K61" s="756">
        <f t="shared" si="8"/>
        <v>228.4396375095518</v>
      </c>
      <c r="L61" s="756">
        <f t="shared" si="8"/>
        <v>0</v>
      </c>
      <c r="M61" s="756">
        <f t="shared" ca="1" si="8"/>
        <v>0</v>
      </c>
      <c r="N61" s="756">
        <f t="shared" si="8"/>
        <v>0</v>
      </c>
      <c r="O61" s="756">
        <f t="shared" ca="1" si="8"/>
        <v>0</v>
      </c>
      <c r="P61" s="756">
        <f t="shared" si="8"/>
        <v>0</v>
      </c>
      <c r="Q61" s="756">
        <f t="shared" si="8"/>
        <v>0</v>
      </c>
      <c r="R61" s="756">
        <f ca="1">R46+R52+R56</f>
        <v>397373.5722527047</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0.19875751829303015</v>
      </c>
      <c r="D63" s="802">
        <f t="shared" ca="1" si="9"/>
        <v>0.23764705882352949</v>
      </c>
      <c r="E63" s="1008">
        <f t="shared" ca="1" si="9"/>
        <v>0.20200000000000004</v>
      </c>
      <c r="F63" s="802">
        <f t="shared" si="9"/>
        <v>0.22700000000000004</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638</v>
      </c>
      <c r="Q69" s="1096" t="s">
        <v>637</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636</v>
      </c>
      <c r="C71" s="975" t="s">
        <v>740</v>
      </c>
      <c r="D71" s="988" t="s">
        <v>198</v>
      </c>
      <c r="E71" s="989" t="s">
        <v>199</v>
      </c>
      <c r="F71" s="970" t="s">
        <v>200</v>
      </c>
      <c r="G71" s="969" t="s">
        <v>202</v>
      </c>
      <c r="H71" s="990" t="s">
        <v>203</v>
      </c>
      <c r="I71" s="971"/>
      <c r="J71" s="971"/>
      <c r="K71" s="971"/>
      <c r="L71" s="971"/>
      <c r="M71" s="768"/>
      <c r="N71" s="971"/>
      <c r="O71" s="976"/>
      <c r="P71" s="998"/>
      <c r="Q71" s="977" t="s">
        <v>639</v>
      </c>
      <c r="R71" s="976" t="s">
        <v>640</v>
      </c>
    </row>
    <row r="72" spans="1:18" ht="15.75" thickTop="1">
      <c r="A72" s="769" t="s">
        <v>248</v>
      </c>
      <c r="B72" s="868">
        <f>'lokale energieproductie'!B4</f>
        <v>15091.702589576033</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26478.74419509268</v>
      </c>
      <c r="C74" s="1101"/>
      <c r="D74" s="1101"/>
      <c r="E74" s="1108"/>
      <c r="F74" s="1108"/>
      <c r="G74" s="1115"/>
      <c r="H74" s="1118"/>
      <c r="I74" s="1101"/>
      <c r="J74" s="974"/>
      <c r="K74" s="1108"/>
      <c r="L74" s="1108"/>
      <c r="M74" s="1108"/>
      <c r="N74" s="1108"/>
      <c r="O74" s="1111"/>
      <c r="P74" s="877">
        <v>0</v>
      </c>
      <c r="Q74" s="883"/>
      <c r="R74" s="877">
        <v>0</v>
      </c>
    </row>
    <row r="75" spans="1:18" ht="15.75" thickBot="1">
      <c r="A75" s="770" t="s">
        <v>739</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2282.4</v>
      </c>
      <c r="D76" s="991">
        <f>'lokale energieproductie'!C8</f>
        <v>2685.1764705882356</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542.40564705882366</v>
      </c>
      <c r="R76" s="877">
        <v>0</v>
      </c>
    </row>
    <row r="77" spans="1:18" ht="15.75" thickBot="1">
      <c r="A77" s="772" t="s">
        <v>804</v>
      </c>
      <c r="B77" s="769">
        <f>'lokale energieproductie'!B9*IFERROR(SUM(I77:O77)/SUM(D77:O77),0)</f>
        <v>1237.5</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3535.7142857142858</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42807.946784668711</v>
      </c>
      <c r="C78" s="774">
        <f>SUM(C72:C77)</f>
        <v>2282.4</v>
      </c>
      <c r="D78" s="775">
        <f t="shared" ref="D78:H78" si="10">SUM(D76:D77)</f>
        <v>2685.1764705882356</v>
      </c>
      <c r="E78" s="775">
        <f t="shared" si="10"/>
        <v>0</v>
      </c>
      <c r="F78" s="775">
        <f t="shared" si="10"/>
        <v>0</v>
      </c>
      <c r="G78" s="775">
        <f t="shared" si="10"/>
        <v>0</v>
      </c>
      <c r="H78" s="775">
        <f t="shared" si="10"/>
        <v>0</v>
      </c>
      <c r="I78" s="775">
        <f>SUM(I76:I77)</f>
        <v>0</v>
      </c>
      <c r="J78" s="775">
        <f>SUM(J76:J77)</f>
        <v>3535.7142857142858</v>
      </c>
      <c r="K78" s="775">
        <f t="shared" ref="K78:L78" si="11">SUM(K76:K77)</f>
        <v>0</v>
      </c>
      <c r="L78" s="775">
        <f t="shared" si="11"/>
        <v>0</v>
      </c>
      <c r="M78" s="775">
        <f>SUM(M76:M77)</f>
        <v>0</v>
      </c>
      <c r="N78" s="775">
        <f>SUM(N76:N77)</f>
        <v>0</v>
      </c>
      <c r="O78" s="885">
        <f>SUM(O76:O77)</f>
        <v>0</v>
      </c>
      <c r="P78" s="776">
        <v>0</v>
      </c>
      <c r="Q78" s="776">
        <f>SUM(Q76:Q77)</f>
        <v>542.40564705882366</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638</v>
      </c>
      <c r="Q84" s="1124" t="s">
        <v>637</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636</v>
      </c>
      <c r="C86" s="869" t="s">
        <v>740</v>
      </c>
      <c r="D86" s="783" t="s">
        <v>198</v>
      </c>
      <c r="E86" s="767" t="s">
        <v>199</v>
      </c>
      <c r="F86" s="784" t="s">
        <v>200</v>
      </c>
      <c r="G86" s="767" t="s">
        <v>202</v>
      </c>
      <c r="H86" s="785" t="s">
        <v>203</v>
      </c>
      <c r="I86" s="1133"/>
      <c r="J86" s="1129"/>
      <c r="K86" s="1099"/>
      <c r="L86" s="1099"/>
      <c r="M86" s="1145"/>
      <c r="N86" s="1099"/>
      <c r="O86" s="1131"/>
      <c r="P86" s="998"/>
      <c r="Q86" s="822" t="s">
        <v>639</v>
      </c>
      <c r="R86" s="820" t="s">
        <v>640</v>
      </c>
    </row>
    <row r="87" spans="1:19" ht="15.75" thickTop="1">
      <c r="A87" s="786" t="s">
        <v>251</v>
      </c>
      <c r="B87" s="787">
        <f>'lokale energieproductie'!B17*IFERROR(SUM(I87:O87)/SUM(D87:O87),0)</f>
        <v>0</v>
      </c>
      <c r="C87" s="787">
        <f>'lokale energieproductie'!B17*IFERROR(SUM(D87:H87)/SUM(D87:O87),0)</f>
        <v>3260.5714285714289</v>
      </c>
      <c r="D87" s="798">
        <f>'lokale energieproductie'!C17</f>
        <v>3835.9663865546231</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774.86521008403395</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3260.5714285714289</v>
      </c>
      <c r="D90" s="774">
        <f t="shared" ref="D90:H90" si="12">SUM(D87:D89)</f>
        <v>3835.9663865546231</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774.86521008403395</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4"/>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741</v>
      </c>
      <c r="N2" s="1279" t="s">
        <v>742</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15091.702589576033</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26478.74419509268</v>
      </c>
      <c r="C6" s="1297"/>
      <c r="D6" s="1282"/>
      <c r="E6" s="1282"/>
      <c r="F6" s="1300"/>
      <c r="G6" s="1303"/>
      <c r="H6" s="1294"/>
      <c r="I6" s="1282"/>
      <c r="J6" s="1282"/>
      <c r="K6" s="1282"/>
      <c r="L6" s="1282"/>
      <c r="M6" s="1282"/>
      <c r="N6" s="994"/>
      <c r="O6" s="571"/>
      <c r="P6" s="1264"/>
      <c r="Q6" s="1265"/>
      <c r="S6" s="569"/>
      <c r="T6" s="1252"/>
      <c r="U6" s="1252"/>
    </row>
    <row r="7" spans="1:21" s="560" customFormat="1">
      <c r="A7" s="570" t="s">
        <v>739</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2282.4</v>
      </c>
      <c r="C8" s="574">
        <f>B101</f>
        <v>2685.1764705882356</v>
      </c>
      <c r="D8" s="575"/>
      <c r="E8" s="575">
        <f>E101</f>
        <v>0</v>
      </c>
      <c r="F8" s="576"/>
      <c r="G8" s="577"/>
      <c r="H8" s="575">
        <f>I101</f>
        <v>0</v>
      </c>
      <c r="I8" s="575">
        <f>G101+F101</f>
        <v>0</v>
      </c>
      <c r="J8" s="575">
        <f>H101+D101+C101</f>
        <v>0</v>
      </c>
      <c r="K8" s="575"/>
      <c r="L8" s="575"/>
      <c r="M8" s="575"/>
      <c r="N8" s="578"/>
      <c r="O8" s="579">
        <f>C8*$C$12+D8*$D$12+E8*$E$12+F8*$F$12+G8*$G$12+H8*$H$12+I8*$I$12+J8*$J$12</f>
        <v>542.40564705882366</v>
      </c>
      <c r="P8" s="1264"/>
      <c r="Q8" s="1265"/>
      <c r="S8" s="569"/>
      <c r="T8" s="1252"/>
      <c r="U8" s="1252"/>
    </row>
    <row r="9" spans="1:21" s="560" customFormat="1" ht="17.45" customHeight="1" thickBot="1">
      <c r="A9" s="580" t="s">
        <v>247</v>
      </c>
      <c r="B9" s="581">
        <f>N89+'Eigen informatie GS &amp; warmtenet'!B12</f>
        <v>1237.5</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3535.7142857142858</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45090.346784668713</v>
      </c>
      <c r="C10" s="589">
        <f t="shared" ref="C10:L10" si="0">SUM(C8:C9)</f>
        <v>2685.1764705882356</v>
      </c>
      <c r="D10" s="589">
        <f t="shared" si="0"/>
        <v>0</v>
      </c>
      <c r="E10" s="589">
        <f t="shared" si="0"/>
        <v>0</v>
      </c>
      <c r="F10" s="589">
        <f t="shared" si="0"/>
        <v>0</v>
      </c>
      <c r="G10" s="589">
        <f t="shared" si="0"/>
        <v>0</v>
      </c>
      <c r="H10" s="589">
        <f t="shared" si="0"/>
        <v>0</v>
      </c>
      <c r="I10" s="589">
        <f t="shared" si="0"/>
        <v>0</v>
      </c>
      <c r="J10" s="589">
        <f t="shared" si="0"/>
        <v>3535.7142857142858</v>
      </c>
      <c r="K10" s="589">
        <f t="shared" si="0"/>
        <v>0</v>
      </c>
      <c r="L10" s="589">
        <f t="shared" si="0"/>
        <v>0</v>
      </c>
      <c r="M10" s="1004"/>
      <c r="N10" s="1004"/>
      <c r="O10" s="590">
        <f>SUM(O4:O9)</f>
        <v>542.40564705882366</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741</v>
      </c>
      <c r="N15" s="1279" t="s">
        <v>742</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3260.5714285714289</v>
      </c>
      <c r="C17" s="605">
        <f>B102</f>
        <v>3835.9663865546231</v>
      </c>
      <c r="D17" s="606"/>
      <c r="E17" s="606">
        <f>E102</f>
        <v>0</v>
      </c>
      <c r="F17" s="607"/>
      <c r="G17" s="608"/>
      <c r="H17" s="605">
        <f>I102</f>
        <v>0</v>
      </c>
      <c r="I17" s="606">
        <f>G102+F102</f>
        <v>0</v>
      </c>
      <c r="J17" s="606">
        <f>H102+D102+C102</f>
        <v>0</v>
      </c>
      <c r="K17" s="606"/>
      <c r="L17" s="606"/>
      <c r="M17" s="606"/>
      <c r="N17" s="1005"/>
      <c r="O17" s="609">
        <f>C17*$C$22+E17*$E$22+H17*$H$22+I17*$I$22+J17*$J$22+D17*$D$22+F17*$F$22+G17*$G$22+K17*$K$22+L17*$L$22</f>
        <v>774.86521008403395</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3260.5714285714289</v>
      </c>
      <c r="C20" s="588">
        <f>SUM(C17:C19)</f>
        <v>3835.9663865546231</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774.86521008403395</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51">
      <c r="A28" s="618"/>
      <c r="B28" s="817">
        <v>71022</v>
      </c>
      <c r="C28" s="817">
        <v>3500</v>
      </c>
      <c r="D28" s="666" t="s">
        <v>882</v>
      </c>
      <c r="E28" s="665" t="s">
        <v>883</v>
      </c>
      <c r="F28" s="665" t="s">
        <v>884</v>
      </c>
      <c r="G28" s="665" t="s">
        <v>885</v>
      </c>
      <c r="H28" s="665" t="s">
        <v>886</v>
      </c>
      <c r="I28" s="665" t="s">
        <v>883</v>
      </c>
      <c r="J28" s="816">
        <v>39365</v>
      </c>
      <c r="K28" s="816">
        <v>39471</v>
      </c>
      <c r="L28" s="665" t="s">
        <v>887</v>
      </c>
      <c r="M28" s="665">
        <v>220</v>
      </c>
      <c r="N28" s="665">
        <v>990</v>
      </c>
      <c r="O28" s="665">
        <v>1414.2857142857142</v>
      </c>
      <c r="P28" s="665">
        <v>2828.5714285714289</v>
      </c>
      <c r="Q28" s="665">
        <v>0</v>
      </c>
      <c r="R28" s="665">
        <v>0</v>
      </c>
      <c r="S28" s="665">
        <v>0</v>
      </c>
      <c r="T28" s="665">
        <v>0</v>
      </c>
      <c r="U28" s="665">
        <v>0</v>
      </c>
      <c r="V28" s="665">
        <v>0</v>
      </c>
      <c r="W28" s="665">
        <v>0</v>
      </c>
      <c r="X28" s="665">
        <v>1500</v>
      </c>
      <c r="Y28" s="665" t="s">
        <v>50</v>
      </c>
      <c r="Z28" s="667" t="s">
        <v>155</v>
      </c>
    </row>
    <row r="29" spans="1:26" s="619" customFormat="1" ht="63.75">
      <c r="A29" s="618"/>
      <c r="B29" s="817">
        <v>71022</v>
      </c>
      <c r="C29" s="817">
        <v>3500</v>
      </c>
      <c r="D29" s="666" t="s">
        <v>888</v>
      </c>
      <c r="E29" s="665" t="s">
        <v>889</v>
      </c>
      <c r="F29" s="665" t="s">
        <v>890</v>
      </c>
      <c r="G29" s="665" t="s">
        <v>885</v>
      </c>
      <c r="H29" s="665" t="s">
        <v>886</v>
      </c>
      <c r="I29" s="665" t="s">
        <v>889</v>
      </c>
      <c r="J29" s="816">
        <v>39310</v>
      </c>
      <c r="K29" s="816">
        <v>39508</v>
      </c>
      <c r="L29" s="665" t="s">
        <v>887</v>
      </c>
      <c r="M29" s="665">
        <v>4.7</v>
      </c>
      <c r="N29" s="665">
        <v>21.150000000000002</v>
      </c>
      <c r="O29" s="665">
        <v>30.214285714285719</v>
      </c>
      <c r="P29" s="665">
        <v>60.428571428571438</v>
      </c>
      <c r="Q29" s="665">
        <v>0</v>
      </c>
      <c r="R29" s="665">
        <v>0</v>
      </c>
      <c r="S29" s="665">
        <v>0</v>
      </c>
      <c r="T29" s="665">
        <v>0</v>
      </c>
      <c r="U29" s="665">
        <v>0</v>
      </c>
      <c r="V29" s="665">
        <v>0</v>
      </c>
      <c r="W29" s="665">
        <v>0</v>
      </c>
      <c r="X29" s="665">
        <v>1600</v>
      </c>
      <c r="Y29" s="665" t="s">
        <v>49</v>
      </c>
      <c r="Z29" s="667" t="s">
        <v>155</v>
      </c>
    </row>
    <row r="30" spans="1:26" s="619" customFormat="1" ht="38.25">
      <c r="A30" s="618"/>
      <c r="B30" s="817">
        <v>71022</v>
      </c>
      <c r="C30" s="817">
        <v>3511</v>
      </c>
      <c r="D30" s="666" t="s">
        <v>891</v>
      </c>
      <c r="E30" s="665" t="s">
        <v>892</v>
      </c>
      <c r="F30" s="665" t="s">
        <v>893</v>
      </c>
      <c r="G30" s="665" t="s">
        <v>885</v>
      </c>
      <c r="H30" s="665" t="s">
        <v>886</v>
      </c>
      <c r="I30" s="665" t="s">
        <v>892</v>
      </c>
      <c r="J30" s="816">
        <v>40424</v>
      </c>
      <c r="K30" s="816">
        <v>40725</v>
      </c>
      <c r="L30" s="665" t="s">
        <v>887</v>
      </c>
      <c r="M30" s="665">
        <v>50</v>
      </c>
      <c r="N30" s="665">
        <v>225</v>
      </c>
      <c r="O30" s="665">
        <v>321.42857142857144</v>
      </c>
      <c r="P30" s="665">
        <v>642.85714285714289</v>
      </c>
      <c r="Q30" s="665">
        <v>0</v>
      </c>
      <c r="R30" s="665">
        <v>0</v>
      </c>
      <c r="S30" s="665">
        <v>0</v>
      </c>
      <c r="T30" s="665">
        <v>0</v>
      </c>
      <c r="U30" s="665">
        <v>0</v>
      </c>
      <c r="V30" s="665">
        <v>0</v>
      </c>
      <c r="W30" s="665">
        <v>0</v>
      </c>
      <c r="X30" s="665">
        <v>800</v>
      </c>
      <c r="Y30" s="665" t="s">
        <v>35</v>
      </c>
      <c r="Z30" s="667" t="s">
        <v>388</v>
      </c>
    </row>
    <row r="31" spans="1:26" s="619" customFormat="1" ht="51">
      <c r="A31" s="618"/>
      <c r="B31" s="817">
        <v>71022</v>
      </c>
      <c r="C31" s="817">
        <v>3500</v>
      </c>
      <c r="D31" s="666" t="s">
        <v>894</v>
      </c>
      <c r="E31" s="665" t="s">
        <v>895</v>
      </c>
      <c r="F31" s="665" t="s">
        <v>896</v>
      </c>
      <c r="G31" s="665" t="s">
        <v>885</v>
      </c>
      <c r="H31" s="665" t="s">
        <v>886</v>
      </c>
      <c r="I31" s="665" t="s">
        <v>895</v>
      </c>
      <c r="J31" s="816">
        <v>40904</v>
      </c>
      <c r="K31" s="816">
        <v>40904</v>
      </c>
      <c r="L31" s="665" t="s">
        <v>887</v>
      </c>
      <c r="M31" s="665">
        <v>220</v>
      </c>
      <c r="N31" s="665">
        <v>990</v>
      </c>
      <c r="O31" s="665">
        <v>1414.2857142857142</v>
      </c>
      <c r="P31" s="665">
        <v>2828.5714285714289</v>
      </c>
      <c r="Q31" s="665">
        <v>0</v>
      </c>
      <c r="R31" s="665">
        <v>0</v>
      </c>
      <c r="S31" s="665">
        <v>0</v>
      </c>
      <c r="T31" s="665">
        <v>0</v>
      </c>
      <c r="U31" s="665">
        <v>0</v>
      </c>
      <c r="V31" s="665">
        <v>0</v>
      </c>
      <c r="W31" s="665">
        <v>0</v>
      </c>
      <c r="X31" s="665">
        <v>1500</v>
      </c>
      <c r="Y31" s="665" t="s">
        <v>50</v>
      </c>
      <c r="Z31" s="667" t="s">
        <v>155</v>
      </c>
    </row>
    <row r="32" spans="1:26" s="619" customFormat="1" ht="25.5">
      <c r="A32" s="618"/>
      <c r="B32" s="817">
        <v>71022</v>
      </c>
      <c r="C32" s="817">
        <v>3511</v>
      </c>
      <c r="D32" s="666" t="s">
        <v>897</v>
      </c>
      <c r="E32" s="665" t="s">
        <v>898</v>
      </c>
      <c r="F32" s="665" t="s">
        <v>899</v>
      </c>
      <c r="G32" s="665" t="s">
        <v>885</v>
      </c>
      <c r="H32" s="665" t="s">
        <v>886</v>
      </c>
      <c r="I32" s="665" t="s">
        <v>900</v>
      </c>
      <c r="J32" s="816">
        <v>41907</v>
      </c>
      <c r="K32" s="816">
        <v>41907</v>
      </c>
      <c r="L32" s="665" t="s">
        <v>887</v>
      </c>
      <c r="M32" s="665">
        <v>5</v>
      </c>
      <c r="N32" s="665">
        <v>22.5</v>
      </c>
      <c r="O32" s="665">
        <v>32.142857142857146</v>
      </c>
      <c r="P32" s="665">
        <v>64.285714285714292</v>
      </c>
      <c r="Q32" s="665">
        <v>0</v>
      </c>
      <c r="R32" s="665">
        <v>0</v>
      </c>
      <c r="S32" s="665">
        <v>0</v>
      </c>
      <c r="T32" s="665">
        <v>0</v>
      </c>
      <c r="U32" s="665">
        <v>0</v>
      </c>
      <c r="V32" s="665">
        <v>0</v>
      </c>
      <c r="W32" s="665">
        <v>0</v>
      </c>
      <c r="X32" s="665">
        <v>1300</v>
      </c>
      <c r="Y32" s="665" t="s">
        <v>53</v>
      </c>
      <c r="Z32" s="667" t="s">
        <v>155</v>
      </c>
    </row>
    <row r="33" spans="1:26" s="619" customFormat="1" ht="25.5">
      <c r="A33" s="618"/>
      <c r="B33" s="817">
        <v>71022</v>
      </c>
      <c r="C33" s="817">
        <v>3500</v>
      </c>
      <c r="D33" s="666"/>
      <c r="E33" s="665"/>
      <c r="F33" s="665" t="s">
        <v>901</v>
      </c>
      <c r="G33" s="665" t="s">
        <v>885</v>
      </c>
      <c r="H33" s="665" t="s">
        <v>886</v>
      </c>
      <c r="I33" s="665" t="s">
        <v>902</v>
      </c>
      <c r="J33" s="816">
        <v>41879</v>
      </c>
      <c r="K33" s="816">
        <v>42423</v>
      </c>
      <c r="L33" s="665" t="s">
        <v>887</v>
      </c>
      <c r="M33" s="665">
        <v>9</v>
      </c>
      <c r="N33" s="665">
        <v>33.75</v>
      </c>
      <c r="O33" s="665">
        <v>48.214285714285715</v>
      </c>
      <c r="P33" s="665">
        <v>96.428571428571431</v>
      </c>
      <c r="Q33" s="665">
        <v>0</v>
      </c>
      <c r="R33" s="665">
        <v>0</v>
      </c>
      <c r="S33" s="665">
        <v>0</v>
      </c>
      <c r="T33" s="665">
        <v>0</v>
      </c>
      <c r="U33" s="665">
        <v>0</v>
      </c>
      <c r="V33" s="665">
        <v>0</v>
      </c>
      <c r="W33" s="665">
        <v>0</v>
      </c>
      <c r="X33" s="665">
        <v>1100</v>
      </c>
      <c r="Y33" s="665" t="s">
        <v>51</v>
      </c>
      <c r="Z33" s="667" t="s">
        <v>155</v>
      </c>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508.7</v>
      </c>
      <c r="N58" s="623">
        <f>SUM(N28:N57)</f>
        <v>2282.4</v>
      </c>
      <c r="O58" s="623">
        <f t="shared" ref="O58:W58" si="2">SUM(O28:O57)</f>
        <v>3260.5714285714289</v>
      </c>
      <c r="P58" s="623">
        <f t="shared" si="2"/>
        <v>6521.1428571428587</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50</v>
      </c>
      <c r="N59" s="623">
        <f t="shared" si="3"/>
        <v>225</v>
      </c>
      <c r="O59" s="623">
        <f t="shared" si="3"/>
        <v>321.42857142857144</v>
      </c>
      <c r="P59" s="623">
        <f t="shared" si="3"/>
        <v>642.85714285714289</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458.7</v>
      </c>
      <c r="N60" s="623">
        <f ca="1">SUMIF($Z$28:AD57,"tertiair",N28:N57)</f>
        <v>2057.4</v>
      </c>
      <c r="O60" s="623">
        <f ca="1">SUMIF($Z$28:AE57,"tertiair",O28:O57)</f>
        <v>2939.1428571428573</v>
      </c>
      <c r="P60" s="623">
        <f ca="1">SUMIF($Z$28:AF57,"tertiair",P28:P57)</f>
        <v>5878.2857142857156</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63.75">
      <c r="A64" s="620"/>
      <c r="B64" s="817">
        <v>71022</v>
      </c>
      <c r="C64" s="817">
        <v>3511</v>
      </c>
      <c r="D64" s="668" t="s">
        <v>903</v>
      </c>
      <c r="E64" s="668" t="s">
        <v>904</v>
      </c>
      <c r="F64" s="668" t="s">
        <v>905</v>
      </c>
      <c r="G64" s="668" t="s">
        <v>906</v>
      </c>
      <c r="H64" s="668" t="s">
        <v>907</v>
      </c>
      <c r="I64" s="668" t="s">
        <v>908</v>
      </c>
      <c r="J64" s="816">
        <v>32143</v>
      </c>
      <c r="K64" s="816">
        <v>37316</v>
      </c>
      <c r="L64" s="668" t="s">
        <v>887</v>
      </c>
      <c r="M64" s="668">
        <v>275</v>
      </c>
      <c r="N64" s="668">
        <v>1237.5</v>
      </c>
      <c r="O64" s="668">
        <v>0</v>
      </c>
      <c r="P64" s="668">
        <v>0</v>
      </c>
      <c r="Q64" s="668">
        <v>3535.7142857142858</v>
      </c>
      <c r="R64" s="668">
        <v>0</v>
      </c>
      <c r="S64" s="668">
        <v>0</v>
      </c>
      <c r="T64" s="668">
        <v>0</v>
      </c>
      <c r="U64" s="668">
        <v>0</v>
      </c>
      <c r="V64" s="668">
        <v>0</v>
      </c>
      <c r="W64" s="668">
        <v>0</v>
      </c>
      <c r="X64" s="668">
        <v>1600</v>
      </c>
      <c r="Y64" s="668" t="s">
        <v>49</v>
      </c>
      <c r="Z64" s="669" t="s">
        <v>155</v>
      </c>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275</v>
      </c>
      <c r="N89" s="623">
        <f t="shared" ref="N89:W89" si="5">SUM(N64:N88)</f>
        <v>1237.5</v>
      </c>
      <c r="O89" s="623">
        <f t="shared" si="5"/>
        <v>0</v>
      </c>
      <c r="P89" s="623">
        <f t="shared" si="5"/>
        <v>0</v>
      </c>
      <c r="Q89" s="623">
        <f t="shared" si="5"/>
        <v>3535.7142857142858</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275</v>
      </c>
      <c r="N91" s="623">
        <f t="shared" si="7"/>
        <v>1237.5</v>
      </c>
      <c r="O91" s="623">
        <f t="shared" si="7"/>
        <v>0</v>
      </c>
      <c r="P91" s="623">
        <f t="shared" si="7"/>
        <v>0</v>
      </c>
      <c r="Q91" s="623">
        <f t="shared" si="7"/>
        <v>3535.7142857142858</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2685.1764705882356</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3835.9663865546231</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721</v>
      </c>
      <c r="B2" s="959" t="s">
        <v>786</v>
      </c>
      <c r="C2" s="373" t="s">
        <v>192</v>
      </c>
      <c r="D2" s="373" t="s">
        <v>787</v>
      </c>
      <c r="E2" s="374"/>
      <c r="F2" s="924" t="s">
        <v>691</v>
      </c>
      <c r="G2" s="924" t="s">
        <v>690</v>
      </c>
      <c r="H2" s="924" t="s">
        <v>692</v>
      </c>
    </row>
    <row r="3" spans="1:8" s="11" customFormat="1">
      <c r="A3" s="373" t="s">
        <v>693</v>
      </c>
      <c r="B3" s="959" t="s">
        <v>695</v>
      </c>
      <c r="C3" s="373" t="s">
        <v>694</v>
      </c>
      <c r="D3" s="373" t="s">
        <v>696</v>
      </c>
      <c r="E3" s="374"/>
      <c r="F3" s="371" t="s">
        <v>699</v>
      </c>
      <c r="G3" s="371" t="s">
        <v>704</v>
      </c>
      <c r="H3" s="372" t="s">
        <v>705</v>
      </c>
    </row>
    <row r="4" spans="1:8" s="11" customFormat="1">
      <c r="A4" s="373" t="s">
        <v>799</v>
      </c>
      <c r="B4" s="959" t="s">
        <v>801</v>
      </c>
      <c r="C4" s="373" t="s">
        <v>192</v>
      </c>
      <c r="D4" s="960" t="s">
        <v>788</v>
      </c>
      <c r="E4" s="374"/>
      <c r="F4" s="924" t="s">
        <v>691</v>
      </c>
      <c r="G4" s="924" t="s">
        <v>690</v>
      </c>
      <c r="H4" s="924" t="s">
        <v>692</v>
      </c>
    </row>
    <row r="5" spans="1:8" s="11" customFormat="1">
      <c r="A5" s="373" t="s">
        <v>399</v>
      </c>
      <c r="B5" s="824" t="s">
        <v>719</v>
      </c>
      <c r="C5" s="373" t="s">
        <v>399</v>
      </c>
      <c r="D5" s="373" t="s">
        <v>702</v>
      </c>
      <c r="E5" s="374"/>
      <c r="F5" s="924" t="s">
        <v>687</v>
      </c>
      <c r="G5" s="924" t="s">
        <v>688</v>
      </c>
      <c r="H5" s="924" t="s">
        <v>689</v>
      </c>
    </row>
    <row r="6" spans="1:8">
      <c r="A6" s="368" t="s">
        <v>850</v>
      </c>
      <c r="B6" s="920" t="s">
        <v>833</v>
      </c>
      <c r="C6" s="368" t="s">
        <v>850</v>
      </c>
      <c r="D6" s="368" t="s">
        <v>703</v>
      </c>
      <c r="E6" s="370"/>
      <c r="F6" s="371" t="s">
        <v>853</v>
      </c>
      <c r="G6" s="371" t="s">
        <v>856</v>
      </c>
      <c r="H6" s="372" t="s">
        <v>852</v>
      </c>
    </row>
    <row r="7" spans="1:8">
      <c r="A7" s="373" t="s">
        <v>423</v>
      </c>
      <c r="B7" s="376" t="s">
        <v>424</v>
      </c>
      <c r="C7" s="373" t="s">
        <v>426</v>
      </c>
      <c r="D7" s="373" t="s">
        <v>422</v>
      </c>
      <c r="E7" s="370" t="s">
        <v>425</v>
      </c>
      <c r="F7" s="371"/>
      <c r="G7" s="371"/>
      <c r="H7" s="372"/>
    </row>
    <row r="8" spans="1:8" s="913" customFormat="1">
      <c r="A8" s="373" t="s">
        <v>697</v>
      </c>
      <c r="B8" s="824">
        <v>2018</v>
      </c>
      <c r="C8" s="373" t="s">
        <v>399</v>
      </c>
      <c r="D8" s="373" t="s">
        <v>785</v>
      </c>
      <c r="E8" s="370" t="s">
        <v>698</v>
      </c>
      <c r="F8" s="371"/>
      <c r="G8" s="371"/>
      <c r="H8" s="372"/>
    </row>
    <row r="9" spans="1:8" s="913" customFormat="1">
      <c r="A9" s="373" t="s">
        <v>708</v>
      </c>
      <c r="B9" s="824">
        <v>2017</v>
      </c>
      <c r="C9" s="373" t="s">
        <v>710</v>
      </c>
      <c r="D9" s="373" t="s">
        <v>709</v>
      </c>
      <c r="E9" s="375" t="s">
        <v>707</v>
      </c>
      <c r="F9" s="371"/>
      <c r="G9" s="371"/>
      <c r="H9" s="372"/>
    </row>
    <row r="10" spans="1:8" s="11" customFormat="1">
      <c r="A10" s="373" t="s">
        <v>623</v>
      </c>
      <c r="B10" s="824" t="s">
        <v>832</v>
      </c>
      <c r="C10" s="373" t="s">
        <v>624</v>
      </c>
      <c r="D10" s="373" t="s">
        <v>625</v>
      </c>
      <c r="E10" s="374"/>
      <c r="F10" s="924" t="s">
        <v>677</v>
      </c>
      <c r="G10" s="924" t="s">
        <v>678</v>
      </c>
      <c r="H10" s="372" t="s">
        <v>679</v>
      </c>
    </row>
    <row r="11" spans="1:8">
      <c r="A11" s="368" t="s">
        <v>682</v>
      </c>
      <c r="B11" s="920" t="s">
        <v>722</v>
      </c>
      <c r="C11" s="368" t="s">
        <v>683</v>
      </c>
      <c r="D11" s="368" t="s">
        <v>789</v>
      </c>
      <c r="E11" s="711"/>
      <c r="F11" s="371" t="s">
        <v>686</v>
      </c>
      <c r="G11" s="371" t="s">
        <v>684</v>
      </c>
      <c r="H11" s="372" t="s">
        <v>685</v>
      </c>
    </row>
    <row r="12" spans="1:8" s="913" customFormat="1">
      <c r="A12" s="373" t="s">
        <v>701</v>
      </c>
      <c r="B12" s="824">
        <v>2017</v>
      </c>
      <c r="C12" s="373" t="s">
        <v>417</v>
      </c>
      <c r="D12" s="373" t="s">
        <v>700</v>
      </c>
      <c r="E12" s="370"/>
      <c r="F12" s="371" t="s">
        <v>699</v>
      </c>
      <c r="G12" s="371" t="s">
        <v>704</v>
      </c>
      <c r="H12" s="372" t="s">
        <v>705</v>
      </c>
    </row>
    <row r="13" spans="1:8" s="10" customFormat="1">
      <c r="A13" s="373" t="s">
        <v>401</v>
      </c>
      <c r="B13" s="369" t="s">
        <v>416</v>
      </c>
      <c r="C13" s="368"/>
      <c r="D13" s="377" t="s">
        <v>415</v>
      </c>
      <c r="E13" s="370"/>
      <c r="F13" s="371"/>
      <c r="G13" s="371"/>
      <c r="H13" s="372"/>
    </row>
    <row r="14" spans="1:8">
      <c r="A14" s="368" t="s">
        <v>394</v>
      </c>
      <c r="B14" s="369" t="s">
        <v>713</v>
      </c>
      <c r="C14" s="368" t="s">
        <v>673</v>
      </c>
      <c r="D14" s="368" t="s">
        <v>714</v>
      </c>
      <c r="E14" s="375" t="s">
        <v>395</v>
      </c>
      <c r="F14" s="371" t="s">
        <v>396</v>
      </c>
      <c r="G14" s="371" t="s">
        <v>857</v>
      </c>
      <c r="H14" s="371" t="s">
        <v>397</v>
      </c>
    </row>
    <row r="15" spans="1:8">
      <c r="A15" s="368" t="s">
        <v>400</v>
      </c>
      <c r="B15" s="920" t="s">
        <v>719</v>
      </c>
      <c r="C15" s="368" t="s">
        <v>400</v>
      </c>
      <c r="D15" s="368" t="s">
        <v>414</v>
      </c>
      <c r="E15" s="370"/>
      <c r="F15" s="371" t="s">
        <v>729</v>
      </c>
      <c r="G15" s="930" t="s">
        <v>858</v>
      </c>
      <c r="H15" s="930" t="s">
        <v>733</v>
      </c>
    </row>
    <row r="16" spans="1:8" s="921" customFormat="1">
      <c r="A16" s="926" t="s">
        <v>500</v>
      </c>
      <c r="B16" s="927" t="s">
        <v>379</v>
      </c>
      <c r="C16" s="926" t="s">
        <v>377</v>
      </c>
      <c r="D16" s="928" t="s">
        <v>378</v>
      </c>
      <c r="E16" s="929" t="s">
        <v>380</v>
      </c>
      <c r="F16" s="371" t="s">
        <v>675</v>
      </c>
      <c r="G16" s="930" t="s">
        <v>680</v>
      </c>
      <c r="H16" s="372" t="s">
        <v>681</v>
      </c>
    </row>
    <row r="17" spans="1:8" s="921" customFormat="1">
      <c r="A17" s="926" t="s">
        <v>500</v>
      </c>
      <c r="B17" s="927" t="s">
        <v>723</v>
      </c>
      <c r="C17" s="926" t="s">
        <v>724</v>
      </c>
      <c r="D17" s="928" t="s">
        <v>725</v>
      </c>
      <c r="E17" s="929"/>
      <c r="F17" s="371" t="s">
        <v>675</v>
      </c>
      <c r="G17" s="930" t="s">
        <v>680</v>
      </c>
      <c r="H17" s="372" t="s">
        <v>681</v>
      </c>
    </row>
    <row r="18" spans="1:8" s="11" customFormat="1">
      <c r="A18" s="373" t="s">
        <v>499</v>
      </c>
      <c r="B18" s="927" t="s">
        <v>786</v>
      </c>
      <c r="C18" s="373" t="s">
        <v>417</v>
      </c>
      <c r="D18" s="373" t="s">
        <v>842</v>
      </c>
      <c r="E18" s="375" t="s">
        <v>676</v>
      </c>
      <c r="F18" s="371" t="s">
        <v>675</v>
      </c>
      <c r="G18" s="930" t="s">
        <v>680</v>
      </c>
      <c r="H18" s="372" t="s">
        <v>681</v>
      </c>
    </row>
    <row r="19" spans="1:8">
      <c r="A19" s="373" t="s">
        <v>192</v>
      </c>
      <c r="B19" s="824" t="s">
        <v>833</v>
      </c>
      <c r="C19" s="373" t="s">
        <v>418</v>
      </c>
      <c r="D19" s="373" t="s">
        <v>674</v>
      </c>
      <c r="E19" s="370"/>
      <c r="F19" s="371" t="s">
        <v>419</v>
      </c>
      <c r="G19" s="371" t="s">
        <v>420</v>
      </c>
      <c r="H19" s="372" t="s">
        <v>421</v>
      </c>
    </row>
    <row r="20" spans="1:8" s="913" customFormat="1">
      <c r="A20" s="373" t="s">
        <v>400</v>
      </c>
      <c r="B20" s="824" t="s">
        <v>832</v>
      </c>
      <c r="C20" s="373" t="s">
        <v>400</v>
      </c>
      <c r="D20" s="373" t="s">
        <v>726</v>
      </c>
      <c r="E20" s="370"/>
      <c r="F20" s="371" t="s">
        <v>728</v>
      </c>
      <c r="G20" s="924" t="s">
        <v>859</v>
      </c>
      <c r="H20" s="925" t="s">
        <v>732</v>
      </c>
    </row>
    <row r="21" spans="1:8" s="913" customFormat="1">
      <c r="A21" s="373" t="s">
        <v>400</v>
      </c>
      <c r="B21" s="824" t="s">
        <v>851</v>
      </c>
      <c r="C21" s="373" t="s">
        <v>400</v>
      </c>
      <c r="D21" s="373" t="s">
        <v>727</v>
      </c>
      <c r="E21" s="370"/>
      <c r="F21" s="371" t="s">
        <v>854</v>
      </c>
      <c r="G21" s="924" t="s">
        <v>860</v>
      </c>
      <c r="H21" s="372" t="s">
        <v>855</v>
      </c>
    </row>
    <row r="22" spans="1:8" s="11" customFormat="1">
      <c r="A22" s="373" t="s">
        <v>400</v>
      </c>
      <c r="B22" s="959" t="s">
        <v>833</v>
      </c>
      <c r="C22" s="373" t="s">
        <v>400</v>
      </c>
      <c r="D22" s="373" t="s">
        <v>649</v>
      </c>
      <c r="E22" s="374"/>
      <c r="F22" s="924" t="s">
        <v>731</v>
      </c>
      <c r="G22" s="924" t="s">
        <v>861</v>
      </c>
      <c r="H22" s="924" t="s">
        <v>730</v>
      </c>
    </row>
    <row r="23" spans="1:8" s="11" customFormat="1">
      <c r="A23" s="373" t="s">
        <v>400</v>
      </c>
      <c r="B23" s="959" t="s">
        <v>833</v>
      </c>
      <c r="C23" s="373" t="s">
        <v>400</v>
      </c>
      <c r="D23" s="960" t="s">
        <v>628</v>
      </c>
      <c r="E23" s="374"/>
      <c r="F23" s="924" t="s">
        <v>731</v>
      </c>
      <c r="G23" s="924" t="s">
        <v>861</v>
      </c>
      <c r="H23" s="925" t="s">
        <v>730</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613</v>
      </c>
      <c r="B1" s="931" t="s">
        <v>614</v>
      </c>
      <c r="C1" s="931" t="s">
        <v>616</v>
      </c>
      <c r="D1" s="931" t="s">
        <v>615</v>
      </c>
    </row>
    <row r="2" spans="1:4" s="914" customFormat="1">
      <c r="A2" s="1057">
        <v>2017</v>
      </c>
      <c r="B2" s="942">
        <v>43599</v>
      </c>
      <c r="C2" s="914" t="s">
        <v>795</v>
      </c>
      <c r="D2" s="956" t="s">
        <v>796</v>
      </c>
    </row>
    <row r="3" spans="1:4" s="914" customFormat="1">
      <c r="A3" s="1057">
        <v>2017</v>
      </c>
      <c r="B3" s="942">
        <v>43599</v>
      </c>
      <c r="C3" s="914" t="s">
        <v>792</v>
      </c>
      <c r="D3" s="943" t="s">
        <v>790</v>
      </c>
    </row>
    <row r="4" spans="1:4" s="914" customFormat="1">
      <c r="A4" s="1057">
        <v>2017</v>
      </c>
      <c r="B4" s="942">
        <v>43599</v>
      </c>
      <c r="C4" s="914" t="s">
        <v>793</v>
      </c>
      <c r="D4" s="1058" t="s">
        <v>791</v>
      </c>
    </row>
    <row r="5" spans="1:4" s="914" customFormat="1">
      <c r="A5" s="1057">
        <v>2017</v>
      </c>
      <c r="B5" s="942">
        <v>43599</v>
      </c>
      <c r="C5" s="914" t="s">
        <v>794</v>
      </c>
      <c r="D5" s="943" t="s">
        <v>784</v>
      </c>
    </row>
    <row r="6" spans="1:4" s="914" customFormat="1">
      <c r="A6" s="1057">
        <v>2017</v>
      </c>
      <c r="B6" s="961">
        <v>43608</v>
      </c>
      <c r="C6" s="914" t="s">
        <v>828</v>
      </c>
      <c r="D6" s="943" t="s">
        <v>830</v>
      </c>
    </row>
    <row r="7" spans="1:4" s="914" customFormat="1">
      <c r="A7" s="1057">
        <v>2017</v>
      </c>
      <c r="B7" s="961">
        <v>43608</v>
      </c>
      <c r="C7" s="914" t="s">
        <v>829</v>
      </c>
      <c r="D7" s="943" t="s">
        <v>831</v>
      </c>
    </row>
    <row r="8" spans="1:4" s="914" customFormat="1">
      <c r="A8" s="1057">
        <v>2017</v>
      </c>
      <c r="B8" s="961">
        <v>43608</v>
      </c>
      <c r="C8" s="914" t="s">
        <v>843</v>
      </c>
      <c r="D8" s="962" t="s">
        <v>844</v>
      </c>
    </row>
    <row r="9" spans="1:4" s="7" customFormat="1">
      <c r="A9" s="1057">
        <v>2017</v>
      </c>
      <c r="B9" s="961">
        <v>43608</v>
      </c>
      <c r="C9" s="914" t="s">
        <v>845</v>
      </c>
      <c r="D9" s="965" t="s">
        <v>846</v>
      </c>
    </row>
    <row r="10" spans="1:4" s="7" customFormat="1">
      <c r="A10" s="1057">
        <v>2017</v>
      </c>
      <c r="B10" s="942">
        <v>43614</v>
      </c>
      <c r="C10" s="942" t="s">
        <v>864</v>
      </c>
      <c r="D10" s="962" t="s">
        <v>870</v>
      </c>
    </row>
    <row r="11" spans="1:4" s="7" customFormat="1">
      <c r="A11" s="1057">
        <v>2017</v>
      </c>
      <c r="B11" s="942">
        <v>43614</v>
      </c>
      <c r="C11" s="942" t="s">
        <v>865</v>
      </c>
      <c r="D11" s="962" t="s">
        <v>871</v>
      </c>
    </row>
    <row r="12" spans="1:4" s="7" customFormat="1">
      <c r="A12" s="1057">
        <v>2017</v>
      </c>
      <c r="B12" s="942">
        <v>43614</v>
      </c>
      <c r="C12" s="942" t="s">
        <v>866</v>
      </c>
      <c r="D12" s="962" t="s">
        <v>872</v>
      </c>
    </row>
    <row r="13" spans="1:4" s="7" customFormat="1">
      <c r="A13" s="1057">
        <v>2017</v>
      </c>
      <c r="B13" s="942">
        <v>43614</v>
      </c>
      <c r="C13" s="942" t="s">
        <v>867</v>
      </c>
      <c r="D13" s="962" t="s">
        <v>873</v>
      </c>
    </row>
    <row r="14" spans="1:4" s="7" customFormat="1">
      <c r="A14" s="1057">
        <v>2017</v>
      </c>
      <c r="B14" s="942">
        <v>43614</v>
      </c>
      <c r="C14" s="942" t="s">
        <v>868</v>
      </c>
      <c r="D14" s="962" t="s">
        <v>874</v>
      </c>
    </row>
    <row r="15" spans="1:4" s="7" customFormat="1">
      <c r="A15" s="1057">
        <v>2017</v>
      </c>
      <c r="B15" s="942">
        <v>43614</v>
      </c>
      <c r="C15" s="942" t="s">
        <v>869</v>
      </c>
      <c r="D15" s="962" t="s">
        <v>875</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546</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127526.53730776205</v>
      </c>
      <c r="C4" s="478">
        <f>huishoudens!C8</f>
        <v>0</v>
      </c>
      <c r="D4" s="478">
        <f>huishoudens!D8</f>
        <v>306032.47647940088</v>
      </c>
      <c r="E4" s="478">
        <f>huishoudens!E8</f>
        <v>22233.353669344964</v>
      </c>
      <c r="F4" s="478">
        <f>huishoudens!F8</f>
        <v>47771.738900874145</v>
      </c>
      <c r="G4" s="478">
        <f>huishoudens!G8</f>
        <v>0</v>
      </c>
      <c r="H4" s="478">
        <f>huishoudens!H8</f>
        <v>0</v>
      </c>
      <c r="I4" s="478">
        <f>huishoudens!I8</f>
        <v>0</v>
      </c>
      <c r="J4" s="478">
        <f>huishoudens!J8</f>
        <v>0</v>
      </c>
      <c r="K4" s="478">
        <f>huishoudens!K8</f>
        <v>0</v>
      </c>
      <c r="L4" s="478">
        <f>huishoudens!L8</f>
        <v>0</v>
      </c>
      <c r="M4" s="478">
        <f>huishoudens!M8</f>
        <v>0</v>
      </c>
      <c r="N4" s="478">
        <f>huishoudens!N8</f>
        <v>37071.393579026102</v>
      </c>
      <c r="O4" s="478">
        <f>huishoudens!O8</f>
        <v>1543.5194946831109</v>
      </c>
      <c r="P4" s="479">
        <f>huishoudens!P8</f>
        <v>2833.6350537672715</v>
      </c>
      <c r="Q4" s="480">
        <f>SUM(B4:P4)</f>
        <v>545012.6544848585</v>
      </c>
    </row>
    <row r="5" spans="1:17">
      <c r="A5" s="477" t="s">
        <v>155</v>
      </c>
      <c r="B5" s="478">
        <f ca="1">tertiair!B16</f>
        <v>203056.965031</v>
      </c>
      <c r="C5" s="478">
        <f ca="1">tertiair!C16</f>
        <v>2939.1428571428573</v>
      </c>
      <c r="D5" s="478">
        <f ca="1">tertiair!D16</f>
        <v>206882.58112251828</v>
      </c>
      <c r="E5" s="478">
        <f>tertiair!E16</f>
        <v>2810.9554106997398</v>
      </c>
      <c r="F5" s="478">
        <f ca="1">tertiair!F16</f>
        <v>22454.524020404904</v>
      </c>
      <c r="G5" s="478">
        <f>tertiair!G16</f>
        <v>0</v>
      </c>
      <c r="H5" s="478">
        <f>tertiair!H16</f>
        <v>0</v>
      </c>
      <c r="I5" s="478">
        <f>tertiair!I16</f>
        <v>0</v>
      </c>
      <c r="J5" s="478">
        <f>tertiair!J16</f>
        <v>0.28871163606020867</v>
      </c>
      <c r="K5" s="478">
        <f>tertiair!K16</f>
        <v>0</v>
      </c>
      <c r="L5" s="478">
        <f ca="1">tertiair!L16</f>
        <v>0</v>
      </c>
      <c r="M5" s="478">
        <f>tertiair!M16</f>
        <v>0</v>
      </c>
      <c r="N5" s="478">
        <f ca="1">tertiair!N16</f>
        <v>7957.0281815387516</v>
      </c>
      <c r="O5" s="478">
        <f>tertiair!O16</f>
        <v>39.178086126729234</v>
      </c>
      <c r="P5" s="479">
        <f>tertiair!P16</f>
        <v>735.54793629093024</v>
      </c>
      <c r="Q5" s="477">
        <f t="shared" ref="Q5:Q14" ca="1" si="0">SUM(B5:P5)</f>
        <v>446876.21135735826</v>
      </c>
    </row>
    <row r="6" spans="1:17">
      <c r="A6" s="477" t="s">
        <v>193</v>
      </c>
      <c r="B6" s="478">
        <f>'openbare verlichting'!B8</f>
        <v>5050.3500000000004</v>
      </c>
      <c r="C6" s="478"/>
      <c r="D6" s="478"/>
      <c r="E6" s="478"/>
      <c r="F6" s="478"/>
      <c r="G6" s="478"/>
      <c r="H6" s="478"/>
      <c r="I6" s="478"/>
      <c r="J6" s="478"/>
      <c r="K6" s="478"/>
      <c r="L6" s="478"/>
      <c r="M6" s="478"/>
      <c r="N6" s="478"/>
      <c r="O6" s="478"/>
      <c r="P6" s="479"/>
      <c r="Q6" s="477">
        <f t="shared" si="0"/>
        <v>5050.3500000000004</v>
      </c>
    </row>
    <row r="7" spans="1:17">
      <c r="A7" s="477" t="s">
        <v>111</v>
      </c>
      <c r="B7" s="478">
        <f>landbouw!B8</f>
        <v>1577.6787409999999</v>
      </c>
      <c r="C7" s="478">
        <f>landbouw!C8</f>
        <v>0</v>
      </c>
      <c r="D7" s="478">
        <f>landbouw!D8</f>
        <v>1215.8444056000001</v>
      </c>
      <c r="E7" s="478">
        <f>landbouw!E8</f>
        <v>49.238833252343895</v>
      </c>
      <c r="F7" s="478">
        <f>landbouw!F8</f>
        <v>5575.6914412303186</v>
      </c>
      <c r="G7" s="478">
        <f>landbouw!G8</f>
        <v>0</v>
      </c>
      <c r="H7" s="478">
        <f>landbouw!H8</f>
        <v>0</v>
      </c>
      <c r="I7" s="478">
        <f>landbouw!I8</f>
        <v>0</v>
      </c>
      <c r="J7" s="478">
        <f>landbouw!J8</f>
        <v>434.66143425168173</v>
      </c>
      <c r="K7" s="478">
        <f>landbouw!K8</f>
        <v>0</v>
      </c>
      <c r="L7" s="478">
        <f>landbouw!L8</f>
        <v>0</v>
      </c>
      <c r="M7" s="478">
        <f>landbouw!M8</f>
        <v>0</v>
      </c>
      <c r="N7" s="478">
        <f>landbouw!N8</f>
        <v>0</v>
      </c>
      <c r="O7" s="478">
        <f>landbouw!O8</f>
        <v>0</v>
      </c>
      <c r="P7" s="479">
        <f>landbouw!P8</f>
        <v>0</v>
      </c>
      <c r="Q7" s="477">
        <f t="shared" si="0"/>
        <v>8853.1148553343446</v>
      </c>
    </row>
    <row r="8" spans="1:17">
      <c r="A8" s="477" t="s">
        <v>631</v>
      </c>
      <c r="B8" s="478">
        <f>industrie!B18</f>
        <v>54306.759842000007</v>
      </c>
      <c r="C8" s="478">
        <f>industrie!C18</f>
        <v>321.42857142857144</v>
      </c>
      <c r="D8" s="478">
        <f>industrie!D18</f>
        <v>73917.279179770849</v>
      </c>
      <c r="E8" s="478">
        <f>industrie!E18</f>
        <v>7698.6065676924418</v>
      </c>
      <c r="F8" s="478">
        <f>industrie!F18</f>
        <v>26458.87677001096</v>
      </c>
      <c r="G8" s="478">
        <f>industrie!G18</f>
        <v>0</v>
      </c>
      <c r="H8" s="478">
        <f>industrie!H18</f>
        <v>0</v>
      </c>
      <c r="I8" s="478">
        <f>industrie!I18</f>
        <v>0</v>
      </c>
      <c r="J8" s="478">
        <f>industrie!J18</f>
        <v>210.35956459121797</v>
      </c>
      <c r="K8" s="478">
        <f>industrie!K18</f>
        <v>0</v>
      </c>
      <c r="L8" s="478">
        <f>industrie!L18</f>
        <v>0</v>
      </c>
      <c r="M8" s="478">
        <f>industrie!M18</f>
        <v>0</v>
      </c>
      <c r="N8" s="478">
        <f>industrie!N18</f>
        <v>4975.3114207490689</v>
      </c>
      <c r="O8" s="478">
        <f>industrie!O18</f>
        <v>0</v>
      </c>
      <c r="P8" s="479">
        <f>industrie!P18</f>
        <v>0</v>
      </c>
      <c r="Q8" s="477">
        <f t="shared" si="0"/>
        <v>167888.62191624314</v>
      </c>
    </row>
    <row r="9" spans="1:17" s="483" customFormat="1">
      <c r="A9" s="481" t="s">
        <v>557</v>
      </c>
      <c r="B9" s="482">
        <f>transport!B14</f>
        <v>396.49148638888886</v>
      </c>
      <c r="C9" s="482">
        <f>transport!C14</f>
        <v>0</v>
      </c>
      <c r="D9" s="482">
        <f>transport!D14</f>
        <v>1554.8854181819311</v>
      </c>
      <c r="E9" s="482">
        <f>transport!E14</f>
        <v>1294.2156449673262</v>
      </c>
      <c r="F9" s="482">
        <f>transport!F14</f>
        <v>0</v>
      </c>
      <c r="G9" s="482">
        <f>transport!G14</f>
        <v>468268.12506922567</v>
      </c>
      <c r="H9" s="482">
        <f>transport!H14</f>
        <v>117492.9633116693</v>
      </c>
      <c r="I9" s="482">
        <f>transport!I14</f>
        <v>0</v>
      </c>
      <c r="J9" s="482">
        <f>transport!J14</f>
        <v>0</v>
      </c>
      <c r="K9" s="482">
        <f>transport!K14</f>
        <v>0</v>
      </c>
      <c r="L9" s="482">
        <f>transport!L14</f>
        <v>0</v>
      </c>
      <c r="M9" s="482">
        <f>transport!M14</f>
        <v>34723.345335576225</v>
      </c>
      <c r="N9" s="482">
        <f>transport!N14</f>
        <v>0</v>
      </c>
      <c r="O9" s="482">
        <f>transport!O14</f>
        <v>0</v>
      </c>
      <c r="P9" s="482">
        <f>transport!P14</f>
        <v>0</v>
      </c>
      <c r="Q9" s="481">
        <f>SUM(B9:P9)</f>
        <v>623730.02626600931</v>
      </c>
    </row>
    <row r="10" spans="1:17">
      <c r="A10" s="477" t="s">
        <v>547</v>
      </c>
      <c r="B10" s="478">
        <f>transport!B54</f>
        <v>0</v>
      </c>
      <c r="C10" s="478">
        <f>transport!C54</f>
        <v>0</v>
      </c>
      <c r="D10" s="478">
        <f>transport!D54</f>
        <v>0</v>
      </c>
      <c r="E10" s="478">
        <f>transport!E54</f>
        <v>0</v>
      </c>
      <c r="F10" s="478">
        <f>transport!F54</f>
        <v>0</v>
      </c>
      <c r="G10" s="478">
        <f>transport!G54</f>
        <v>15542.872579915074</v>
      </c>
      <c r="H10" s="478">
        <f>transport!H54</f>
        <v>0</v>
      </c>
      <c r="I10" s="478">
        <f>transport!I54</f>
        <v>0</v>
      </c>
      <c r="J10" s="478">
        <f>transport!J54</f>
        <v>0</v>
      </c>
      <c r="K10" s="478">
        <f>transport!K54</f>
        <v>0</v>
      </c>
      <c r="L10" s="478">
        <f>transport!L54</f>
        <v>0</v>
      </c>
      <c r="M10" s="478">
        <f>transport!M54</f>
        <v>863.87457771605762</v>
      </c>
      <c r="N10" s="478">
        <f>transport!N54</f>
        <v>0</v>
      </c>
      <c r="O10" s="478">
        <f>transport!O54</f>
        <v>0</v>
      </c>
      <c r="P10" s="479">
        <f>transport!P54</f>
        <v>0</v>
      </c>
      <c r="Q10" s="477">
        <f t="shared" si="0"/>
        <v>16406.747157631133</v>
      </c>
    </row>
    <row r="11" spans="1:17">
      <c r="A11" s="477" t="s">
        <v>548</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549</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550</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775</v>
      </c>
      <c r="B14" s="485">
        <f>'SEAP template'!C25</f>
        <v>9036.4563000000016</v>
      </c>
      <c r="C14" s="485"/>
      <c r="D14" s="485">
        <f>'SEAP template'!E25</f>
        <v>20316.052578000003</v>
      </c>
      <c r="E14" s="485"/>
      <c r="F14" s="485"/>
      <c r="G14" s="485"/>
      <c r="H14" s="485"/>
      <c r="I14" s="485"/>
      <c r="J14" s="485"/>
      <c r="K14" s="485"/>
      <c r="L14" s="485"/>
      <c r="M14" s="485"/>
      <c r="N14" s="485"/>
      <c r="O14" s="485"/>
      <c r="P14" s="486"/>
      <c r="Q14" s="477">
        <f t="shared" si="0"/>
        <v>29352.508878000004</v>
      </c>
    </row>
    <row r="15" spans="1:17" s="489" customFormat="1">
      <c r="A15" s="487" t="s">
        <v>551</v>
      </c>
      <c r="B15" s="488">
        <f ca="1">SUM(B4:B14)</f>
        <v>400951.23870815098</v>
      </c>
      <c r="C15" s="488">
        <f t="shared" ref="C15:Q15" ca="1" si="1">SUM(C4:C14)</f>
        <v>3260.5714285714289</v>
      </c>
      <c r="D15" s="488">
        <f t="shared" ca="1" si="1"/>
        <v>609919.11918347189</v>
      </c>
      <c r="E15" s="488">
        <f t="shared" si="1"/>
        <v>34086.370125956819</v>
      </c>
      <c r="F15" s="488">
        <f t="shared" ca="1" si="1"/>
        <v>102260.83113252032</v>
      </c>
      <c r="G15" s="488">
        <f t="shared" si="1"/>
        <v>483810.99764914077</v>
      </c>
      <c r="H15" s="488">
        <f t="shared" si="1"/>
        <v>117492.9633116693</v>
      </c>
      <c r="I15" s="488">
        <f t="shared" si="1"/>
        <v>0</v>
      </c>
      <c r="J15" s="488">
        <f t="shared" si="1"/>
        <v>645.30971047895991</v>
      </c>
      <c r="K15" s="488">
        <f t="shared" si="1"/>
        <v>0</v>
      </c>
      <c r="L15" s="488">
        <f t="shared" ca="1" si="1"/>
        <v>0</v>
      </c>
      <c r="M15" s="488">
        <f t="shared" si="1"/>
        <v>35587.219913292283</v>
      </c>
      <c r="N15" s="488">
        <f t="shared" ca="1" si="1"/>
        <v>50003.733181313917</v>
      </c>
      <c r="O15" s="488">
        <f t="shared" si="1"/>
        <v>1582.6975808098402</v>
      </c>
      <c r="P15" s="488">
        <f t="shared" si="1"/>
        <v>3569.1829900582015</v>
      </c>
      <c r="Q15" s="488">
        <f t="shared" ca="1" si="1"/>
        <v>1843170.2349154348</v>
      </c>
    </row>
    <row r="17" spans="1:17">
      <c r="A17" s="490" t="s">
        <v>552</v>
      </c>
      <c r="B17" s="807">
        <f ca="1">huishoudens!B10</f>
        <v>0.19875751829303009</v>
      </c>
      <c r="C17" s="807">
        <f ca="1">huishoudens!C10</f>
        <v>0.23764705882352949</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554</v>
      </c>
      <c r="B19" s="1183" t="s">
        <v>553</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25346.8580717943</v>
      </c>
      <c r="C22" s="478">
        <f t="shared" ref="C22:C32" ca="1" si="3">C4*$C$17</f>
        <v>0</v>
      </c>
      <c r="D22" s="478">
        <f t="shared" ref="D22:D32" si="4">D4*$D$17</f>
        <v>61818.560248838985</v>
      </c>
      <c r="E22" s="478">
        <f t="shared" ref="E22:E32" si="5">E4*$E$17</f>
        <v>5046.9712829413074</v>
      </c>
      <c r="F22" s="478">
        <f t="shared" ref="F22:F32" si="6">F4*$F$17</f>
        <v>12755.054286533397</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104967.44389010798</v>
      </c>
    </row>
    <row r="23" spans="1:17">
      <c r="A23" s="477" t="s">
        <v>155</v>
      </c>
      <c r="B23" s="478">
        <f t="shared" ca="1" si="2"/>
        <v>40359.098441676157</v>
      </c>
      <c r="C23" s="478">
        <f t="shared" ca="1" si="3"/>
        <v>698.4786554621852</v>
      </c>
      <c r="D23" s="478">
        <f t="shared" ca="1" si="4"/>
        <v>41790.281386748698</v>
      </c>
      <c r="E23" s="478">
        <f t="shared" si="5"/>
        <v>638.08687822884099</v>
      </c>
      <c r="F23" s="478">
        <f t="shared" ca="1" si="6"/>
        <v>5995.3579134481097</v>
      </c>
      <c r="G23" s="478">
        <f t="shared" si="7"/>
        <v>0</v>
      </c>
      <c r="H23" s="478">
        <f t="shared" si="8"/>
        <v>0</v>
      </c>
      <c r="I23" s="478">
        <f t="shared" si="9"/>
        <v>0</v>
      </c>
      <c r="J23" s="478">
        <f t="shared" si="10"/>
        <v>0.10220391916531386</v>
      </c>
      <c r="K23" s="478">
        <f t="shared" si="11"/>
        <v>0</v>
      </c>
      <c r="L23" s="478">
        <f t="shared" ca="1" si="12"/>
        <v>0</v>
      </c>
      <c r="M23" s="478">
        <f t="shared" si="13"/>
        <v>0</v>
      </c>
      <c r="N23" s="478">
        <f t="shared" ca="1" si="14"/>
        <v>0</v>
      </c>
      <c r="O23" s="478">
        <f t="shared" si="15"/>
        <v>0</v>
      </c>
      <c r="P23" s="479">
        <f t="shared" si="16"/>
        <v>0</v>
      </c>
      <c r="Q23" s="477">
        <f t="shared" ref="Q23:Q31" ca="1" si="17">SUM(B23:P23)</f>
        <v>89481.405479483161</v>
      </c>
    </row>
    <row r="24" spans="1:17">
      <c r="A24" s="477" t="s">
        <v>193</v>
      </c>
      <c r="B24" s="478">
        <f t="shared" ca="1" si="2"/>
        <v>1003.7950325112046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1003.7950325112046</v>
      </c>
    </row>
    <row r="25" spans="1:17">
      <c r="A25" s="477" t="s">
        <v>111</v>
      </c>
      <c r="B25" s="478">
        <f t="shared" ca="1" si="2"/>
        <v>313.57551122483216</v>
      </c>
      <c r="C25" s="478">
        <f t="shared" ca="1" si="3"/>
        <v>0</v>
      </c>
      <c r="D25" s="478">
        <f t="shared" si="4"/>
        <v>245.60056993120003</v>
      </c>
      <c r="E25" s="478">
        <f t="shared" si="5"/>
        <v>11.177215148282064</v>
      </c>
      <c r="F25" s="478">
        <f t="shared" si="6"/>
        <v>1488.7096148084952</v>
      </c>
      <c r="G25" s="478">
        <f t="shared" si="7"/>
        <v>0</v>
      </c>
      <c r="H25" s="478">
        <f t="shared" si="8"/>
        <v>0</v>
      </c>
      <c r="I25" s="478">
        <f t="shared" si="9"/>
        <v>0</v>
      </c>
      <c r="J25" s="478">
        <f t="shared" si="10"/>
        <v>153.87014772509534</v>
      </c>
      <c r="K25" s="478">
        <f t="shared" si="11"/>
        <v>0</v>
      </c>
      <c r="L25" s="478">
        <f t="shared" si="12"/>
        <v>0</v>
      </c>
      <c r="M25" s="478">
        <f t="shared" si="13"/>
        <v>0</v>
      </c>
      <c r="N25" s="478">
        <f t="shared" si="14"/>
        <v>0</v>
      </c>
      <c r="O25" s="478">
        <f t="shared" si="15"/>
        <v>0</v>
      </c>
      <c r="P25" s="479">
        <f t="shared" si="16"/>
        <v>0</v>
      </c>
      <c r="Q25" s="477">
        <f t="shared" ca="1" si="17"/>
        <v>2212.9330588379044</v>
      </c>
    </row>
    <row r="26" spans="1:17">
      <c r="A26" s="477" t="s">
        <v>631</v>
      </c>
      <c r="B26" s="478">
        <f t="shared" ca="1" si="2"/>
        <v>10793.876812731509</v>
      </c>
      <c r="C26" s="478">
        <f t="shared" ca="1" si="3"/>
        <v>76.386554621848774</v>
      </c>
      <c r="D26" s="478">
        <f t="shared" si="4"/>
        <v>14931.290394313712</v>
      </c>
      <c r="E26" s="478">
        <f t="shared" si="5"/>
        <v>1747.5836908661843</v>
      </c>
      <c r="F26" s="478">
        <f t="shared" si="6"/>
        <v>7064.5200975929265</v>
      </c>
      <c r="G26" s="478">
        <f t="shared" si="7"/>
        <v>0</v>
      </c>
      <c r="H26" s="478">
        <f t="shared" si="8"/>
        <v>0</v>
      </c>
      <c r="I26" s="478">
        <f t="shared" si="9"/>
        <v>0</v>
      </c>
      <c r="J26" s="478">
        <f t="shared" si="10"/>
        <v>74.46728586529116</v>
      </c>
      <c r="K26" s="478">
        <f t="shared" si="11"/>
        <v>0</v>
      </c>
      <c r="L26" s="478">
        <f t="shared" si="12"/>
        <v>0</v>
      </c>
      <c r="M26" s="478">
        <f t="shared" si="13"/>
        <v>0</v>
      </c>
      <c r="N26" s="478">
        <f t="shared" si="14"/>
        <v>0</v>
      </c>
      <c r="O26" s="478">
        <f t="shared" si="15"/>
        <v>0</v>
      </c>
      <c r="P26" s="479">
        <f t="shared" si="16"/>
        <v>0</v>
      </c>
      <c r="Q26" s="477">
        <f t="shared" ca="1" si="17"/>
        <v>34688.124835991475</v>
      </c>
    </row>
    <row r="27" spans="1:17" s="483" customFormat="1">
      <c r="A27" s="481" t="s">
        <v>557</v>
      </c>
      <c r="B27" s="801">
        <f t="shared" ca="1" si="2"/>
        <v>78.805663858970263</v>
      </c>
      <c r="C27" s="482">
        <f t="shared" ca="1" si="3"/>
        <v>0</v>
      </c>
      <c r="D27" s="482">
        <f t="shared" si="4"/>
        <v>314.08685447275008</v>
      </c>
      <c r="E27" s="482">
        <f t="shared" si="5"/>
        <v>293.78695140758305</v>
      </c>
      <c r="F27" s="482">
        <f t="shared" si="6"/>
        <v>0</v>
      </c>
      <c r="G27" s="482">
        <f t="shared" si="7"/>
        <v>125027.58939348326</v>
      </c>
      <c r="H27" s="482">
        <f t="shared" si="8"/>
        <v>29255.747864605655</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154970.01672782822</v>
      </c>
    </row>
    <row r="28" spans="1:17" ht="16.5" customHeight="1">
      <c r="A28" s="477" t="s">
        <v>547</v>
      </c>
      <c r="B28" s="478">
        <f t="shared" ca="1" si="2"/>
        <v>0</v>
      </c>
      <c r="C28" s="478">
        <f t="shared" ca="1" si="3"/>
        <v>0</v>
      </c>
      <c r="D28" s="478">
        <f t="shared" si="4"/>
        <v>0</v>
      </c>
      <c r="E28" s="478">
        <f t="shared" si="5"/>
        <v>0</v>
      </c>
      <c r="F28" s="478">
        <f t="shared" si="6"/>
        <v>0</v>
      </c>
      <c r="G28" s="478">
        <f t="shared" si="7"/>
        <v>4149.9469788373253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4149.9469788373253</v>
      </c>
    </row>
    <row r="29" spans="1:17">
      <c r="A29" s="477" t="s">
        <v>548</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549</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550</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775</v>
      </c>
      <c r="B32" s="478">
        <f t="shared" ca="1" si="2"/>
        <v>1796.0636283514173</v>
      </c>
      <c r="C32" s="478">
        <f t="shared" ca="1" si="3"/>
        <v>0</v>
      </c>
      <c r="D32" s="478">
        <f t="shared" si="4"/>
        <v>4103.8426207560005</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5899.9062491074183</v>
      </c>
    </row>
    <row r="33" spans="1:17" s="489" customFormat="1">
      <c r="A33" s="487" t="s">
        <v>551</v>
      </c>
      <c r="B33" s="488">
        <f ca="1">SUM(B22:B32)</f>
        <v>79692.073162148401</v>
      </c>
      <c r="C33" s="488">
        <f t="shared" ref="C33:Q33" ca="1" si="19">SUM(C22:C32)</f>
        <v>774.86521008403395</v>
      </c>
      <c r="D33" s="488">
        <f t="shared" ca="1" si="19"/>
        <v>123203.66207506134</v>
      </c>
      <c r="E33" s="488">
        <f t="shared" si="19"/>
        <v>7737.606018592197</v>
      </c>
      <c r="F33" s="488">
        <f t="shared" ca="1" si="19"/>
        <v>27303.641912382929</v>
      </c>
      <c r="G33" s="488">
        <f t="shared" si="19"/>
        <v>129177.53637232058</v>
      </c>
      <c r="H33" s="488">
        <f t="shared" si="19"/>
        <v>29255.747864605655</v>
      </c>
      <c r="I33" s="488">
        <f t="shared" si="19"/>
        <v>0</v>
      </c>
      <c r="J33" s="488">
        <f t="shared" si="19"/>
        <v>228.4396375095518</v>
      </c>
      <c r="K33" s="488">
        <f t="shared" si="19"/>
        <v>0</v>
      </c>
      <c r="L33" s="488">
        <f t="shared" ca="1" si="19"/>
        <v>0</v>
      </c>
      <c r="M33" s="488">
        <f t="shared" si="19"/>
        <v>0</v>
      </c>
      <c r="N33" s="488">
        <f t="shared" ca="1" si="19"/>
        <v>0</v>
      </c>
      <c r="O33" s="488">
        <f t="shared" si="19"/>
        <v>0</v>
      </c>
      <c r="P33" s="488">
        <f t="shared" si="19"/>
        <v>0</v>
      </c>
      <c r="Q33" s="488">
        <f t="shared" ca="1" si="19"/>
        <v>397373.5722527047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546</v>
      </c>
      <c r="B1" s="1192" t="s">
        <v>744</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745</v>
      </c>
      <c r="C4" s="1014" t="s">
        <v>746</v>
      </c>
      <c r="D4" s="1015" t="s">
        <v>747</v>
      </c>
      <c r="E4" s="1016" t="s">
        <v>748</v>
      </c>
      <c r="F4" s="1016" t="s">
        <v>749</v>
      </c>
      <c r="G4" s="1017" t="s">
        <v>750</v>
      </c>
      <c r="H4" s="1017" t="s">
        <v>750</v>
      </c>
      <c r="I4" s="1017" t="s">
        <v>750</v>
      </c>
      <c r="J4" s="1016" t="s">
        <v>751</v>
      </c>
      <c r="K4" s="1017" t="s">
        <v>750</v>
      </c>
      <c r="L4" s="1017" t="s">
        <v>750</v>
      </c>
      <c r="M4" s="1017" t="s">
        <v>750</v>
      </c>
      <c r="N4" s="1016" t="s">
        <v>752</v>
      </c>
      <c r="O4" s="1018" t="s">
        <v>753</v>
      </c>
      <c r="P4" s="1019" t="s">
        <v>754</v>
      </c>
      <c r="Q4" s="1020"/>
    </row>
    <row r="5" spans="1:17" ht="150">
      <c r="A5" s="1021" t="s">
        <v>155</v>
      </c>
      <c r="B5" s="1022" t="s">
        <v>755</v>
      </c>
      <c r="C5" s="1023" t="s">
        <v>756</v>
      </c>
      <c r="D5" s="1023" t="s">
        <v>757</v>
      </c>
      <c r="E5" s="1024" t="s">
        <v>758</v>
      </c>
      <c r="F5" s="1024" t="s">
        <v>759</v>
      </c>
      <c r="G5" s="1025" t="s">
        <v>750</v>
      </c>
      <c r="H5" s="1025" t="s">
        <v>750</v>
      </c>
      <c r="I5" s="1025" t="s">
        <v>750</v>
      </c>
      <c r="J5" s="1024" t="s">
        <v>760</v>
      </c>
      <c r="K5" s="1022" t="s">
        <v>761</v>
      </c>
      <c r="L5" s="1025" t="s">
        <v>750</v>
      </c>
      <c r="M5" s="1025" t="s">
        <v>750</v>
      </c>
      <c r="N5" s="1024" t="s">
        <v>762</v>
      </c>
      <c r="O5" s="1026" t="s">
        <v>753</v>
      </c>
      <c r="P5" s="1027" t="s">
        <v>754</v>
      </c>
      <c r="Q5" s="1028"/>
    </row>
    <row r="6" spans="1:17" ht="30">
      <c r="A6" s="1021" t="s">
        <v>193</v>
      </c>
      <c r="B6" s="1029" t="s">
        <v>763</v>
      </c>
      <c r="C6" s="1030" t="s">
        <v>764</v>
      </c>
      <c r="D6" s="1025" t="s">
        <v>764</v>
      </c>
      <c r="E6" s="1025" t="s">
        <v>764</v>
      </c>
      <c r="F6" s="1025" t="s">
        <v>764</v>
      </c>
      <c r="G6" s="1025" t="s">
        <v>764</v>
      </c>
      <c r="H6" s="1025" t="s">
        <v>764</v>
      </c>
      <c r="I6" s="1025" t="s">
        <v>764</v>
      </c>
      <c r="J6" s="1025" t="s">
        <v>764</v>
      </c>
      <c r="K6" s="1025" t="s">
        <v>764</v>
      </c>
      <c r="L6" s="1025" t="s">
        <v>764</v>
      </c>
      <c r="M6" s="1025" t="s">
        <v>764</v>
      </c>
      <c r="N6" s="1025" t="s">
        <v>764</v>
      </c>
      <c r="O6" s="1031" t="s">
        <v>764</v>
      </c>
      <c r="P6" s="1032" t="s">
        <v>764</v>
      </c>
      <c r="Q6" s="1033"/>
    </row>
    <row r="7" spans="1:17" ht="150">
      <c r="A7" s="1021" t="s">
        <v>111</v>
      </c>
      <c r="B7" s="1029" t="s">
        <v>763</v>
      </c>
      <c r="C7" s="1023" t="s">
        <v>756</v>
      </c>
      <c r="D7" s="1023" t="s">
        <v>757</v>
      </c>
      <c r="E7" s="1024" t="s">
        <v>758</v>
      </c>
      <c r="F7" s="1024" t="s">
        <v>759</v>
      </c>
      <c r="G7" s="1025" t="s">
        <v>750</v>
      </c>
      <c r="H7" s="1025" t="s">
        <v>750</v>
      </c>
      <c r="I7" s="1025" t="s">
        <v>750</v>
      </c>
      <c r="J7" s="1024" t="s">
        <v>760</v>
      </c>
      <c r="K7" s="1025" t="s">
        <v>750</v>
      </c>
      <c r="L7" s="1025" t="s">
        <v>750</v>
      </c>
      <c r="M7" s="1025" t="s">
        <v>750</v>
      </c>
      <c r="N7" s="1034" t="s">
        <v>750</v>
      </c>
      <c r="O7" s="1030" t="s">
        <v>750</v>
      </c>
      <c r="P7" s="1035" t="s">
        <v>750</v>
      </c>
      <c r="Q7" s="1028"/>
    </row>
    <row r="8" spans="1:17" ht="270">
      <c r="A8" s="1021" t="s">
        <v>631</v>
      </c>
      <c r="B8" s="1022" t="s">
        <v>765</v>
      </c>
      <c r="C8" s="1023" t="s">
        <v>756</v>
      </c>
      <c r="D8" s="1023" t="s">
        <v>757</v>
      </c>
      <c r="E8" s="1024" t="s">
        <v>758</v>
      </c>
      <c r="F8" s="1024" t="s">
        <v>759</v>
      </c>
      <c r="G8" s="1025" t="s">
        <v>750</v>
      </c>
      <c r="H8" s="1025" t="s">
        <v>750</v>
      </c>
      <c r="I8" s="1025" t="s">
        <v>750</v>
      </c>
      <c r="J8" s="1024" t="s">
        <v>760</v>
      </c>
      <c r="K8" s="1022" t="s">
        <v>761</v>
      </c>
      <c r="L8" s="1025" t="s">
        <v>750</v>
      </c>
      <c r="M8" s="1025" t="s">
        <v>750</v>
      </c>
      <c r="N8" s="1024" t="s">
        <v>762</v>
      </c>
      <c r="O8" s="1026" t="s">
        <v>753</v>
      </c>
      <c r="P8" s="1027" t="s">
        <v>754</v>
      </c>
      <c r="Q8" s="1028"/>
    </row>
    <row r="9" spans="1:17" s="483" customFormat="1" ht="390">
      <c r="A9" s="1036" t="s">
        <v>557</v>
      </c>
      <c r="B9" s="1024" t="s">
        <v>766</v>
      </c>
      <c r="C9" s="1031" t="s">
        <v>764</v>
      </c>
      <c r="D9" s="1024" t="s">
        <v>767</v>
      </c>
      <c r="E9" s="1024" t="s">
        <v>768</v>
      </c>
      <c r="F9" s="1025" t="s">
        <v>764</v>
      </c>
      <c r="G9" s="1024" t="s">
        <v>769</v>
      </c>
      <c r="H9" s="1024" t="s">
        <v>770</v>
      </c>
      <c r="I9" s="1025" t="s">
        <v>764</v>
      </c>
      <c r="J9" s="1025" t="s">
        <v>764</v>
      </c>
      <c r="K9" s="1025" t="s">
        <v>764</v>
      </c>
      <c r="L9" s="1025" t="s">
        <v>764</v>
      </c>
      <c r="M9" s="1024" t="s">
        <v>766</v>
      </c>
      <c r="N9" s="1025" t="s">
        <v>764</v>
      </c>
      <c r="O9" s="1025" t="s">
        <v>764</v>
      </c>
      <c r="P9" s="1037" t="s">
        <v>764</v>
      </c>
      <c r="Q9" s="1038"/>
    </row>
    <row r="10" spans="1:17" ht="360">
      <c r="A10" s="1021" t="s">
        <v>547</v>
      </c>
      <c r="B10" s="1022" t="s">
        <v>771</v>
      </c>
      <c r="C10" s="1031" t="s">
        <v>764</v>
      </c>
      <c r="D10" s="1031" t="s">
        <v>764</v>
      </c>
      <c r="E10" s="1031" t="s">
        <v>764</v>
      </c>
      <c r="F10" s="1025" t="s">
        <v>764</v>
      </c>
      <c r="G10" s="1022" t="s">
        <v>772</v>
      </c>
      <c r="H10" s="1025" t="s">
        <v>764</v>
      </c>
      <c r="I10" s="1025" t="s">
        <v>764</v>
      </c>
      <c r="J10" s="1025" t="s">
        <v>764</v>
      </c>
      <c r="K10" s="1025" t="s">
        <v>764</v>
      </c>
      <c r="L10" s="1025" t="s">
        <v>764</v>
      </c>
      <c r="M10" s="1022" t="s">
        <v>773</v>
      </c>
      <c r="N10" s="1025" t="s">
        <v>764</v>
      </c>
      <c r="O10" s="1025" t="s">
        <v>764</v>
      </c>
      <c r="P10" s="1037" t="s">
        <v>764</v>
      </c>
      <c r="Q10" s="1028"/>
    </row>
    <row r="11" spans="1:17" ht="21">
      <c r="A11" s="1021" t="s">
        <v>548</v>
      </c>
      <c r="B11" s="1039" t="s">
        <v>774</v>
      </c>
      <c r="C11" s="1039" t="s">
        <v>774</v>
      </c>
      <c r="D11" s="1039" t="s">
        <v>774</v>
      </c>
      <c r="E11" s="1039" t="s">
        <v>774</v>
      </c>
      <c r="F11" s="1039" t="s">
        <v>774</v>
      </c>
      <c r="G11" s="1039" t="s">
        <v>774</v>
      </c>
      <c r="H11" s="1039" t="s">
        <v>774</v>
      </c>
      <c r="I11" s="1039" t="s">
        <v>774</v>
      </c>
      <c r="J11" s="1039" t="s">
        <v>774</v>
      </c>
      <c r="K11" s="1039" t="s">
        <v>774</v>
      </c>
      <c r="L11" s="1039" t="s">
        <v>774</v>
      </c>
      <c r="M11" s="1039" t="s">
        <v>774</v>
      </c>
      <c r="N11" s="1039" t="s">
        <v>774</v>
      </c>
      <c r="O11" s="1039" t="s">
        <v>774</v>
      </c>
      <c r="P11" s="1040" t="s">
        <v>774</v>
      </c>
      <c r="Q11" s="1041"/>
    </row>
    <row r="12" spans="1:17" ht="21">
      <c r="A12" s="1021" t="s">
        <v>549</v>
      </c>
      <c r="B12" s="1039" t="s">
        <v>774</v>
      </c>
      <c r="C12" s="1039" t="s">
        <v>764</v>
      </c>
      <c r="D12" s="1039" t="s">
        <v>764</v>
      </c>
      <c r="E12" s="1039" t="s">
        <v>764</v>
      </c>
      <c r="F12" s="1039" t="s">
        <v>764</v>
      </c>
      <c r="G12" s="1039" t="s">
        <v>764</v>
      </c>
      <c r="H12" s="1039" t="s">
        <v>764</v>
      </c>
      <c r="I12" s="1039" t="s">
        <v>764</v>
      </c>
      <c r="J12" s="1039" t="s">
        <v>764</v>
      </c>
      <c r="K12" s="1039" t="s">
        <v>764</v>
      </c>
      <c r="L12" s="1039" t="s">
        <v>764</v>
      </c>
      <c r="M12" s="1039" t="s">
        <v>764</v>
      </c>
      <c r="N12" s="1039" t="s">
        <v>764</v>
      </c>
      <c r="O12" s="1039" t="s">
        <v>764</v>
      </c>
      <c r="P12" s="1042" t="s">
        <v>764</v>
      </c>
      <c r="Q12" s="479"/>
    </row>
    <row r="13" spans="1:17" ht="21">
      <c r="A13" s="1021" t="s">
        <v>550</v>
      </c>
      <c r="B13" s="1039" t="s">
        <v>774</v>
      </c>
      <c r="C13" s="1039" t="s">
        <v>764</v>
      </c>
      <c r="D13" s="1039" t="s">
        <v>774</v>
      </c>
      <c r="E13" s="1039" t="s">
        <v>774</v>
      </c>
      <c r="F13" s="1039" t="s">
        <v>764</v>
      </c>
      <c r="G13" s="1039" t="s">
        <v>774</v>
      </c>
      <c r="H13" s="1039" t="s">
        <v>774</v>
      </c>
      <c r="I13" s="1039" t="s">
        <v>764</v>
      </c>
      <c r="J13" s="1039" t="s">
        <v>764</v>
      </c>
      <c r="K13" s="1039" t="s">
        <v>764</v>
      </c>
      <c r="L13" s="1039" t="s">
        <v>764</v>
      </c>
      <c r="M13" s="1039" t="s">
        <v>774</v>
      </c>
      <c r="N13" s="1039" t="s">
        <v>764</v>
      </c>
      <c r="O13" s="1039" t="s">
        <v>764</v>
      </c>
      <c r="P13" s="1042" t="s">
        <v>764</v>
      </c>
      <c r="Q13" s="479"/>
    </row>
    <row r="14" spans="1:17" ht="30">
      <c r="A14" s="1043" t="s">
        <v>775</v>
      </c>
      <c r="B14" s="1029" t="s">
        <v>763</v>
      </c>
      <c r="C14" s="1039" t="s">
        <v>764</v>
      </c>
      <c r="D14" s="1029" t="s">
        <v>763</v>
      </c>
      <c r="E14" s="1039" t="s">
        <v>764</v>
      </c>
      <c r="F14" s="1039" t="s">
        <v>764</v>
      </c>
      <c r="G14" s="1039" t="s">
        <v>764</v>
      </c>
      <c r="H14" s="1039" t="s">
        <v>764</v>
      </c>
      <c r="I14" s="1039" t="s">
        <v>764</v>
      </c>
      <c r="J14" s="1039" t="s">
        <v>764</v>
      </c>
      <c r="K14" s="1039" t="s">
        <v>764</v>
      </c>
      <c r="L14" s="1039" t="s">
        <v>764</v>
      </c>
      <c r="M14" s="1039" t="s">
        <v>764</v>
      </c>
      <c r="N14" s="1039" t="s">
        <v>764</v>
      </c>
      <c r="O14" s="1039" t="s">
        <v>764</v>
      </c>
      <c r="P14" s="1040" t="s">
        <v>764</v>
      </c>
      <c r="Q14" s="1044"/>
    </row>
    <row r="15" spans="1:17" s="489" customFormat="1" ht="21">
      <c r="A15" s="1045" t="s">
        <v>551</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776</v>
      </c>
      <c r="B18" s="1054" t="s">
        <v>777</v>
      </c>
      <c r="C18" s="1055" t="s">
        <v>778</v>
      </c>
      <c r="D18" s="1056" t="s">
        <v>779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802</v>
      </c>
    </row>
    <row r="2" spans="1:16" ht="60">
      <c r="A2" s="1202"/>
      <c r="B2" s="1200"/>
      <c r="C2" s="1200"/>
      <c r="D2" s="1203" t="s">
        <v>196</v>
      </c>
      <c r="E2" s="1203"/>
      <c r="F2" s="1203"/>
      <c r="G2" s="1203"/>
      <c r="H2" s="1203"/>
      <c r="I2" s="1061" t="s">
        <v>810</v>
      </c>
      <c r="J2" s="1061" t="s">
        <v>233</v>
      </c>
      <c r="K2" s="1061" t="s">
        <v>809</v>
      </c>
      <c r="L2" s="1061" t="s">
        <v>739</v>
      </c>
      <c r="M2" s="1061" t="s">
        <v>244</v>
      </c>
      <c r="N2" s="1061" t="s">
        <v>807</v>
      </c>
      <c r="O2" s="1061" t="s">
        <v>126</v>
      </c>
      <c r="P2" s="1200"/>
    </row>
    <row r="3" spans="1:16" ht="30">
      <c r="A3" s="1202"/>
      <c r="B3" s="1061" t="s">
        <v>813</v>
      </c>
      <c r="C3" s="1061" t="s">
        <v>814</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15091.702589576033</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26478.74419509268</v>
      </c>
      <c r="C6" s="1062"/>
      <c r="D6" s="1062"/>
      <c r="E6" s="1062"/>
      <c r="F6" s="1062"/>
      <c r="G6" s="1062"/>
      <c r="H6" s="1062"/>
      <c r="I6" s="1062"/>
      <c r="J6" s="1062"/>
      <c r="K6" s="1062"/>
      <c r="L6" s="1062"/>
      <c r="M6" s="1062"/>
      <c r="N6" s="1062"/>
      <c r="O6" s="1062"/>
      <c r="P6" s="1063">
        <f>'SEAP template'!Q74</f>
        <v>0</v>
      </c>
    </row>
    <row r="7" spans="1:16">
      <c r="A7" s="1067" t="s">
        <v>739</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2282.4</v>
      </c>
      <c r="D8" s="1062">
        <f>'SEAP template'!D76</f>
        <v>2685.1764705882356</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542.40564705882366</v>
      </c>
    </row>
    <row r="9" spans="1:16">
      <c r="A9" s="1068" t="s">
        <v>805</v>
      </c>
      <c r="B9" s="1062">
        <f>'SEAP template'!B77</f>
        <v>1237.5</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3535.7142857142858</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42807.946784668711</v>
      </c>
      <c r="C10" s="1064">
        <f>SUM(C4:C9)</f>
        <v>2282.4</v>
      </c>
      <c r="D10" s="1064">
        <f t="shared" ref="D10:H10" si="0">SUM(D8:D9)</f>
        <v>2685.1764705882356</v>
      </c>
      <c r="E10" s="1064">
        <f t="shared" si="0"/>
        <v>0</v>
      </c>
      <c r="F10" s="1064">
        <f t="shared" si="0"/>
        <v>0</v>
      </c>
      <c r="G10" s="1064">
        <f t="shared" si="0"/>
        <v>0</v>
      </c>
      <c r="H10" s="1064">
        <f t="shared" si="0"/>
        <v>0</v>
      </c>
      <c r="I10" s="1064">
        <f>SUM(I8:I9)</f>
        <v>0</v>
      </c>
      <c r="J10" s="1064">
        <f>SUM(J8:J9)</f>
        <v>3535.7142857142858</v>
      </c>
      <c r="K10" s="1064">
        <f t="shared" ref="K10:L10" si="1">SUM(K8:K9)</f>
        <v>0</v>
      </c>
      <c r="L10" s="1064">
        <f t="shared" si="1"/>
        <v>0</v>
      </c>
      <c r="M10" s="1064">
        <f>SUM(M8:M9)</f>
        <v>0</v>
      </c>
      <c r="N10" s="1064">
        <f>SUM(N8:N9)</f>
        <v>0</v>
      </c>
      <c r="O10" s="1064">
        <f>SUM(O8:O9)</f>
        <v>0</v>
      </c>
      <c r="P10" s="1064">
        <f>SUM(P8:P9)</f>
        <v>542.40564705882366</v>
      </c>
    </row>
    <row r="11" spans="1:16">
      <c r="A11" s="921"/>
      <c r="B11" s="921"/>
      <c r="C11" s="921"/>
      <c r="D11" s="921"/>
      <c r="E11" s="921"/>
      <c r="F11" s="921"/>
      <c r="G11" s="921"/>
      <c r="H11" s="921"/>
      <c r="I11" s="921"/>
      <c r="J11" s="921"/>
      <c r="K11" s="921"/>
      <c r="L11" s="921"/>
      <c r="M11" s="921"/>
      <c r="N11" s="921"/>
      <c r="O11" s="921"/>
      <c r="P11" s="921"/>
    </row>
    <row r="12" spans="1:16">
      <c r="A12" s="490" t="s">
        <v>816</v>
      </c>
      <c r="B12" s="807" t="s">
        <v>815</v>
      </c>
      <c r="C12" s="807">
        <f ca="1">'EF ele_warmte'!B12</f>
        <v>0.19875751829303009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803</v>
      </c>
    </row>
    <row r="15" spans="1:16">
      <c r="A15" s="1202"/>
      <c r="B15" s="1200"/>
      <c r="C15" s="1200"/>
      <c r="D15" s="1204" t="s">
        <v>196</v>
      </c>
      <c r="E15" s="1204"/>
      <c r="F15" s="1204"/>
      <c r="G15" s="1204"/>
      <c r="H15" s="1204"/>
      <c r="I15" s="1200" t="s">
        <v>810</v>
      </c>
      <c r="J15" s="1200" t="s">
        <v>233</v>
      </c>
      <c r="K15" s="1200" t="s">
        <v>809</v>
      </c>
      <c r="L15" s="1200" t="s">
        <v>739</v>
      </c>
      <c r="M15" s="1200" t="s">
        <v>244</v>
      </c>
      <c r="N15" s="1200" t="s">
        <v>808</v>
      </c>
      <c r="O15" s="1200" t="s">
        <v>126</v>
      </c>
      <c r="P15" s="1200"/>
    </row>
    <row r="16" spans="1:16" ht="30">
      <c r="A16" s="1202"/>
      <c r="B16" s="1061" t="s">
        <v>811</v>
      </c>
      <c r="C16" s="1061" t="s">
        <v>812</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3260.5714285714289</v>
      </c>
      <c r="D17" s="1063">
        <f>'SEAP template'!D87</f>
        <v>3835.9663865546231</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774.86521008403395</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806</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3260.5714285714289</v>
      </c>
      <c r="D20" s="1064">
        <f t="shared" ref="D20:H20" si="2">SUM(D17:D19)</f>
        <v>3835.9663865546231</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774.86521008403395</v>
      </c>
    </row>
    <row r="21" spans="1:16">
      <c r="B21" s="913"/>
    </row>
    <row r="22" spans="1:16">
      <c r="A22" s="490" t="s">
        <v>817</v>
      </c>
      <c r="B22" s="807" t="s">
        <v>815</v>
      </c>
      <c r="C22" s="807">
        <f ca="1">'EF ele_warmte'!B22</f>
        <v>0.23764705882352949</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802</v>
      </c>
    </row>
    <row r="2" spans="1:16" ht="15.75">
      <c r="A2" s="1202"/>
      <c r="B2" s="1200"/>
      <c r="C2" s="1200"/>
      <c r="D2" s="1203" t="s">
        <v>196</v>
      </c>
      <c r="E2" s="1203"/>
      <c r="F2" s="1203"/>
      <c r="G2" s="1203"/>
      <c r="H2" s="1203"/>
      <c r="I2" s="1061" t="s">
        <v>810</v>
      </c>
      <c r="J2" s="1061" t="s">
        <v>233</v>
      </c>
      <c r="K2" s="1061" t="s">
        <v>809</v>
      </c>
      <c r="L2" s="1061" t="s">
        <v>739</v>
      </c>
      <c r="M2" s="1061" t="s">
        <v>244</v>
      </c>
      <c r="N2" s="1061" t="s">
        <v>807</v>
      </c>
      <c r="O2" s="1061" t="s">
        <v>126</v>
      </c>
      <c r="P2" s="1200"/>
    </row>
    <row r="3" spans="1:16" ht="30">
      <c r="A3" s="1202"/>
      <c r="B3" s="1061" t="s">
        <v>813</v>
      </c>
      <c r="C3" s="1061" t="s">
        <v>814</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848</v>
      </c>
      <c r="C4" s="1078" t="s">
        <v>764</v>
      </c>
      <c r="D4" s="1078" t="s">
        <v>764</v>
      </c>
      <c r="E4" s="1078" t="s">
        <v>764</v>
      </c>
      <c r="F4" s="1078" t="s">
        <v>764</v>
      </c>
      <c r="G4" s="1078" t="s">
        <v>764</v>
      </c>
      <c r="H4" s="1078" t="s">
        <v>764</v>
      </c>
      <c r="I4" s="1078" t="s">
        <v>764</v>
      </c>
      <c r="J4" s="1078" t="s">
        <v>764</v>
      </c>
      <c r="K4" s="1078" t="s">
        <v>764</v>
      </c>
      <c r="L4" s="1078" t="s">
        <v>764</v>
      </c>
      <c r="M4" s="1078" t="s">
        <v>764</v>
      </c>
      <c r="N4" s="1078" t="s">
        <v>764</v>
      </c>
      <c r="O4" s="1078" t="s">
        <v>764</v>
      </c>
      <c r="P4" s="1074" t="s">
        <v>818</v>
      </c>
    </row>
    <row r="5" spans="1:16" ht="135">
      <c r="A5" s="1076" t="s">
        <v>249</v>
      </c>
      <c r="B5" s="1073" t="s">
        <v>848</v>
      </c>
      <c r="C5" s="1078" t="s">
        <v>764</v>
      </c>
      <c r="D5" s="1078" t="s">
        <v>764</v>
      </c>
      <c r="E5" s="1078" t="s">
        <v>764</v>
      </c>
      <c r="F5" s="1078" t="s">
        <v>764</v>
      </c>
      <c r="G5" s="1078" t="s">
        <v>764</v>
      </c>
      <c r="H5" s="1078" t="s">
        <v>764</v>
      </c>
      <c r="I5" s="1078" t="s">
        <v>764</v>
      </c>
      <c r="J5" s="1078" t="s">
        <v>764</v>
      </c>
      <c r="K5" s="1078" t="s">
        <v>764</v>
      </c>
      <c r="L5" s="1078" t="s">
        <v>764</v>
      </c>
      <c r="M5" s="1078" t="s">
        <v>764</v>
      </c>
      <c r="N5" s="1078" t="s">
        <v>764</v>
      </c>
      <c r="O5" s="1078" t="s">
        <v>764</v>
      </c>
      <c r="P5" s="1074" t="s">
        <v>818</v>
      </c>
    </row>
    <row r="6" spans="1:16" ht="135">
      <c r="A6" s="1076" t="s">
        <v>250</v>
      </c>
      <c r="B6" s="1073" t="s">
        <v>848</v>
      </c>
      <c r="C6" s="1078" t="s">
        <v>764</v>
      </c>
      <c r="D6" s="1078" t="s">
        <v>764</v>
      </c>
      <c r="E6" s="1078" t="s">
        <v>764</v>
      </c>
      <c r="F6" s="1078" t="s">
        <v>764</v>
      </c>
      <c r="G6" s="1078" t="s">
        <v>764</v>
      </c>
      <c r="H6" s="1078" t="s">
        <v>764</v>
      </c>
      <c r="I6" s="1078" t="s">
        <v>764</v>
      </c>
      <c r="J6" s="1078" t="s">
        <v>764</v>
      </c>
      <c r="K6" s="1078" t="s">
        <v>764</v>
      </c>
      <c r="L6" s="1078" t="s">
        <v>764</v>
      </c>
      <c r="M6" s="1078" t="s">
        <v>764</v>
      </c>
      <c r="N6" s="1078" t="s">
        <v>764</v>
      </c>
      <c r="O6" s="1078" t="s">
        <v>764</v>
      </c>
      <c r="P6" s="1074" t="s">
        <v>818</v>
      </c>
    </row>
    <row r="7" spans="1:16" ht="135">
      <c r="A7" s="1076" t="s">
        <v>739</v>
      </c>
      <c r="B7" s="1078" t="s">
        <v>764</v>
      </c>
      <c r="C7" s="1078" t="s">
        <v>764</v>
      </c>
      <c r="D7" s="1078" t="s">
        <v>764</v>
      </c>
      <c r="E7" s="1078" t="s">
        <v>764</v>
      </c>
      <c r="F7" s="1078" t="s">
        <v>764</v>
      </c>
      <c r="G7" s="1078" t="s">
        <v>764</v>
      </c>
      <c r="H7" s="1078" t="s">
        <v>764</v>
      </c>
      <c r="I7" s="1078" t="s">
        <v>764</v>
      </c>
      <c r="J7" s="1078" t="s">
        <v>764</v>
      </c>
      <c r="K7" s="1078" t="s">
        <v>764</v>
      </c>
      <c r="L7" s="1078" t="s">
        <v>764</v>
      </c>
      <c r="M7" s="1078" t="s">
        <v>764</v>
      </c>
      <c r="N7" s="1078" t="s">
        <v>764</v>
      </c>
      <c r="O7" s="1078" t="s">
        <v>764</v>
      </c>
      <c r="P7" s="1074" t="s">
        <v>818</v>
      </c>
    </row>
    <row r="8" spans="1:16" ht="210">
      <c r="A8" s="1075" t="s">
        <v>251</v>
      </c>
      <c r="B8" s="1073" t="s">
        <v>819</v>
      </c>
      <c r="C8" s="1073" t="s">
        <v>819</v>
      </c>
      <c r="D8" s="1073" t="s">
        <v>819</v>
      </c>
      <c r="E8" s="1073" t="s">
        <v>819</v>
      </c>
      <c r="F8" s="1073" t="s">
        <v>819</v>
      </c>
      <c r="G8" s="1073" t="s">
        <v>819</v>
      </c>
      <c r="H8" s="1073" t="s">
        <v>819</v>
      </c>
      <c r="I8" s="1073" t="s">
        <v>819</v>
      </c>
      <c r="J8" s="1073" t="s">
        <v>819</v>
      </c>
      <c r="K8" s="1078" t="s">
        <v>764</v>
      </c>
      <c r="L8" s="1078" t="s">
        <v>764</v>
      </c>
      <c r="M8" s="1078" t="s">
        <v>764</v>
      </c>
      <c r="N8" s="1073" t="s">
        <v>820</v>
      </c>
      <c r="O8" s="1073" t="s">
        <v>820</v>
      </c>
      <c r="P8" s="1079"/>
    </row>
    <row r="9" spans="1:16" ht="210">
      <c r="A9" s="1077" t="s">
        <v>805</v>
      </c>
      <c r="B9" s="1073" t="s">
        <v>820</v>
      </c>
      <c r="C9" s="1073" t="s">
        <v>820</v>
      </c>
      <c r="D9" s="1073" t="s">
        <v>820</v>
      </c>
      <c r="E9" s="1073" t="s">
        <v>820</v>
      </c>
      <c r="F9" s="1073" t="s">
        <v>820</v>
      </c>
      <c r="G9" s="1073" t="s">
        <v>820</v>
      </c>
      <c r="H9" s="1073" t="s">
        <v>820</v>
      </c>
      <c r="I9" s="1073" t="s">
        <v>820</v>
      </c>
      <c r="J9" s="1073" t="s">
        <v>820</v>
      </c>
      <c r="K9" s="1078" t="s">
        <v>764</v>
      </c>
      <c r="L9" s="1073" t="s">
        <v>820</v>
      </c>
      <c r="M9" s="1073" t="s">
        <v>820</v>
      </c>
      <c r="N9" s="1073" t="s">
        <v>820</v>
      </c>
      <c r="O9" s="1073" t="s">
        <v>820</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816</v>
      </c>
      <c r="B12" s="807" t="s">
        <v>815</v>
      </c>
      <c r="C12" s="1081" t="s">
        <v>821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803</v>
      </c>
    </row>
    <row r="15" spans="1:16">
      <c r="A15" s="1202"/>
      <c r="B15" s="1200"/>
      <c r="C15" s="1200"/>
      <c r="D15" s="1204" t="s">
        <v>196</v>
      </c>
      <c r="E15" s="1204"/>
      <c r="F15" s="1204"/>
      <c r="G15" s="1204"/>
      <c r="H15" s="1204"/>
      <c r="I15" s="1200" t="s">
        <v>810</v>
      </c>
      <c r="J15" s="1200" t="s">
        <v>233</v>
      </c>
      <c r="K15" s="1200" t="s">
        <v>809</v>
      </c>
      <c r="L15" s="1200" t="s">
        <v>739</v>
      </c>
      <c r="M15" s="1200" t="s">
        <v>244</v>
      </c>
      <c r="N15" s="1200" t="s">
        <v>808</v>
      </c>
      <c r="O15" s="1200" t="s">
        <v>126</v>
      </c>
      <c r="P15" s="1200"/>
    </row>
    <row r="16" spans="1:16" ht="30">
      <c r="A16" s="1202"/>
      <c r="B16" s="1061" t="s">
        <v>811</v>
      </c>
      <c r="C16" s="1061" t="s">
        <v>812</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820</v>
      </c>
      <c r="C17" s="1073" t="s">
        <v>820</v>
      </c>
      <c r="D17" s="1073" t="s">
        <v>820</v>
      </c>
      <c r="E17" s="1073" t="s">
        <v>820</v>
      </c>
      <c r="F17" s="1073" t="s">
        <v>820</v>
      </c>
      <c r="G17" s="1073" t="s">
        <v>820</v>
      </c>
      <c r="H17" s="1073" t="s">
        <v>820</v>
      </c>
      <c r="I17" s="1073" t="s">
        <v>820</v>
      </c>
      <c r="J17" s="1073" t="s">
        <v>820</v>
      </c>
      <c r="K17" s="1078" t="s">
        <v>764</v>
      </c>
      <c r="L17" s="1078" t="s">
        <v>764</v>
      </c>
      <c r="M17" s="1078" t="s">
        <v>764</v>
      </c>
      <c r="N17" s="1073" t="s">
        <v>820</v>
      </c>
      <c r="O17" s="1073" t="s">
        <v>820</v>
      </c>
      <c r="P17" s="1072"/>
    </row>
    <row r="18" spans="1:16" ht="45">
      <c r="A18" s="1070" t="s">
        <v>257</v>
      </c>
      <c r="B18" s="1074" t="s">
        <v>774</v>
      </c>
      <c r="C18" s="1074" t="s">
        <v>774</v>
      </c>
      <c r="D18" s="1074" t="s">
        <v>774</v>
      </c>
      <c r="E18" s="1074" t="s">
        <v>774</v>
      </c>
      <c r="F18" s="1074" t="s">
        <v>774</v>
      </c>
      <c r="G18" s="1074" t="s">
        <v>774</v>
      </c>
      <c r="H18" s="1074" t="s">
        <v>774</v>
      </c>
      <c r="I18" s="1074" t="s">
        <v>774</v>
      </c>
      <c r="J18" s="1074" t="s">
        <v>774</v>
      </c>
      <c r="K18" s="1074" t="s">
        <v>774</v>
      </c>
      <c r="L18" s="1074" t="s">
        <v>774</v>
      </c>
      <c r="M18" s="1074" t="s">
        <v>774</v>
      </c>
      <c r="N18" s="1074" t="s">
        <v>774</v>
      </c>
      <c r="O18" s="1074" t="s">
        <v>774</v>
      </c>
      <c r="P18" s="1074" t="s">
        <v>774</v>
      </c>
    </row>
    <row r="19" spans="1:16" ht="45">
      <c r="A19" s="1068" t="s">
        <v>806</v>
      </c>
      <c r="B19" s="1074" t="s">
        <v>774</v>
      </c>
      <c r="C19" s="1074" t="s">
        <v>774</v>
      </c>
      <c r="D19" s="1074" t="s">
        <v>774</v>
      </c>
      <c r="E19" s="1074" t="s">
        <v>774</v>
      </c>
      <c r="F19" s="1074" t="s">
        <v>774</v>
      </c>
      <c r="G19" s="1074" t="s">
        <v>774</v>
      </c>
      <c r="H19" s="1074" t="s">
        <v>774</v>
      </c>
      <c r="I19" s="1074" t="s">
        <v>774</v>
      </c>
      <c r="J19" s="1074" t="s">
        <v>774</v>
      </c>
      <c r="K19" s="1074" t="s">
        <v>774</v>
      </c>
      <c r="L19" s="1074" t="s">
        <v>774</v>
      </c>
      <c r="M19" s="1074" t="s">
        <v>774</v>
      </c>
      <c r="N19" s="1074" t="s">
        <v>774</v>
      </c>
      <c r="O19" s="1074" t="s">
        <v>774</v>
      </c>
      <c r="P19" s="1074" t="s">
        <v>774</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817</v>
      </c>
      <c r="B22" s="807" t="s">
        <v>815</v>
      </c>
      <c r="C22" s="1081" t="s">
        <v>822</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574</v>
      </c>
      <c r="B6" s="75" t="s">
        <v>575</v>
      </c>
      <c r="C6" s="460" t="s">
        <v>558</v>
      </c>
    </row>
    <row r="7" spans="1:3">
      <c r="A7" s="125"/>
      <c r="B7" s="129"/>
      <c r="C7" s="122"/>
    </row>
    <row r="8" spans="1:3">
      <c r="A8" s="113" t="s">
        <v>577</v>
      </c>
      <c r="B8" s="75" t="s">
        <v>576</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611</v>
      </c>
    </row>
    <row r="13" spans="1:3">
      <c r="A13" s="140"/>
      <c r="B13" s="124"/>
      <c r="C13" s="302"/>
    </row>
    <row r="14" spans="1:3" s="11" customFormat="1">
      <c r="A14" s="113" t="s">
        <v>594</v>
      </c>
      <c r="B14" s="130" t="s">
        <v>595</v>
      </c>
      <c r="C14" s="131" t="s">
        <v>596</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606</v>
      </c>
      <c r="B4" s="493"/>
      <c r="C4" s="493"/>
      <c r="D4" s="493"/>
      <c r="E4" s="493"/>
      <c r="F4" s="493"/>
      <c r="G4" s="525"/>
      <c r="H4" s="525"/>
      <c r="I4" s="493"/>
      <c r="J4" s="493"/>
      <c r="K4" s="493"/>
      <c r="L4" s="493"/>
      <c r="M4" s="493"/>
      <c r="N4" s="493"/>
      <c r="O4" s="493"/>
      <c r="P4" s="493"/>
    </row>
    <row r="5" spans="1:16" outlineLevel="1">
      <c r="A5" s="707" t="s">
        <v>607</v>
      </c>
      <c r="B5" s="493"/>
      <c r="C5" s="493"/>
      <c r="D5" s="493"/>
      <c r="E5" s="493"/>
      <c r="F5" s="493"/>
      <c r="G5" s="525"/>
      <c r="H5" s="525"/>
      <c r="I5" s="493"/>
      <c r="J5" s="493"/>
      <c r="K5" s="493"/>
      <c r="L5" s="493"/>
      <c r="M5" s="493"/>
      <c r="N5" s="493"/>
      <c r="O5" s="493"/>
      <c r="P5" s="493"/>
    </row>
    <row r="6" spans="1:16" outlineLevel="1">
      <c r="A6" s="707" t="s">
        <v>608</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609</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610</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572</v>
      </c>
      <c r="B13" s="478"/>
      <c r="C13" s="497"/>
      <c r="D13" s="497"/>
      <c r="E13" s="497"/>
      <c r="F13" s="497"/>
      <c r="G13" s="497"/>
      <c r="H13" s="497"/>
      <c r="I13" s="497"/>
      <c r="J13" s="497"/>
      <c r="K13" s="497"/>
      <c r="L13" s="497"/>
      <c r="M13" s="497"/>
      <c r="N13" s="497"/>
      <c r="O13" s="808" t="s">
        <v>627</v>
      </c>
      <c r="P13" s="808" t="s">
        <v>626</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599</v>
      </c>
      <c r="B17" s="527">
        <f ca="1">'EF ele_warmte'!B12</f>
        <v>0.19875751829303009</v>
      </c>
      <c r="C17" s="527">
        <f ca="1">'EF ele_warmte'!B22</f>
        <v>0.23764705882352949</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648</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618</v>
      </c>
      <c r="B27" s="815">
        <f>B24*B25*B26</f>
        <v>0</v>
      </c>
      <c r="C27" s="518" t="s">
        <v>619</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648</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618</v>
      </c>
      <c r="B35" s="814">
        <f>B31*B32*B33/1000-B31*B32*B33/1000/B34</f>
        <v>0</v>
      </c>
      <c r="C35" s="524" t="s">
        <v>619</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2019-06-29T17:11:32Z</dcterms:modified>
</cp:coreProperties>
</file>