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N20" i="59"/>
  <c r="E20"/>
  <c r="B13" i="15"/>
  <c r="F6" i="17"/>
  <c r="F30" i="48"/>
  <c r="F32"/>
  <c r="N30"/>
  <c r="N32"/>
  <c r="O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N78" i="14" l="1"/>
  <c r="N9" i="59"/>
  <c r="N10" s="1"/>
  <c r="M24" i="48"/>
  <c r="M32"/>
  <c r="E78" i="14"/>
  <c r="E9" i="59"/>
  <c r="E10" s="1"/>
  <c r="O78" i="14"/>
  <c r="O9" i="59"/>
  <c r="O10" s="1"/>
  <c r="H90" i="14"/>
  <c r="H18" i="59"/>
  <c r="H20" s="1"/>
  <c r="I15" i="48"/>
  <c r="I33"/>
  <c r="J16" i="14"/>
  <c r="J27" s="1"/>
  <c r="J7" i="48"/>
  <c r="J25" s="1"/>
  <c r="K33"/>
  <c r="H78" i="14"/>
  <c r="H9" i="59"/>
  <c r="H10" s="1"/>
  <c r="G78" i="14"/>
  <c r="G9" i="59"/>
  <c r="G10" s="1"/>
  <c r="K15" i="48"/>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<sst xmlns="http://schemas.openxmlformats.org/spreadsheetml/2006/main" count="2367" uniqueCount="882">
  <si>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</si>
  <si>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</si>
  <si>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</si>
  <si>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</si>
  <si>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</si>
  <si>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</si>
  <si>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</si>
  <si>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</si>
  <si>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</si>
  <si>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</si>
  <si>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</si>
  <si>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</si>
  <si>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</si>
  <si>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</si>
  <si>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</si>
  <si>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</si>
  <si>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</si>
  <si>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</si>
  <si>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</si>
  <si>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</si>
  <si>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</si>
  <si>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</si>
  <si>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</si>
  <si>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</si>
  <si>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</si>
  <si>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</si>
  <si>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</si>
  <si>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</si>
  <si>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</si>
  <si>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</si>
  <si>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</si>
  <si>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</si>
  <si>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</si>
  <si>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</si>
  <si>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</si>
  <si>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</si>
  <si>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</si>
  <si>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</si>
  <si>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</si>
  <si>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</si>
  <si>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</si>
  <si>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</si>
  <si>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</si>
  <si>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</si>
  <si>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</si>
  <si>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</si>
  <si>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</si>
  <si>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</si>
  <si>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</si>
  <si>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</si>
  <si>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</si>
  <si>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</si>
  <si>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</si>
  <si>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</si>
  <si>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</si>
  <si>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</si>
  <si>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</si>
  <si>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</si>
  <si>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</si>
  <si>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</si>
  <si>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</si>
  <si>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</si>
  <si>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</si>
  <si>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</si>
  <si>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</si>
  <si>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</si>
  <si>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</si>
  <si>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</si>
  <si>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</si>
  <si>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</si>
  <si>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</si>
  <si>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</si>
  <si>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</si>
  <si>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</si>
  <si>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</si>
  <si>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</si>
  <si>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</si>
  <si>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</si>
  <si>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</si>
  <si>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</si>
  <si>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</si>
  <si>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</si>
  <si>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</si>
  <si>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</si>
  <si>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</si>
  <si>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</si>
  <si>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</si>
  <si>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</si>
  <si>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</si>
  <si>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</si>
  <si>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</si>
  <si>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</si>
  <si>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</si>
  <si>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</si>
  <si>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</si>
  <si>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</si>
  <si>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</si>
  <si>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</si>
  <si>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</si>
  <si>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</si>
  <si>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</si>
  <si>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</si>
  <si>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</si>
  <si>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</si>
  <si>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</si>
  <si>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</si>
  <si>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</si>
  <si>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</si>
  <si>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</si>
  <si>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</si>
  <si>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</si>
  <si>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</si>
  <si>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</si>
  <si>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</si>
  <si>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</si>
  <si>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</si>
  <si>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</si>
  <si>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</si>
  <si>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</si>
  <si>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</si>
  <si>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</si>
  <si>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</si>
  <si>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</si>
  <si>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</si>
  <si>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</si>
  <si>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</si>
  <si>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</si>
  <si>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</si>
  <si>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</si>
  <si>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</si>
  <si>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</si>
  <si>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</si>
  <si>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</si>
  <si>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</si>
  <si>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</si>
  <si>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</si>
  <si>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</si>
  <si>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</si>
  <si>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</si>
  <si>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</si>
  <si>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</si>
  <si>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</si>
  <si>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</si>
  <si>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</si>
  <si>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</si>
  <si>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</si>
  <si>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</si>
  <si>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</si>
  <si>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</si>
  <si>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</si>
  <si>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</si>
  <si>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</si>
  <si>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</si>
  <si>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</si>
  <si>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</si>
  <si>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</si>
  <si>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</si>
  <si>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</si>
  <si>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</si>
  <si>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</si>
  <si>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</si>
  <si>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</si>
  <si>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</si>
  <si>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</si>
  <si>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</si>
  <si>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</si>
  <si>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</si>
  <si>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</si>
  <si>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</si>
  <si>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</si>
  <si>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</si>
  <si>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</si>
  <si>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</si>
  <si>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</si>
  <si>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</si>
  <si>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</si>
  <si>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</si>
  <si>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</si>
  <si>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</si>
  <si>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</si>
  <si>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</si>
  <si>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</si>
  <si>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</si>
  <si>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</si>
  <si>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</si>
  <si>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</si>
  <si>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</si>
  <si>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</si>
  <si>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</si>
  <si>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</si>
  <si>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</si>
  <si>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</si>
  <si>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</si>
  <si>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</si>
  <si>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</si>
  <si>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</si>
  <si>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</si>
  <si>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</si>
  <si>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</si>
  <si>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</si>
  <si>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</si>
  <si>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</si>
  <si>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</si>
  <si>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</si>
  <si>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</si>
  <si>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</si>
  <si>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</si>
  <si>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</si>
  <si>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</si>
  <si>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</si>
  <si>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</si>
  <si>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</si>
  <si>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</si>
  <si>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</si>
  <si>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</si>
  <si>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</si>
  <si>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</si>
  <si>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</si>
  <si>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</si>
  <si>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</si>
  <si>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</si>
  <si>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</si>
  <si>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</si>
  <si>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</si>
  <si>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</si>
  <si>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</si>
  <si>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</si>
  <si>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</si>
  <si>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</si>
  <si>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</si>
  <si>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</si>
  <si>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</si>
  <si>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</si>
  <si>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</si>
  <si>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</si>
  <si>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</si>
  <si>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</si>
  <si>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</si>
  <si>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</si>
  <si>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</si>
  <si>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</si>
  <si>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</si>
  <si>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</si>
  <si>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</si>
  <si>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</si>
  <si>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</si>
  <si>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</si>
  <si>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</si>
  <si>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</si>
  <si>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</si>
  <si>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</si>
  <si>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</si>
  <si>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</si>
  <si>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</si>
  <si>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</si>
  <si>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</si>
  <si>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</si>
  <si>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</si>
  <si>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</si>
  <si>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</si>
  <si>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</si>
  <si>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</si>
  <si>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</si>
  <si>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</si>
  <si>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</si>
  <si>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</si>
  <si>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</si>
  <si>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</si>
  <si>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</si>
  <si>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</si>
  <si>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</si>
  <si>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</si>
  <si>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</si>
  <si>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</si>
  <si>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</si>
  <si>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</si>
  <si>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</si>
  <si>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</si>
  <si>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</si>
  <si>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</si>
  <si>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</si>
  <si>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</si>
  <si>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</si>
  <si>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</si>
  <si>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</si>
  <si>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</si>
  <si>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</si>
  <si>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</si>
  <si>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</si>
  <si>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</si>
  <si>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</si>
  <si>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</si>
  <si>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</si>
  <si>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</si>
  <si>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</si>
  <si>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</si>
  <si>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</si>
  <si>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</si>
  <si>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</si>
  <si>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</si>
  <si>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</si>
  <si>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</si>
  <si>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</si>
  <si>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</si>
  <si>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</si>
  <si>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</si>
  <si>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</si>
  <si>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</si>
  <si>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</si>
  <si>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</si>
  <si>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</si>
  <si>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</si>
  <si>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</si>
  <si>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</si>
  <si>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</si>
  <si>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</si>
  <si>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</si>
  <si>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</si>
  <si>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</si>
  <si>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</si>
  <si>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</si>
  <si>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</si>
  <si>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</si>
  <si>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</si>
  <si>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</si>
  <si>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</si>
  <si>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</si>
  <si>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</si>
  <si>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</si>
  <si>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</si>
  <si>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</si>
  <si>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</si>
  <si>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</si>
  <si>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</si>
  <si>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</si>
  <si>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</si>
  <si>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</si>
  <si>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</si>
  <si>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</si>
  <si>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</si>
  <si>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</si>
  <si>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</si>
  <si>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</si>
  <si>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</si>
  <si>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</si>
  <si>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</si>
  <si>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</si>
  <si>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</si>
  <si>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</si>
  <si>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</si>
  <si>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</si>
  <si>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</si>
  <si>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</si>
  <si>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</si>
  <si>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</si>
  <si>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</si>
  <si>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</si>
  <si>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</si>
  <si>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</si>
  <si>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</si>
  <si>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</si>
  <si>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</si>
  <si>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</si>
  <si>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</si>
  <si>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</si>
  <si>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</si>
  <si>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</si>
  <si>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</si>
  <si>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</si>
  <si>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</si>
  <si>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</si>
  <si>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</si>
  <si>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</si>
  <si>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</si>
  <si>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</si>
  <si>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</si>
  <si>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</si>
  <si>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</si>
  <si>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</si>
  <si>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</si>
  <si>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</si>
  <si>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</si>
  <si>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</si>
  <si>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</si>
  <si>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</si>
  <si>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</si>
  <si>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</si>
  <si>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</si>
  <si>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</si>
  <si>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</si>
  <si>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</si>
  <si>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</si>
  <si>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</si>
  <si>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</si>
  <si>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</si>
  <si>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</si>
  <si>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</si>
  <si>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</si>
  <si>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</si>
  <si>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</si>
  <si>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</si>
  <si>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</si>
  <si>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</si>
  <si>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</si>
  <si>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</si>
  <si>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</si>
  <si>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</si>
  <si>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</si>
  <si>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</si>
  <si>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</si>
  <si>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</si>
  <si>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</si>
  <si>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</si>
  <si>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</si>
  <si>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</si>
  <si>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</si>
  <si>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</si>
  <si>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</si>
  <si>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</si>
  <si>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</si>
  <si>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</si>
  <si>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</si>
  <si>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</si>
  <si>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</si>
  <si>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</si>
  <si>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</si>
  <si>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</si>
  <si>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</si>
  <si>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</si>
  <si>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</si>
  <si>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</si>
  <si>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</si>
  <si>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</si>
  <si>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</si>
  <si>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</si>
  <si>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</si>
  <si>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</si>
  <si>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</si>
  <si>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</si>
  <si>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</si>
  <si>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</si>
  <si>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</si>
  <si>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</si>
  <si>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</si>
  <si>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</si>
  <si>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</si>
  <si>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</si>
  <si>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</si>
  <si>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</si>
  <si>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</si>
  <si>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</si>
  <si>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</si>
  <si>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</si>
  <si>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</si>
  <si>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</si>
  <si>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</si>
  <si>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</si>
  <si>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</si>
  <si>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</si>
  <si>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</si>
  <si>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</si>
  <si>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</si>
  <si>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</si>
  <si>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</si>
  <si>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</si>
  <si>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</si>
  <si>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</si>
  <si>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</si>
  <si>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</si>
  <si>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</si>
  <si>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</si>
  <si>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</si>
  <si>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</si>
  <si>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</si>
  <si>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</si>
  <si>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</si>
  <si>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</si>
  <si>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</si>
  <si>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</si>
  <si>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</si>
  <si>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</si>
  <si>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</si>
  <si>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</si>
  <si>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</si>
  <si>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</si>
  <si>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</si>
  <si>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</si>
  <si>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</si>
  <si>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</si>
  <si>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</si>
  <si>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</si>
  <si>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</si>
  <si>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</si>
  <si>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</si>
  <si>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</si>
  <si>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</si>
  <si>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</si>
  <si>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</si>
  <si>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</si>
  <si>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</si>
  <si>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</si>
  <si>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</si>
  <si>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</si>
  <si>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</si>
  <si>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</si>
  <si>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</si>
  <si>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</si>
  <si>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</si>
  <si>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</si>
  <si>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</si>
  <si>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</si>
  <si>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</si>
  <si>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</si>
  <si>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</si>
  <si>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</si>
  <si>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</si>
  <si>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</si>
  <si>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</si>
  <si>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</si>
  <si>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</si>
  <si>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</si>
  <si>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</si>
  <si>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</si>
  <si>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</si>
  <si>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</si>
  <si>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</si>
  <si>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</si>
  <si>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</si>
  <si>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</si>
  <si>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</si>
  <si>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</si>
  <si>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</si>
  <si>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</si>
  <si>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</si>
  <si>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</si>
  <si>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</si>
  <si>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</si>
  <si>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</si>
  <si>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</si>
  <si>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</si>
  <si>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</si>
  <si>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</si>
  <si>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</si>
  <si>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</si>
  <si>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</si>
  <si>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</si>
  <si>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</si>
  <si>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</si>
  <si>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</si>
  <si>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</si>
  <si>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</si>
  <si>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</si>
  <si>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</si>
  <si>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</si>
  <si>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</si>
  <si>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</si>
  <si>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</si>
  <si>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</si>
  <si>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</si>
  <si>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</si>
  <si>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</si>
  <si>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</si>
  <si>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</si>
  <si>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</si>
  <si>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</si>
  <si>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</si>
  <si>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</si>
  <si>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</si>
  <si>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</si>
  <si>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</si>
  <si>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</si>
  <si>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</si>
  <si>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</si>
  <si>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</si>
  <si>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</si>
  <si>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</si>
  <si>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</si>
  <si>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</si>
  <si>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</si>
  <si>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</si>
  <si>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</si>
  <si>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</si>
  <si>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</si>
  <si>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</si>
  <si>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</si>
  <si>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</si>
  <si>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</si>
  <si>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</si>
  <si>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</si>
  <si>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</si>
  <si>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</si>
  <si>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</si>
  <si>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</si>
  <si>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</si>
  <si>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</si>
  <si>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</si>
  <si>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</si>
  <si>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</si>
  <si>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</si>
  <si>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</si>
  <si>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</si>
  <si>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</si>
  <si>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</si>
  <si>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</si>
  <si>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</si>
  <si>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</si>
  <si>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</si>
  <si>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</si>
  <si>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</si>
  <si>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</si>
  <si>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</si>
  <si>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</si>
  <si>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</si>
  <si>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</si>
  <si>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</si>
  <si>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</si>
  <si>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</si>
  <si>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</si>
  <si>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</si>
  <si>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</si>
  <si>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</si>
  <si>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</si>
  <si>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</si>
  <si>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</si>
  <si>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</si>
  <si>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</si>
  <si>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</si>
  <si>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</si>
  <si>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</si>
  <si>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</si>
  <si>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</si>
  <si>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</si>
  <si>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</si>
  <si>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</si>
  <si>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</si>
  <si>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</si>
  <si>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</si>
  <si>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</si>
  <si>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</si>
  <si>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</si>
  <si>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</si>
  <si>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</si>
  <si>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</si>
  <si>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</si>
  <si>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</si>
  <si>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</si>
  <si>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</si>
  <si>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</si>
  <si>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</si>
  <si>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</si>
  <si>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</si>
  <si>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</si>
  <si>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</si>
  <si>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</si>
  <si>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</si>
  <si>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</si>
  <si>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</si>
  <si>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</si>
  <si>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</si>
  <si>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</si>
  <si>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</si>
  <si>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</si>
  <si>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</si>
  <si>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</si>
  <si>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</si>
  <si>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</si>
  <si>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</si>
  <si>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</si>
  <si>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</si>
  <si>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</si>
  <si>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</si>
  <si>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</si>
  <si>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</si>
  <si>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</si>
  <si>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</si>
  <si>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</si>
  <si>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</si>
  <si>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</si>
  <si>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</si>
  <si>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</si>
  <si>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</si>
  <si>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</si>
  <si>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</si>
  <si>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</si>
  <si>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</si>
  <si>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</si>
  <si>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</si>
  <si>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</si>
  <si>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</si>
  <si>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</si>
  <si>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</si>
  <si>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</si>
  <si>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</si>
  <si>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</si>
  <si>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</si>
  <si>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</si>
  <si>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</si>
  <si>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</si>
  <si>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</si>
  <si>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</si>
  <si>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</si>
  <si>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</si>
  <si>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</si>
  <si>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</si>
  <si>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</si>
  <si>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</si>
  <si>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</si>
  <si>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</si>
  <si>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</si>
  <si>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</si>
  <si>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</si>
  <si>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</si>
  <si>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</si>
  <si>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</si>
  <si>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</si>
  <si>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</si>
  <si>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</si>
  <si>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</si>
  <si>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</si>
  <si>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</si>
  <si>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</si>
  <si>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</si>
  <si>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</si>
  <si>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</si>
  <si>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</si>
  <si>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</si>
  <si>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</si>
  <si>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</si>
  <si>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</si>
  <si>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</si>
  <si>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</si>
  <si>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</si>
  <si>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</si>
  <si>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</si>
  <si>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</si>
  <si>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</si>
  <si>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</si>
  <si>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</si>
  <si>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</si>
  <si>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</si>
  <si>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</si>
  <si>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</si>
  <si>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</si>
  <si>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</si>
  <si>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</si>
  <si>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</si>
  <si>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</si>
  <si>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</si>
  <si>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</si>
  <si>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</si>
  <si>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</si>
  <si>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</si>
  <si>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</si>
  <si>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</si>
  <si>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</si>
  <si>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</si>
  <si>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</si>
  <si>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</si>
  <si>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</si>
  <si>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</si>
  <si>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</si>
  <si>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</si>
  <si>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</si>
  <si>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</si>
  <si>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</si>
  <si>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</si>
  <si>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</si>
  <si>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</si>
  <si>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</si>
  <si>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</si>
  <si>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</si>
  <si>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</si>
  <si>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</si>
  <si>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</si>
  <si>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</si>
  <si>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</si>
  <si>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</si>
  <si>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</si>
  <si>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</si>
  <si>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</si>
  <si>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</si>
  <si>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</si>
  <si>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</si>
  <si>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</si>
  <si>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</si>
  <si>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</si>
  <si>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</si>
  <si>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</si>
  <si>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</si>
  <si>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</si>
  <si>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</si>
  <si>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</si>
  <si>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</si>
  <si>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</si>
  <si>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</si>
  <si>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</si>
  <si>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</si>
  <si>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</si>
  <si>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</si>
  <si>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</si>
  <si>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</si>
  <si>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</si>
  <si>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</si>
  <si>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</si>
  <si>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</si>
  <si>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</si>
  <si>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</si>
  <si>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</si>
  <si>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</si>
  <si>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</si>
  <si>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</si>
  <si>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</si>
  <si>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</si>
  <si>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</si>
  <si>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</si>
  <si>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</si>
  <si>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</si>
  <si>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</si>
  <si>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</si>
  <si>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</si>
  <si>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</si>
  <si>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</si>
  <si>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</si>
  <si>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</si>
  <si>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</si>
  <si>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</si>
  <si>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</si>
  <si>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</si>
  <si>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</si>
  <si>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</si>
  <si>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</si>
  <si>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</si>
  <si>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</si>
  <si>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</si>
  <si>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</si>
  <si>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</si>
  <si>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</si>
  <si>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</si>
  <si>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</si>
  <si>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</si>
  <si>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</si>
  <si>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</si>
  <si>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</si>
  <si>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</si>
  <si>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</si>
  <si>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</si>
  <si>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</si>
  <si>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</si>
  <si>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</si>
  <si>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</si>
  <si>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</si>
  <si>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</si>
  <si>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</si>
  <si>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</si>
  <si>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</si>
  <si>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</si>
  <si>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</si>
  <si>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</si>
  <si>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</si>
  <si>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</si>
  <si>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</si>
  <si>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</si>
  <si>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</si>
  <si>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</si>
  <si>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</si>
  <si>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</si>
  <si>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</si>
  <si>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</si>
  <si>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</si>
  <si>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</si>
  <si>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</si>
  <si>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</si>
  <si>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</si>
  <si>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</si>
  <si>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71004</t>
  </si>
  <si>
    <t>BERINGEN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</si>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</sst>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349052.67349389987</c:v>
                </c:pt>
                <c:pt idx="1">
                  <c:v>97292.785049298196</c:v>
                </c:pt>
                <c:pt idx="2">
                  <c:v>2063.049</c:v>
                </c:pt>
                <c:pt idx="3">
                  <c:v>1896.0207716063685</c:v>
                </c:pt>
                <c:pt idx="4">
                  <c:v>81408.163513843101</c:v>
                </c:pt>
                <c:pt idx="5">
                  <c:v>264594.37113066029</c:v>
                </c:pt>
                <c:pt idx="6">
                  <c:v>3286.8754552498544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349052.67349389987</c:v>
                </c:pt>
                <c:pt idx="1">
                  <c:v>97292.785049298196</c:v>
                </c:pt>
                <c:pt idx="2">
                  <c:v>2063.049</c:v>
                </c:pt>
                <c:pt idx="3">
                  <c:v>1896.0207716063685</c:v>
                </c:pt>
                <c:pt idx="4">
                  <c:v>81408.163513843101</c:v>
                </c:pt>
                <c:pt idx="5">
                  <c:v>264594.37113066029</c:v>
                </c:pt>
                <c:pt idx="6">
                  <c:v>3286.8754552498544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61149.136181851747</c:v>
                </c:pt>
                <c:pt idx="1">
                  <c:v>15965.789217583701</c:v>
                </c:pt>
                <c:pt idx="2">
                  <c:v>286.03331063337873</c:v>
                </c:pt>
                <c:pt idx="3">
                  <c:v>461.73032736823541</c:v>
                </c:pt>
                <c:pt idx="4">
                  <c:v>14517.785700678165</c:v>
                </c:pt>
                <c:pt idx="5">
                  <c:v>65752.562151500373</c:v>
                </c:pt>
                <c:pt idx="6">
                  <c:v>831.38715641048111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40320"/>
        <c:axId val="76850304"/>
      </c:barChart>
      <c:catAx>
        <c:axId val="76840320"/>
        <c:scaling>
          <c:orientation val="minMax"/>
        </c:scaling>
        <c:axPos val="b"/>
        <c:numFmt formatCode="General" sourceLinked="0"/>
        <c:tickLblPos val="nextTo"/>
        <c:crossAx val="76850304"/>
        <c:crosses val="autoZero"/>
        <c:auto val="1"/>
        <c:lblAlgn val="ctr"/>
        <c:lblOffset val="100"/>
      </c:catAx>
      <c:valAx>
        <c:axId val="76850304"/>
        <c:scaling>
          <c:orientation val="minMax"/>
        </c:scaling>
        <c:axPos val="l"/>
        <c:majorGridlines/>
        <c:numFmt formatCode="#,##0" sourceLinked="1"/>
        <c:tickLblPos val="nextTo"/>
        <c:crossAx val="76840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61149.136181851747</c:v>
                </c:pt>
                <c:pt idx="1">
                  <c:v>15965.789217583701</c:v>
                </c:pt>
                <c:pt idx="2">
                  <c:v>286.03331063337873</c:v>
                </c:pt>
                <c:pt idx="3">
                  <c:v>461.73032736823541</c:v>
                </c:pt>
                <c:pt idx="4">
                  <c:v>14517.785700678165</c:v>
                </c:pt>
                <c:pt idx="5">
                  <c:v>65752.562151500373</c:v>
                </c:pt>
                <c:pt idx="6">
                  <c:v>831.38715641048111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71004</v>
      </c>
      <c r="B6" s="415"/>
      <c r="C6" s="416"/>
    </row>
    <row r="7" spans="1:7" s="413" customFormat="1" ht="15.75" customHeight="1">
      <c r="A7" s="417" t="str">
        <f>txtMunicipality</f>
        <v>BERINGEN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0.13864591225578196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0.13864591225578196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17821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1755.44</v>
      </c>
    </row>
    <row r="15" spans="1:6">
      <c r="A15" s="348" t="s">
        <v>183</v>
      </c>
      <c r="B15" s="334">
        <v>4</v>
      </c>
    </row>
    <row r="16" spans="1:6">
      <c r="A16" s="348" t="s">
        <v>6</v>
      </c>
      <c r="B16" s="334">
        <v>126</v>
      </c>
    </row>
    <row r="17" spans="1:6">
      <c r="A17" s="348" t="s">
        <v>7</v>
      </c>
      <c r="B17" s="334">
        <v>132</v>
      </c>
    </row>
    <row r="18" spans="1:6">
      <c r="A18" s="348" t="s">
        <v>8</v>
      </c>
      <c r="B18" s="334">
        <v>216</v>
      </c>
    </row>
    <row r="19" spans="1:6">
      <c r="A19" s="348" t="s">
        <v>9</v>
      </c>
      <c r="B19" s="334">
        <v>234</v>
      </c>
    </row>
    <row r="20" spans="1:6">
      <c r="A20" s="348" t="s">
        <v>10</v>
      </c>
      <c r="B20" s="334">
        <v>167</v>
      </c>
    </row>
    <row r="21" spans="1:6">
      <c r="A21" s="348" t="s">
        <v>11</v>
      </c>
      <c r="B21" s="334">
        <v>0</v>
      </c>
    </row>
    <row r="22" spans="1:6">
      <c r="A22" s="348" t="s">
        <v>12</v>
      </c>
      <c r="B22" s="334">
        <v>2561</v>
      </c>
    </row>
    <row r="23" spans="1:6">
      <c r="A23" s="348" t="s">
        <v>13</v>
      </c>
      <c r="B23" s="334">
        <v>0</v>
      </c>
    </row>
    <row r="24" spans="1:6">
      <c r="A24" s="348" t="s">
        <v>14</v>
      </c>
      <c r="B24" s="334">
        <v>0</v>
      </c>
    </row>
    <row r="25" spans="1:6">
      <c r="A25" s="348" t="s">
        <v>15</v>
      </c>
      <c r="B25" s="334">
        <v>0</v>
      </c>
    </row>
    <row r="26" spans="1:6">
      <c r="A26" s="348" t="s">
        <v>16</v>
      </c>
      <c r="B26" s="334">
        <v>630</v>
      </c>
    </row>
    <row r="27" spans="1:6">
      <c r="A27" s="348" t="s">
        <v>17</v>
      </c>
      <c r="B27" s="334">
        <v>21</v>
      </c>
    </row>
    <row r="28" spans="1:6" s="356" customFormat="1">
      <c r="A28" s="355" t="s">
        <v>18</v>
      </c>
      <c r="B28" s="355">
        <v>7533</v>
      </c>
    </row>
    <row r="29" spans="1:6">
      <c r="A29" s="355" t="s">
        <v>713</v>
      </c>
      <c r="B29" s="355">
        <v>198</v>
      </c>
      <c r="C29" s="356"/>
      <c r="D29" s="356"/>
      <c r="E29" s="356"/>
      <c r="F29" s="356"/>
    </row>
    <row r="30" spans="1:6">
      <c r="A30" s="341" t="s">
        <v>714</v>
      </c>
      <c r="B30" s="341">
        <v>52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19</v>
      </c>
      <c r="F36" s="334">
        <v>151920</v>
      </c>
    </row>
    <row r="37" spans="1:6">
      <c r="A37" s="348" t="s">
        <v>24</v>
      </c>
      <c r="B37" s="348" t="s">
        <v>27</v>
      </c>
      <c r="C37" s="334">
        <v>0</v>
      </c>
      <c r="D37" s="334">
        <v>0</v>
      </c>
      <c r="E37" s="334">
        <v>0</v>
      </c>
      <c r="F37" s="334">
        <v>0</v>
      </c>
    </row>
    <row r="38" spans="1:6">
      <c r="A38" s="348" t="s">
        <v>24</v>
      </c>
      <c r="B38" s="348" t="s">
        <v>28</v>
      </c>
      <c r="C38" s="334">
        <v>1</v>
      </c>
      <c r="D38" s="334">
        <v>9596</v>
      </c>
      <c r="E38" s="334">
        <v>1</v>
      </c>
      <c r="F38" s="334">
        <v>698</v>
      </c>
    </row>
    <row r="39" spans="1:6">
      <c r="A39" s="348" t="s">
        <v>29</v>
      </c>
      <c r="B39" s="348" t="s">
        <v>30</v>
      </c>
      <c r="C39" s="334">
        <v>9864</v>
      </c>
      <c r="D39" s="334">
        <v>146363022.25</v>
      </c>
      <c r="E39" s="334">
        <v>17855</v>
      </c>
      <c r="F39" s="334">
        <v>56065861.5</v>
      </c>
    </row>
    <row r="40" spans="1:6">
      <c r="A40" s="348" t="s">
        <v>29</v>
      </c>
      <c r="B40" s="348" t="s">
        <v>28</v>
      </c>
      <c r="C40" s="334">
        <v>1</v>
      </c>
      <c r="D40" s="334">
        <v>20280</v>
      </c>
      <c r="E40" s="334">
        <v>2</v>
      </c>
      <c r="F40" s="334">
        <v>17716</v>
      </c>
    </row>
    <row r="41" spans="1:6">
      <c r="A41" s="348" t="s">
        <v>31</v>
      </c>
      <c r="B41" s="348" t="s">
        <v>32</v>
      </c>
      <c r="C41" s="334">
        <v>184</v>
      </c>
      <c r="D41" s="334">
        <v>6281419.9500000002</v>
      </c>
      <c r="E41" s="334">
        <v>347</v>
      </c>
      <c r="F41" s="334">
        <v>5454691.9069999997</v>
      </c>
    </row>
    <row r="42" spans="1:6">
      <c r="A42" s="348" t="s">
        <v>31</v>
      </c>
      <c r="B42" s="348" t="s">
        <v>33</v>
      </c>
      <c r="C42" s="334">
        <v>0</v>
      </c>
      <c r="D42" s="334">
        <v>0</v>
      </c>
      <c r="E42" s="334">
        <v>3</v>
      </c>
      <c r="F42" s="334">
        <v>2800441</v>
      </c>
    </row>
    <row r="43" spans="1:6">
      <c r="A43" s="348" t="s">
        <v>31</v>
      </c>
      <c r="B43" s="348" t="s">
        <v>34</v>
      </c>
      <c r="C43" s="334">
        <v>0</v>
      </c>
      <c r="D43" s="334">
        <v>0</v>
      </c>
      <c r="E43" s="334">
        <v>0</v>
      </c>
      <c r="F43" s="334">
        <v>0</v>
      </c>
    </row>
    <row r="44" spans="1:6">
      <c r="A44" s="348" t="s">
        <v>31</v>
      </c>
      <c r="B44" s="348" t="s">
        <v>35</v>
      </c>
      <c r="C44" s="334">
        <v>28</v>
      </c>
      <c r="D44" s="334">
        <v>10354634.714</v>
      </c>
      <c r="E44" s="334">
        <v>48</v>
      </c>
      <c r="F44" s="334">
        <v>6406905.5140000004</v>
      </c>
    </row>
    <row r="45" spans="1:6">
      <c r="A45" s="348" t="s">
        <v>31</v>
      </c>
      <c r="B45" s="348" t="s">
        <v>36</v>
      </c>
      <c r="C45" s="334">
        <v>0</v>
      </c>
      <c r="D45" s="334">
        <v>0</v>
      </c>
      <c r="E45" s="334">
        <v>3</v>
      </c>
      <c r="F45" s="334">
        <v>1015651</v>
      </c>
    </row>
    <row r="46" spans="1:6">
      <c r="A46" s="348" t="s">
        <v>31</v>
      </c>
      <c r="B46" s="348" t="s">
        <v>37</v>
      </c>
      <c r="C46" s="334">
        <v>0</v>
      </c>
      <c r="D46" s="334">
        <v>0</v>
      </c>
      <c r="E46" s="334">
        <v>0</v>
      </c>
      <c r="F46" s="334">
        <v>0</v>
      </c>
    </row>
    <row r="47" spans="1:6">
      <c r="A47" s="348" t="s">
        <v>31</v>
      </c>
      <c r="B47" s="348" t="s">
        <v>38</v>
      </c>
      <c r="C47" s="334">
        <v>5</v>
      </c>
      <c r="D47" s="334">
        <v>14306559</v>
      </c>
      <c r="E47" s="334">
        <v>11</v>
      </c>
      <c r="F47" s="334">
        <v>9592017</v>
      </c>
    </row>
    <row r="48" spans="1:6">
      <c r="A48" s="348" t="s">
        <v>31</v>
      </c>
      <c r="B48" s="348" t="s">
        <v>28</v>
      </c>
      <c r="C48" s="334">
        <v>4</v>
      </c>
      <c r="D48" s="334">
        <v>97507</v>
      </c>
      <c r="E48" s="334">
        <v>2</v>
      </c>
      <c r="F48" s="334">
        <v>28515</v>
      </c>
    </row>
    <row r="49" spans="1:6">
      <c r="A49" s="348" t="s">
        <v>31</v>
      </c>
      <c r="B49" s="348" t="s">
        <v>39</v>
      </c>
      <c r="C49" s="334">
        <v>0</v>
      </c>
      <c r="D49" s="334">
        <v>0</v>
      </c>
      <c r="E49" s="334">
        <v>5</v>
      </c>
      <c r="F49" s="334">
        <v>152984</v>
      </c>
    </row>
    <row r="50" spans="1:6">
      <c r="A50" s="348" t="s">
        <v>31</v>
      </c>
      <c r="B50" s="348" t="s">
        <v>40</v>
      </c>
      <c r="C50" s="334">
        <v>15</v>
      </c>
      <c r="D50" s="334">
        <v>8027331.9579999996</v>
      </c>
      <c r="E50" s="334">
        <v>30</v>
      </c>
      <c r="F50" s="334">
        <v>10518891</v>
      </c>
    </row>
    <row r="51" spans="1:6">
      <c r="A51" s="348" t="s">
        <v>41</v>
      </c>
      <c r="B51" s="348" t="s">
        <v>42</v>
      </c>
      <c r="C51" s="334">
        <v>6</v>
      </c>
      <c r="D51" s="334">
        <v>80455</v>
      </c>
      <c r="E51" s="334">
        <v>39</v>
      </c>
      <c r="F51" s="334">
        <v>376681.55</v>
      </c>
    </row>
    <row r="52" spans="1:6">
      <c r="A52" s="348" t="s">
        <v>41</v>
      </c>
      <c r="B52" s="348" t="s">
        <v>28</v>
      </c>
      <c r="C52" s="334">
        <v>0</v>
      </c>
      <c r="D52" s="334">
        <v>0</v>
      </c>
      <c r="E52" s="334">
        <v>0</v>
      </c>
      <c r="F52" s="334">
        <v>0</v>
      </c>
    </row>
    <row r="53" spans="1:6">
      <c r="A53" s="348" t="s">
        <v>43</v>
      </c>
      <c r="B53" s="348" t="s">
        <v>44</v>
      </c>
      <c r="C53" s="334">
        <v>123</v>
      </c>
      <c r="D53" s="334">
        <v>7343212.8499999996</v>
      </c>
      <c r="E53" s="334">
        <v>300</v>
      </c>
      <c r="F53" s="334">
        <v>8144303.3499999996</v>
      </c>
    </row>
    <row r="54" spans="1:6">
      <c r="A54" s="348" t="s">
        <v>45</v>
      </c>
      <c r="B54" s="348" t="s">
        <v>46</v>
      </c>
      <c r="C54" s="334">
        <v>0</v>
      </c>
      <c r="D54" s="334">
        <v>0</v>
      </c>
      <c r="E54" s="334">
        <v>3</v>
      </c>
      <c r="F54" s="334">
        <v>2063049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130</v>
      </c>
      <c r="D57" s="334">
        <v>7347609.1430000002</v>
      </c>
      <c r="E57" s="334">
        <v>355</v>
      </c>
      <c r="F57" s="334">
        <v>8219995.4069999997</v>
      </c>
    </row>
    <row r="58" spans="1:6">
      <c r="A58" s="348" t="s">
        <v>48</v>
      </c>
      <c r="B58" s="348" t="s">
        <v>50</v>
      </c>
      <c r="C58" s="334">
        <v>96</v>
      </c>
      <c r="D58" s="334">
        <v>6176070</v>
      </c>
      <c r="E58" s="334">
        <v>143</v>
      </c>
      <c r="F58" s="334">
        <v>2915765.1</v>
      </c>
    </row>
    <row r="59" spans="1:6">
      <c r="A59" s="348" t="s">
        <v>48</v>
      </c>
      <c r="B59" s="348" t="s">
        <v>51</v>
      </c>
      <c r="C59" s="334">
        <v>242</v>
      </c>
      <c r="D59" s="334">
        <v>14271284.025</v>
      </c>
      <c r="E59" s="334">
        <v>474</v>
      </c>
      <c r="F59" s="334">
        <v>21637365.151000001</v>
      </c>
    </row>
    <row r="60" spans="1:6">
      <c r="A60" s="348" t="s">
        <v>48</v>
      </c>
      <c r="B60" s="348" t="s">
        <v>52</v>
      </c>
      <c r="C60" s="334">
        <v>103</v>
      </c>
      <c r="D60" s="334">
        <v>4443558.1500000004</v>
      </c>
      <c r="E60" s="334">
        <v>158</v>
      </c>
      <c r="F60" s="334">
        <v>3719728.55</v>
      </c>
    </row>
    <row r="61" spans="1:6">
      <c r="A61" s="348" t="s">
        <v>48</v>
      </c>
      <c r="B61" s="348" t="s">
        <v>53</v>
      </c>
      <c r="C61" s="334">
        <v>252</v>
      </c>
      <c r="D61" s="334">
        <v>8789772</v>
      </c>
      <c r="E61" s="334">
        <v>547</v>
      </c>
      <c r="F61" s="334">
        <v>7258296.5769999996</v>
      </c>
    </row>
    <row r="62" spans="1:6">
      <c r="A62" s="348" t="s">
        <v>48</v>
      </c>
      <c r="B62" s="348" t="s">
        <v>54</v>
      </c>
      <c r="C62" s="334">
        <v>23</v>
      </c>
      <c r="D62" s="334">
        <v>3830684.7710000002</v>
      </c>
      <c r="E62" s="334">
        <v>39</v>
      </c>
      <c r="F62" s="334">
        <v>1447984.3729999999</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13</v>
      </c>
      <c r="F66" s="334">
        <v>403914</v>
      </c>
    </row>
    <row r="67" spans="1:6">
      <c r="A67" s="355" t="s">
        <v>55</v>
      </c>
      <c r="B67" s="355" t="s">
        <v>58</v>
      </c>
      <c r="C67" s="334">
        <v>0</v>
      </c>
      <c r="D67" s="334">
        <v>0</v>
      </c>
      <c r="E67" s="334">
        <v>0</v>
      </c>
      <c r="F67" s="334">
        <v>0</v>
      </c>
    </row>
    <row r="68" spans="1:6">
      <c r="A68" s="341" t="s">
        <v>55</v>
      </c>
      <c r="B68" s="341" t="s">
        <v>59</v>
      </c>
      <c r="C68" s="334">
        <v>12</v>
      </c>
      <c r="D68" s="334">
        <v>645143</v>
      </c>
      <c r="E68" s="334">
        <v>21</v>
      </c>
      <c r="F68" s="334">
        <v>5058357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92415541</v>
      </c>
      <c r="E73" s="476"/>
    </row>
    <row r="74" spans="1:6">
      <c r="A74" s="348" t="s">
        <v>63</v>
      </c>
      <c r="B74" s="348" t="s">
        <v>651</v>
      </c>
      <c r="C74" s="1307" t="s">
        <v>653</v>
      </c>
      <c r="D74" s="476">
        <v>4375240</v>
      </c>
      <c r="E74" s="476"/>
    </row>
    <row r="75" spans="1:6">
      <c r="A75" s="348" t="s">
        <v>64</v>
      </c>
      <c r="B75" s="348" t="s">
        <v>650</v>
      </c>
      <c r="C75" s="1307" t="s">
        <v>654</v>
      </c>
      <c r="D75" s="476">
        <v>84595855</v>
      </c>
      <c r="E75" s="476"/>
    </row>
    <row r="76" spans="1:6">
      <c r="A76" s="348" t="s">
        <v>64</v>
      </c>
      <c r="B76" s="348" t="s">
        <v>651</v>
      </c>
      <c r="C76" s="1307" t="s">
        <v>655</v>
      </c>
      <c r="D76" s="476">
        <v>2182582</v>
      </c>
      <c r="E76" s="476"/>
    </row>
    <row r="77" spans="1:6">
      <c r="A77" s="348" t="s">
        <v>65</v>
      </c>
      <c r="B77" s="348" t="s">
        <v>650</v>
      </c>
      <c r="C77" s="1307" t="s">
        <v>656</v>
      </c>
      <c r="D77" s="476">
        <v>97847541</v>
      </c>
      <c r="E77" s="476"/>
    </row>
    <row r="78" spans="1:6">
      <c r="A78" s="341" t="s">
        <v>65</v>
      </c>
      <c r="B78" s="341" t="s">
        <v>651</v>
      </c>
      <c r="C78" s="341" t="s">
        <v>657</v>
      </c>
      <c r="D78" s="1308">
        <v>18207777</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913136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40098.302810675857</v>
      </c>
    </row>
    <row r="91" spans="1:6">
      <c r="A91" s="348" t="s">
        <v>67</v>
      </c>
      <c r="B91" s="334">
        <v>13314.192942131094</v>
      </c>
    </row>
    <row r="92" spans="1:6">
      <c r="A92" s="341" t="s">
        <v>68</v>
      </c>
      <c r="B92" s="342">
        <v>6694.920654078358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2269</v>
      </c>
    </row>
    <row r="98" spans="1:6">
      <c r="A98" s="348" t="s">
        <v>71</v>
      </c>
      <c r="B98" s="334">
        <v>9</v>
      </c>
    </row>
    <row r="99" spans="1:6">
      <c r="A99" s="348" t="s">
        <v>72</v>
      </c>
      <c r="B99" s="334">
        <v>57</v>
      </c>
    </row>
    <row r="100" spans="1:6">
      <c r="A100" s="348" t="s">
        <v>73</v>
      </c>
      <c r="B100" s="334">
        <v>465</v>
      </c>
    </row>
    <row r="101" spans="1:6">
      <c r="A101" s="348" t="s">
        <v>74</v>
      </c>
      <c r="B101" s="334">
        <v>121</v>
      </c>
    </row>
    <row r="102" spans="1:6">
      <c r="A102" s="348" t="s">
        <v>75</v>
      </c>
      <c r="B102" s="334">
        <v>138</v>
      </c>
    </row>
    <row r="103" spans="1:6">
      <c r="A103" s="348" t="s">
        <v>76</v>
      </c>
      <c r="B103" s="334">
        <v>299</v>
      </c>
    </row>
    <row r="104" spans="1:6">
      <c r="A104" s="348" t="s">
        <v>77</v>
      </c>
      <c r="B104" s="334">
        <v>10765</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1</v>
      </c>
      <c r="C122" s="334">
        <v>0</v>
      </c>
    </row>
    <row r="123" spans="1:6">
      <c r="A123" s="348" t="s">
        <v>87</v>
      </c>
      <c r="B123" s="334">
        <v>82</v>
      </c>
      <c r="C123" s="334">
        <v>121</v>
      </c>
    </row>
    <row r="124" spans="1:6">
      <c r="A124" s="341" t="s">
        <v>88</v>
      </c>
      <c r="B124" s="334">
        <v>4</v>
      </c>
      <c r="C124" s="334">
        <v>5</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629</v>
      </c>
    </row>
    <row r="130" spans="1:6">
      <c r="A130" s="348" t="s">
        <v>294</v>
      </c>
      <c r="B130" s="334">
        <v>3</v>
      </c>
    </row>
    <row r="131" spans="1:6">
      <c r="A131" s="348" t="s">
        <v>295</v>
      </c>
      <c r="B131" s="334">
        <v>2</v>
      </c>
    </row>
    <row r="132" spans="1:6">
      <c r="A132" s="341" t="s">
        <v>296</v>
      </c>
      <c r="B132" s="342">
        <v>77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161300.29959386302</v>
      </c>
      <c r="C3" s="43" t="s">
        <v>169</v>
      </c>
      <c r="D3" s="43"/>
      <c r="E3" s="154"/>
      <c r="F3" s="43"/>
      <c r="G3" s="43"/>
      <c r="H3" s="43"/>
      <c r="I3" s="43"/>
      <c r="J3" s="43"/>
      <c r="K3" s="96"/>
    </row>
    <row r="4" spans="1:11">
      <c r="A4" s="383" t="s">
        <v>170</v>
      </c>
      <c r="B4" s="49">
        <f>IF(ISERROR('SEAP template'!B78),0,'SEAP template'!B78)</f>
        <v>60107.416406885313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0.13864591225578196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2063.049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2063.049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0.13864591225578196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286.03331063337873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56083.577499999999</v>
      </c>
      <c r="C5" s="17">
        <f>IF(ISERROR('Eigen informatie GS &amp; warmtenet'!B59),0,'Eigen informatie GS &amp; warmtenet'!B59)</f>
        <v>0</v>
      </c>
      <c r="D5" s="30">
        <f>(SUM(HH_hh_gas_kWh,HH_rest_gas_kWh)/1000)*0.902</f>
        <v>132037.7386295</v>
      </c>
      <c r="E5" s="17">
        <f>B46*B57</f>
        <v>13419.807013055735</v>
      </c>
      <c r="F5" s="17">
        <f>B51*B62</f>
        <v>81683.519083380088</v>
      </c>
      <c r="G5" s="18"/>
      <c r="H5" s="17"/>
      <c r="I5" s="17"/>
      <c r="J5" s="17">
        <f>B50*B61+C50*C61</f>
        <v>0</v>
      </c>
      <c r="K5" s="17"/>
      <c r="L5" s="17"/>
      <c r="M5" s="17"/>
      <c r="N5" s="17">
        <f>B48*B59+C48*C59</f>
        <v>49298.914503043095</v>
      </c>
      <c r="O5" s="17">
        <f>B69*B70*B71</f>
        <v>1497.8884556372091</v>
      </c>
      <c r="P5" s="17">
        <f>B77*B78*B79/1000-B77*B78*B79/1000/B80</f>
        <v>1717.0353671526589</v>
      </c>
    </row>
    <row r="6" spans="1:16">
      <c r="A6" s="16" t="s">
        <v>615</v>
      </c>
      <c r="B6" s="809">
        <f>kWh_PV_kleiner_dan_10kW</f>
        <v>13314.192942131094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69397.770442131092</v>
      </c>
      <c r="C8" s="21">
        <f>C5</f>
        <v>0</v>
      </c>
      <c r="D8" s="21">
        <f>D5</f>
        <v>132037.7386295</v>
      </c>
      <c r="E8" s="21">
        <f>E5</f>
        <v>13419.807013055735</v>
      </c>
      <c r="F8" s="21">
        <f>F5</f>
        <v>81683.519083380088</v>
      </c>
      <c r="G8" s="21"/>
      <c r="H8" s="21"/>
      <c r="I8" s="21"/>
      <c r="J8" s="21">
        <f>J5</f>
        <v>0</v>
      </c>
      <c r="K8" s="21"/>
      <c r="L8" s="21">
        <f>L5</f>
        <v>0</v>
      </c>
      <c r="M8" s="21">
        <f>M5</f>
        <v>0</v>
      </c>
      <c r="N8" s="21">
        <f>N5</f>
        <v>49298.914503043095</v>
      </c>
      <c r="O8" s="21">
        <f>O5</f>
        <v>1497.8884556372091</v>
      </c>
      <c r="P8" s="21">
        <f>P5</f>
        <v>1717.0353671526589</v>
      </c>
    </row>
    <row r="9" spans="1:16">
      <c r="B9" s="19"/>
      <c r="C9" s="19"/>
      <c r="D9" s="258"/>
      <c r="E9" s="19"/>
      <c r="F9" s="19"/>
      <c r="G9" s="19"/>
      <c r="H9" s="19"/>
      <c r="I9" s="19"/>
      <c r="J9" s="19"/>
      <c r="K9" s="19"/>
      <c r="L9" s="19"/>
      <c r="M9" s="19"/>
      <c r="N9" s="19"/>
      <c r="O9" s="19"/>
      <c r="P9" s="19"/>
    </row>
    <row r="10" spans="1:16">
      <c r="A10" s="24" t="s">
        <v>213</v>
      </c>
      <c r="B10" s="25">
        <f ca="1">'EF ele_warmte'!B12</f>
        <v>0.13864591225578196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9621.7171914666069</v>
      </c>
      <c r="C12" s="23">
        <f ca="1">C10*C8</f>
        <v>0</v>
      </c>
      <c r="D12" s="23">
        <f>D8*D10</f>
        <v>26671.623203159001</v>
      </c>
      <c r="E12" s="23">
        <f>E10*E8</f>
        <v>3046.2961919636518</v>
      </c>
      <c r="F12" s="23">
        <f>F10*F8</f>
        <v>21809.499595262485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2269</v>
      </c>
      <c r="C18" s="166" t="s">
        <v>110</v>
      </c>
      <c r="D18" s="228"/>
      <c r="E18" s="15"/>
    </row>
    <row r="19" spans="1:7">
      <c r="A19" s="171" t="s">
        <v>71</v>
      </c>
      <c r="B19" s="37">
        <f>aantalw2001_ander</f>
        <v>9</v>
      </c>
      <c r="C19" s="166" t="s">
        <v>110</v>
      </c>
      <c r="D19" s="229"/>
      <c r="E19" s="15"/>
    </row>
    <row r="20" spans="1:7">
      <c r="A20" s="171" t="s">
        <v>72</v>
      </c>
      <c r="B20" s="37">
        <f>aantalw2001_propaan</f>
        <v>57</v>
      </c>
      <c r="C20" s="167">
        <f>IF(ISERROR(B20/SUM($B$20,$B$21,$B$22)*100),0,B20/SUM($B$20,$B$21,$B$22)*100)</f>
        <v>8.8646967340590983</v>
      </c>
      <c r="D20" s="229"/>
      <c r="E20" s="15"/>
    </row>
    <row r="21" spans="1:7">
      <c r="A21" s="171" t="s">
        <v>73</v>
      </c>
      <c r="B21" s="37">
        <f>aantalw2001_elektriciteit</f>
        <v>465</v>
      </c>
      <c r="C21" s="167">
        <f>IF(ISERROR(B21/SUM($B$20,$B$21,$B$22)*100),0,B21/SUM($B$20,$B$21,$B$22)*100)</f>
        <v>72.317262830482107</v>
      </c>
      <c r="D21" s="229"/>
      <c r="E21" s="15"/>
    </row>
    <row r="22" spans="1:7">
      <c r="A22" s="171" t="s">
        <v>74</v>
      </c>
      <c r="B22" s="37">
        <f>aantalw2001_hout</f>
        <v>121</v>
      </c>
      <c r="C22" s="167">
        <f>IF(ISERROR(B22/SUM($B$20,$B$21,$B$22)*100),0,B22/SUM($B$20,$B$21,$B$22)*100)</f>
        <v>18.818040435458787</v>
      </c>
      <c r="D22" s="229"/>
      <c r="E22" s="15"/>
    </row>
    <row r="23" spans="1:7">
      <c r="A23" s="171" t="s">
        <v>75</v>
      </c>
      <c r="B23" s="37">
        <f>aantalw2001_niet_gespec</f>
        <v>138</v>
      </c>
      <c r="C23" s="166" t="s">
        <v>110</v>
      </c>
      <c r="D23" s="228"/>
      <c r="E23" s="15"/>
    </row>
    <row r="24" spans="1:7">
      <c r="A24" s="171" t="s">
        <v>76</v>
      </c>
      <c r="B24" s="37">
        <f>aantalw2001_steenkool</f>
        <v>299</v>
      </c>
      <c r="C24" s="166" t="s">
        <v>110</v>
      </c>
      <c r="D24" s="229"/>
      <c r="E24" s="15"/>
    </row>
    <row r="25" spans="1:7">
      <c r="A25" s="171" t="s">
        <v>77</v>
      </c>
      <c r="B25" s="37">
        <f>aantalw2001_stookolie</f>
        <v>10765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837</v>
      </c>
      <c r="B28" s="37">
        <f>aantalHuishoudens2011</f>
        <v>17821</v>
      </c>
      <c r="C28" s="36"/>
      <c r="D28" s="228"/>
    </row>
    <row r="29" spans="1:7" s="15" customFormat="1">
      <c r="A29" s="230" t="s">
        <v>838</v>
      </c>
      <c r="B29" s="37">
        <f>SUM(HH_hh_gas_aantal,HH_rest_gas_aantal)</f>
        <v>9865</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9865</v>
      </c>
      <c r="C32" s="167">
        <f>IF(ISERROR(B32/SUM($B$32,$B$34,$B$35,$B$36,$B$38,$B$39)*100),0,B32/SUM($B$32,$B$34,$B$35,$B$36,$B$38,$B$39)*100)</f>
        <v>55.867029108619327</v>
      </c>
      <c r="D32" s="233"/>
      <c r="G32" s="15"/>
    </row>
    <row r="33" spans="1:7">
      <c r="A33" s="171" t="s">
        <v>71</v>
      </c>
      <c r="B33" s="34" t="s">
        <v>110</v>
      </c>
      <c r="C33" s="167"/>
      <c r="D33" s="233"/>
      <c r="G33" s="15"/>
    </row>
    <row r="34" spans="1:7">
      <c r="A34" s="171" t="s">
        <v>72</v>
      </c>
      <c r="B34" s="33">
        <f>IF((($B$28-$B$32-$B$39-$B$77-$B$38)*C20/100)&lt;0,0,($B$28-$B$32-$B$39-$B$77-$B$38)*C20/100)</f>
        <v>342.56734059097988</v>
      </c>
      <c r="C34" s="167">
        <f>IF(ISERROR(B34/SUM($B$32,$B$34,$B$35,$B$36,$B$38,$B$39)*100),0,B34/SUM($B$32,$B$34,$B$35,$B$36,$B$38,$B$39)*100)</f>
        <v>1.9400121224996028</v>
      </c>
      <c r="D34" s="233"/>
      <c r="G34" s="15"/>
    </row>
    <row r="35" spans="1:7">
      <c r="A35" s="171" t="s">
        <v>73</v>
      </c>
      <c r="B35" s="33">
        <f>IF((($B$28-$B$32-$B$39-$B$77-$B$38)*C21/100)&lt;0,0,($B$28-$B$32-$B$39-$B$77-$B$38)*C21/100)</f>
        <v>2794.6283048211508</v>
      </c>
      <c r="C35" s="167">
        <f>IF(ISERROR(B35/SUM($B$32,$B$34,$B$35,$B$36,$B$38,$B$39)*100),0,B35/SUM($B$32,$B$34,$B$35,$B$36,$B$38,$B$39)*100)</f>
        <v>15.826414683549386</v>
      </c>
      <c r="D35" s="233"/>
      <c r="G35" s="15"/>
    </row>
    <row r="36" spans="1:7">
      <c r="A36" s="171" t="s">
        <v>74</v>
      </c>
      <c r="B36" s="33">
        <f>IF((($B$28-$B$32-$B$39-$B$77-$B$38)*C22/100)&lt;0,0,($B$28-$B$32-$B$39-$B$77-$B$38)*C22/100)</f>
        <v>727.20435458786949</v>
      </c>
      <c r="C36" s="167">
        <f>IF(ISERROR(B36/SUM($B$32,$B$34,$B$35,$B$36,$B$38,$B$39)*100),0,B36/SUM($B$32,$B$34,$B$35,$B$36,$B$38,$B$39)*100)</f>
        <v>4.118271347762315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3928.5999999999995</v>
      </c>
      <c r="C39" s="167">
        <f>IF(ISERROR(B39/SUM($B$32,$B$34,$B$35,$B$36,$B$38,$B$39)*100),0,B39/SUM($B$32,$B$34,$B$35,$B$36,$B$38,$B$39)*100)</f>
        <v>22.248272737569373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9865</v>
      </c>
      <c r="C44" s="34" t="s">
        <v>110</v>
      </c>
      <c r="D44" s="174"/>
    </row>
    <row r="45" spans="1:7">
      <c r="A45" s="171" t="s">
        <v>71</v>
      </c>
      <c r="B45" s="33" t="str">
        <f t="shared" si="0"/>
        <v>-</v>
      </c>
      <c r="C45" s="34" t="s">
        <v>110</v>
      </c>
      <c r="D45" s="174"/>
    </row>
    <row r="46" spans="1:7">
      <c r="A46" s="171" t="s">
        <v>72</v>
      </c>
      <c r="B46" s="33">
        <f t="shared" si="0"/>
        <v>342.56734059097988</v>
      </c>
      <c r="C46" s="34" t="s">
        <v>110</v>
      </c>
      <c r="D46" s="174"/>
    </row>
    <row r="47" spans="1:7">
      <c r="A47" s="171" t="s">
        <v>73</v>
      </c>
      <c r="B47" s="33">
        <f t="shared" si="0"/>
        <v>2794.6283048211508</v>
      </c>
      <c r="C47" s="34" t="s">
        <v>110</v>
      </c>
      <c r="D47" s="174"/>
    </row>
    <row r="48" spans="1:7">
      <c r="A48" s="171" t="s">
        <v>74</v>
      </c>
      <c r="B48" s="33">
        <f t="shared" si="0"/>
        <v>727.20435458786949</v>
      </c>
      <c r="C48" s="33">
        <f>B48*10</f>
        <v>7272.0435458786951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3928.5999999999995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755</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163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45199.135157999997</v>
      </c>
      <c r="C5" s="17">
        <f>IF(ISERROR('Eigen informatie GS &amp; warmtenet'!B60),0,'Eigen informatie GS &amp; warmtenet'!B60)</f>
        <v>0</v>
      </c>
      <c r="D5" s="30">
        <f>SUM(D6:D12)</f>
        <v>40462.798236278002</v>
      </c>
      <c r="E5" s="17">
        <f>SUM(E6:E12)</f>
        <v>734.09636518454147</v>
      </c>
      <c r="F5" s="17">
        <f>SUM(F6:F12)</f>
        <v>5089.6605750978515</v>
      </c>
      <c r="G5" s="18"/>
      <c r="H5" s="17"/>
      <c r="I5" s="17"/>
      <c r="J5" s="17">
        <f>SUM(J6:J12)</f>
        <v>0.13954309104483575</v>
      </c>
      <c r="K5" s="17"/>
      <c r="L5" s="17"/>
      <c r="M5" s="17"/>
      <c r="N5" s="17">
        <f>SUM(N6:N12)</f>
        <v>5477.0285595102796</v>
      </c>
      <c r="O5" s="17">
        <f>B38*B39*B40</f>
        <v>14.691782297523464</v>
      </c>
      <c r="P5" s="17">
        <f>B46*B47*B48/1000-B46*B47*B48/1000/B49</f>
        <v>315.23482983897009</v>
      </c>
      <c r="R5" s="32"/>
    </row>
    <row r="6" spans="1:18">
      <c r="A6" s="32" t="s">
        <v>53</v>
      </c>
      <c r="B6" s="37">
        <f>B26</f>
        <v>7258.2965769999992</v>
      </c>
      <c r="C6" s="33"/>
      <c r="D6" s="37">
        <f>IF(ISERROR(TER_kantoor_gas_kWh/1000),0,TER_kantoor_gas_kWh/1000)*0.902</f>
        <v>7928.3743440000007</v>
      </c>
      <c r="E6" s="33">
        <f>$C$26*'E Balans VL '!I12/100/3.6*1000000</f>
        <v>58.405185361894546</v>
      </c>
      <c r="F6" s="33">
        <f>$C$26*('E Balans VL '!L12+'E Balans VL '!N12)/100/3.6*1000000</f>
        <v>887.40311137368963</v>
      </c>
      <c r="G6" s="34"/>
      <c r="H6" s="33"/>
      <c r="I6" s="33"/>
      <c r="J6" s="33">
        <f>$C$26*('E Balans VL '!D12+'E Balans VL '!E12)/100/3.6*1000000</f>
        <v>0</v>
      </c>
      <c r="K6" s="33"/>
      <c r="L6" s="33"/>
      <c r="M6" s="33"/>
      <c r="N6" s="33">
        <f>$C$26*'E Balans VL '!Y12/100/3.6*1000000</f>
        <v>3.9009769777176007</v>
      </c>
      <c r="O6" s="33"/>
      <c r="P6" s="33"/>
      <c r="R6" s="32"/>
    </row>
    <row r="7" spans="1:18">
      <c r="A7" s="32" t="s">
        <v>52</v>
      </c>
      <c r="B7" s="37">
        <f t="shared" ref="B7:B12" si="0">B27</f>
        <v>3719.7285499999998</v>
      </c>
      <c r="C7" s="33"/>
      <c r="D7" s="37">
        <f>IF(ISERROR(TER_horeca_gas_kWh/1000),0,TER_horeca_gas_kWh/1000)*0.902</f>
        <v>4008.0894513000007</v>
      </c>
      <c r="E7" s="33">
        <f>$C$27*'E Balans VL '!I9/100/3.6*1000000</f>
        <v>39.940750570572462</v>
      </c>
      <c r="F7" s="33">
        <f>$C$27*('E Balans VL '!L9+'E Balans VL '!N9)/100/3.6*1000000</f>
        <v>447.39314601044339</v>
      </c>
      <c r="G7" s="34"/>
      <c r="H7" s="33"/>
      <c r="I7" s="33"/>
      <c r="J7" s="33">
        <f>$C$27*('E Balans VL '!D9+'E Balans VL '!E9)/100/3.6*1000000</f>
        <v>0</v>
      </c>
      <c r="K7" s="33"/>
      <c r="L7" s="33"/>
      <c r="M7" s="33"/>
      <c r="N7" s="33">
        <f>$C$27*'E Balans VL '!Y9/100/3.6*1000000</f>
        <v>0.55766269979002314</v>
      </c>
      <c r="O7" s="33"/>
      <c r="P7" s="33"/>
      <c r="R7" s="32"/>
    </row>
    <row r="8" spans="1:18">
      <c r="A8" s="6" t="s">
        <v>51</v>
      </c>
      <c r="B8" s="37">
        <f t="shared" si="0"/>
        <v>21637.365151000002</v>
      </c>
      <c r="C8" s="33"/>
      <c r="D8" s="37">
        <f>IF(ISERROR(TER_handel_gas_kWh/1000),0,TER_handel_gas_kWh/1000)*0.902</f>
        <v>12872.698190550002</v>
      </c>
      <c r="E8" s="33">
        <f>$C$28*'E Balans VL '!I13/100/3.6*1000000</f>
        <v>580.68063850203157</v>
      </c>
      <c r="F8" s="33">
        <f>$C$28*('E Balans VL '!L13+'E Balans VL '!N13)/100/3.6*1000000</f>
        <v>2064.8715161947107</v>
      </c>
      <c r="G8" s="34"/>
      <c r="H8" s="33"/>
      <c r="I8" s="33"/>
      <c r="J8" s="33">
        <f>$C$28*('E Balans VL '!D13+'E Balans VL '!E13)/100/3.6*1000000</f>
        <v>0</v>
      </c>
      <c r="K8" s="33"/>
      <c r="L8" s="33"/>
      <c r="M8" s="33"/>
      <c r="N8" s="33">
        <f>$C$28*'E Balans VL '!Y13/100/3.6*1000000</f>
        <v>8.5772975710389545</v>
      </c>
      <c r="O8" s="33"/>
      <c r="P8" s="33"/>
      <c r="R8" s="32"/>
    </row>
    <row r="9" spans="1:18">
      <c r="A9" s="32" t="s">
        <v>50</v>
      </c>
      <c r="B9" s="37">
        <f t="shared" si="0"/>
        <v>2915.7651000000001</v>
      </c>
      <c r="C9" s="33"/>
      <c r="D9" s="37">
        <f>IF(ISERROR(TER_gezond_gas_kWh/1000),0,TER_gezond_gas_kWh/1000)*0.902</f>
        <v>5570.8151399999997</v>
      </c>
      <c r="E9" s="33">
        <f>$C$29*'E Balans VL '!I10/100/3.6*1000000</f>
        <v>5.4650932117437359</v>
      </c>
      <c r="F9" s="33">
        <f>$C$29*('E Balans VL '!L10+'E Balans VL '!N10)/100/3.6*1000000</f>
        <v>239.70249552658746</v>
      </c>
      <c r="G9" s="34"/>
      <c r="H9" s="33"/>
      <c r="I9" s="33"/>
      <c r="J9" s="33">
        <f>$C$29*('E Balans VL '!D10+'E Balans VL '!E10)/100/3.6*1000000</f>
        <v>0</v>
      </c>
      <c r="K9" s="33"/>
      <c r="L9" s="33"/>
      <c r="M9" s="33"/>
      <c r="N9" s="33">
        <f>$C$29*'E Balans VL '!Y10/100/3.6*1000000</f>
        <v>22.686827951351734</v>
      </c>
      <c r="O9" s="33"/>
      <c r="P9" s="33"/>
      <c r="R9" s="32"/>
    </row>
    <row r="10" spans="1:18">
      <c r="A10" s="32" t="s">
        <v>49</v>
      </c>
      <c r="B10" s="37">
        <f t="shared" si="0"/>
        <v>8219.9954070000003</v>
      </c>
      <c r="C10" s="33"/>
      <c r="D10" s="37">
        <f>IF(ISERROR(TER_ander_gas_kWh/1000),0,TER_ander_gas_kWh/1000)*0.902</f>
        <v>6627.5434469860011</v>
      </c>
      <c r="E10" s="33">
        <f>$C$30*'E Balans VL '!I14/100/3.6*1000000</f>
        <v>12.671206211816996</v>
      </c>
      <c r="F10" s="33">
        <f>$C$30*('E Balans VL '!L14+'E Balans VL '!N14)/100/3.6*1000000</f>
        <v>1276.1565561912432</v>
      </c>
      <c r="G10" s="34"/>
      <c r="H10" s="33"/>
      <c r="I10" s="33"/>
      <c r="J10" s="33">
        <f>$C$30*('E Balans VL '!D14+'E Balans VL '!E14)/100/3.6*1000000</f>
        <v>0.13954309104483575</v>
      </c>
      <c r="K10" s="33"/>
      <c r="L10" s="33"/>
      <c r="M10" s="33"/>
      <c r="N10" s="33">
        <f>$C$30*'E Balans VL '!Y14/100/3.6*1000000</f>
        <v>5438.0855123959527</v>
      </c>
      <c r="O10" s="33"/>
      <c r="P10" s="33"/>
      <c r="R10" s="32"/>
    </row>
    <row r="11" spans="1:18">
      <c r="A11" s="32" t="s">
        <v>54</v>
      </c>
      <c r="B11" s="37">
        <f t="shared" si="0"/>
        <v>1447.984373</v>
      </c>
      <c r="C11" s="33"/>
      <c r="D11" s="37">
        <f>IF(ISERROR(TER_onderwijs_gas_kWh/1000),0,TER_onderwijs_gas_kWh/1000)*0.902</f>
        <v>3455.2776634420002</v>
      </c>
      <c r="E11" s="33">
        <f>$C$31*'E Balans VL '!I11/100/3.6*1000000</f>
        <v>36.933491326482198</v>
      </c>
      <c r="F11" s="33">
        <f>$C$31*('E Balans VL '!L11+'E Balans VL '!N11)/100/3.6*1000000</f>
        <v>174.13374980117715</v>
      </c>
      <c r="G11" s="34"/>
      <c r="H11" s="33"/>
      <c r="I11" s="33"/>
      <c r="J11" s="33">
        <f>$C$31*('E Balans VL '!D11+'E Balans VL '!E11)/100/3.6*1000000</f>
        <v>0</v>
      </c>
      <c r="K11" s="33"/>
      <c r="L11" s="33"/>
      <c r="M11" s="33"/>
      <c r="N11" s="33">
        <f>$C$31*'E Balans VL '!Y11/100/3.6*1000000</f>
        <v>3.2202819144288615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45199.135157999997</v>
      </c>
      <c r="C16" s="21">
        <f t="shared" ca="1" si="1"/>
        <v>0</v>
      </c>
      <c r="D16" s="21">
        <f t="shared" ca="1" si="1"/>
        <v>40462.798236278002</v>
      </c>
      <c r="E16" s="21">
        <f t="shared" si="1"/>
        <v>734.09636518454147</v>
      </c>
      <c r="F16" s="21">
        <f t="shared" ca="1" si="1"/>
        <v>5089.6605750978515</v>
      </c>
      <c r="G16" s="21">
        <f t="shared" si="1"/>
        <v>0</v>
      </c>
      <c r="H16" s="21">
        <f t="shared" si="1"/>
        <v>0</v>
      </c>
      <c r="I16" s="21">
        <f t="shared" si="1"/>
        <v>0</v>
      </c>
      <c r="J16" s="21">
        <f t="shared" si="1"/>
        <v>0.13954309104483575</v>
      </c>
      <c r="K16" s="21">
        <f t="shared" si="1"/>
        <v>0</v>
      </c>
      <c r="L16" s="21">
        <f t="shared" ca="1" si="1"/>
        <v>0</v>
      </c>
      <c r="M16" s="21">
        <f t="shared" si="1"/>
        <v>0</v>
      </c>
      <c r="N16" s="21">
        <f t="shared" ca="1" si="1"/>
        <v>5477.0285595102796</v>
      </c>
      <c r="O16" s="21">
        <f>O5</f>
        <v>14.691782297523464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0.13864591225578196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6266.6753271532971</v>
      </c>
      <c r="C20" s="23">
        <f t="shared" ref="C20:P20" ca="1" si="2">C16*C18</f>
        <v>0</v>
      </c>
      <c r="D20" s="23">
        <f t="shared" ca="1" si="2"/>
        <v>8173.485243728157</v>
      </c>
      <c r="E20" s="23">
        <f t="shared" si="2"/>
        <v>166.63987489689092</v>
      </c>
      <c r="F20" s="23">
        <f t="shared" ca="1" si="2"/>
        <v>1358.9393735511264</v>
      </c>
      <c r="G20" s="23">
        <f t="shared" si="2"/>
        <v>0</v>
      </c>
      <c r="H20" s="23">
        <f t="shared" si="2"/>
        <v>0</v>
      </c>
      <c r="I20" s="23">
        <f t="shared" si="2"/>
        <v>0</v>
      </c>
      <c r="J20" s="23">
        <f t="shared" si="2"/>
        <v>4.9398254229871853E-2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7258.2965769999992</v>
      </c>
      <c r="C26" s="39">
        <f>IF(ISERROR(B26*3.6/1000000/'E Balans VL '!Z12*100),0,B26*3.6/1000000/'E Balans VL '!Z12*100)</f>
        <v>0.15397812130224903</v>
      </c>
      <c r="D26" s="237" t="s">
        <v>716</v>
      </c>
      <c r="F26" s="6"/>
    </row>
    <row r="27" spans="1:18">
      <c r="A27" s="231" t="s">
        <v>52</v>
      </c>
      <c r="B27" s="33">
        <f>IF(ISERROR(TER_horeca_ele_kWh/1000),0,TER_horeca_ele_kWh/1000)</f>
        <v>3719.7285499999998</v>
      </c>
      <c r="C27" s="39">
        <f>IF(ISERROR(B27*3.6/1000000/'E Balans VL '!Z9*100),0,B27*3.6/1000000/'E Balans VL '!Z9*100)</f>
        <v>0.28012851105475262</v>
      </c>
      <c r="D27" s="237" t="s">
        <v>716</v>
      </c>
      <c r="F27" s="6"/>
    </row>
    <row r="28" spans="1:18">
      <c r="A28" s="171" t="s">
        <v>51</v>
      </c>
      <c r="B28" s="33">
        <f>IF(ISERROR(TER_handel_ele_kWh/1000),0,TER_handel_ele_kWh/1000)</f>
        <v>21637.365151000002</v>
      </c>
      <c r="C28" s="39">
        <f>IF(ISERROR(B28*3.6/1000000/'E Balans VL '!Z13*100),0,B28*3.6/1000000/'E Balans VL '!Z13*100)</f>
        <v>0.62805604316708941</v>
      </c>
      <c r="D28" s="237" t="s">
        <v>716</v>
      </c>
      <c r="F28" s="6"/>
    </row>
    <row r="29" spans="1:18">
      <c r="A29" s="231" t="s">
        <v>50</v>
      </c>
      <c r="B29" s="33">
        <f>IF(ISERROR(TER_gezond_ele_kWh/1000),0,TER_gezond_ele_kWh/1000)</f>
        <v>2915.7651000000001</v>
      </c>
      <c r="C29" s="39">
        <f>IF(ISERROR(B29*3.6/1000000/'E Balans VL '!Z10*100),0,B29*3.6/1000000/'E Balans VL '!Z10*100)</f>
        <v>0.29405838752650465</v>
      </c>
      <c r="D29" s="237" t="s">
        <v>716</v>
      </c>
      <c r="F29" s="6"/>
    </row>
    <row r="30" spans="1:18">
      <c r="A30" s="231" t="s">
        <v>49</v>
      </c>
      <c r="B30" s="33">
        <f>IF(ISERROR(TER_ander_ele_kWh/1000),0,TER_ander_ele_kWh/1000)</f>
        <v>8219.9954070000003</v>
      </c>
      <c r="C30" s="39">
        <f>IF(ISERROR(B30*3.6/1000000/'E Balans VL '!Z14*100),0,B30*3.6/1000000/'E Balans VL '!Z14*100)</f>
        <v>0.59647280807687886</v>
      </c>
      <c r="D30" s="237" t="s">
        <v>716</v>
      </c>
      <c r="F30" s="6"/>
    </row>
    <row r="31" spans="1:18">
      <c r="A31" s="231" t="s">
        <v>54</v>
      </c>
      <c r="B31" s="33">
        <f>IF(ISERROR(TER_onderwijs_ele_kWh/1000),0,TER_onderwijs_ele_kWh/1000)</f>
        <v>1447.984373</v>
      </c>
      <c r="C31" s="39">
        <f>IF(ISERROR(B31*3.6/1000000/'E Balans VL '!Z11*100),0,B31*3.6/1000000/'E Balans VL '!Z11*100)</f>
        <v>0.41273451097427738</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35970.096421000002</v>
      </c>
      <c r="C5" s="17">
        <f>IF(ISERROR('Eigen informatie GS &amp; warmtenet'!B61),0,'Eigen informatie GS &amp; warmtenet'!B61)</f>
        <v>0</v>
      </c>
      <c r="D5" s="30">
        <f>SUM(D6:D15)</f>
        <v>35238.842265043997</v>
      </c>
      <c r="E5" s="17">
        <f>SUM(E6:E15)</f>
        <v>1643.4711436450343</v>
      </c>
      <c r="F5" s="17">
        <f>SUM(F6:F15)</f>
        <v>6237.4388369402614</v>
      </c>
      <c r="G5" s="18"/>
      <c r="H5" s="17"/>
      <c r="I5" s="17"/>
      <c r="J5" s="17">
        <f>SUM(J6:J15)</f>
        <v>1056.4085080531718</v>
      </c>
      <c r="K5" s="17"/>
      <c r="L5" s="17"/>
      <c r="M5" s="17"/>
      <c r="N5" s="17">
        <f>SUM(N6:N15)</f>
        <v>1261.9063391606444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6406.905514</v>
      </c>
      <c r="C8" s="33"/>
      <c r="D8" s="37">
        <f>IF( ISERROR(IND_metaal_Gas_kWH/1000),0,IND_metaal_Gas_kWH/1000)*0.902</f>
        <v>9339.8805120279994</v>
      </c>
      <c r="E8" s="33">
        <f>C30*'E Balans VL '!I18/100/3.6*1000000</f>
        <v>46.221326496952564</v>
      </c>
      <c r="F8" s="33">
        <f>C30*'E Balans VL '!L18/100/3.6*1000000+C30*'E Balans VL '!N18/100/3.6*1000000</f>
        <v>605.97512656210802</v>
      </c>
      <c r="G8" s="34"/>
      <c r="H8" s="33"/>
      <c r="I8" s="33"/>
      <c r="J8" s="40">
        <f>C30*'E Balans VL '!D18/100/3.6*1000000+C30*'E Balans VL '!E18/100/3.6*1000000</f>
        <v>6.4441027977784584</v>
      </c>
      <c r="K8" s="33"/>
      <c r="L8" s="33"/>
      <c r="M8" s="33"/>
      <c r="N8" s="33">
        <f>C30*'E Balans VL '!Y18/100/3.6*1000000</f>
        <v>81.000236695438133</v>
      </c>
      <c r="O8" s="33"/>
      <c r="P8" s="33"/>
      <c r="R8" s="32"/>
    </row>
    <row r="9" spans="1:18">
      <c r="A9" s="6" t="s">
        <v>32</v>
      </c>
      <c r="B9" s="37">
        <f t="shared" si="0"/>
        <v>5454.6919069999994</v>
      </c>
      <c r="C9" s="33"/>
      <c r="D9" s="37">
        <f>IF( ISERROR(IND_andere_gas_kWh/1000),0,IND_andere_gas_kWh/1000)*0.902</f>
        <v>5665.8407949000002</v>
      </c>
      <c r="E9" s="33">
        <f>C31*'E Balans VL '!I19/100/3.6*1000000</f>
        <v>1511.568065798378</v>
      </c>
      <c r="F9" s="33">
        <f>C31*'E Balans VL '!L19/100/3.6*1000000+C31*'E Balans VL '!N19/100/3.6*1000000</f>
        <v>4520.8604402016581</v>
      </c>
      <c r="G9" s="34"/>
      <c r="H9" s="33"/>
      <c r="I9" s="33"/>
      <c r="J9" s="40">
        <f>C31*'E Balans VL '!D19/100/3.6*1000000+C31*'E Balans VL '!E19/100/3.6*1000000</f>
        <v>0</v>
      </c>
      <c r="K9" s="33"/>
      <c r="L9" s="33"/>
      <c r="M9" s="33"/>
      <c r="N9" s="33">
        <f>C31*'E Balans VL '!Y19/100/3.6*1000000</f>
        <v>395.94391434339116</v>
      </c>
      <c r="O9" s="33"/>
      <c r="P9" s="33"/>
      <c r="R9" s="32"/>
    </row>
    <row r="10" spans="1:18">
      <c r="A10" s="6" t="s">
        <v>40</v>
      </c>
      <c r="B10" s="37">
        <f t="shared" si="0"/>
        <v>10518.891</v>
      </c>
      <c r="C10" s="33"/>
      <c r="D10" s="37">
        <f>IF( ISERROR(IND_voed_gas_kWh/1000),0,IND_voed_gas_kWh/1000)*0.902</f>
        <v>7240.6534261159995</v>
      </c>
      <c r="E10" s="33">
        <f>C32*'E Balans VL '!I20/100/3.6*1000000</f>
        <v>18.622000046814343</v>
      </c>
      <c r="F10" s="33">
        <f>C32*'E Balans VL '!L20/100/3.6*1000000+C32*'E Balans VL '!N20/100/3.6*1000000</f>
        <v>568.11334209466315</v>
      </c>
      <c r="G10" s="34"/>
      <c r="H10" s="33"/>
      <c r="I10" s="33"/>
      <c r="J10" s="40">
        <f>C32*'E Balans VL '!D20/100/3.6*1000000+C32*'E Balans VL '!E20/100/3.6*1000000</f>
        <v>0</v>
      </c>
      <c r="K10" s="33"/>
      <c r="L10" s="33"/>
      <c r="M10" s="33"/>
      <c r="N10" s="33">
        <f>C32*'E Balans VL '!Y20/100/3.6*1000000</f>
        <v>611.22790087159706</v>
      </c>
      <c r="O10" s="33"/>
      <c r="P10" s="33"/>
      <c r="R10" s="32"/>
    </row>
    <row r="11" spans="1:18">
      <c r="A11" s="6" t="s">
        <v>39</v>
      </c>
      <c r="B11" s="37">
        <f t="shared" si="0"/>
        <v>152.98400000000001</v>
      </c>
      <c r="C11" s="33"/>
      <c r="D11" s="37">
        <f>IF( ISERROR(IND_textiel_gas_kWh/1000),0,IND_textiel_gas_kWh/1000)*0.902</f>
        <v>0</v>
      </c>
      <c r="E11" s="33">
        <f>C33*'E Balans VL '!I21/100/3.6*1000000</f>
        <v>0.53928447896970522</v>
      </c>
      <c r="F11" s="33">
        <f>C33*'E Balans VL '!L21/100/3.6*1000000+C33*'E Balans VL '!N21/100/3.6*1000000</f>
        <v>4.4903091663593546</v>
      </c>
      <c r="G11" s="34"/>
      <c r="H11" s="33"/>
      <c r="I11" s="33"/>
      <c r="J11" s="40">
        <f>C33*'E Balans VL '!D21/100/3.6*1000000+C33*'E Balans VL '!E21/100/3.6*1000000</f>
        <v>0</v>
      </c>
      <c r="K11" s="33"/>
      <c r="L11" s="33"/>
      <c r="M11" s="33"/>
      <c r="N11" s="33">
        <f>C33*'E Balans VL '!Y21/100/3.6*1000000</f>
        <v>6.7404531409100317</v>
      </c>
      <c r="O11" s="33"/>
      <c r="P11" s="33"/>
      <c r="R11" s="32"/>
    </row>
    <row r="12" spans="1:18">
      <c r="A12" s="6" t="s">
        <v>36</v>
      </c>
      <c r="B12" s="37">
        <f t="shared" si="0"/>
        <v>1015.651</v>
      </c>
      <c r="C12" s="33"/>
      <c r="D12" s="37">
        <f>IF( ISERROR(IND_min_gas_kWh/1000),0,IND_min_gas_kWh/1000)*0.902</f>
        <v>0</v>
      </c>
      <c r="E12" s="33">
        <f>C34*'E Balans VL '!I22/100/3.6*1000000</f>
        <v>44.725647178365655</v>
      </c>
      <c r="F12" s="33">
        <f>C34*'E Balans VL '!L22/100/3.6*1000000+C34*'E Balans VL '!N22/100/3.6*1000000</f>
        <v>397.16055863397446</v>
      </c>
      <c r="G12" s="34"/>
      <c r="H12" s="33"/>
      <c r="I12" s="33"/>
      <c r="J12" s="40">
        <f>C34*'E Balans VL '!D22/100/3.6*1000000+C34*'E Balans VL '!E22/100/3.6*1000000</f>
        <v>0.30838773573430789</v>
      </c>
      <c r="K12" s="33"/>
      <c r="L12" s="33"/>
      <c r="M12" s="33"/>
      <c r="N12" s="33">
        <f>C34*'E Balans VL '!Y22/100/3.6*1000000</f>
        <v>251.24127801520166</v>
      </c>
      <c r="O12" s="33"/>
      <c r="P12" s="33"/>
      <c r="R12" s="32"/>
    </row>
    <row r="13" spans="1:18">
      <c r="A13" s="6" t="s">
        <v>38</v>
      </c>
      <c r="B13" s="37">
        <f t="shared" si="0"/>
        <v>9592.0169999999998</v>
      </c>
      <c r="C13" s="33"/>
      <c r="D13" s="37">
        <f>IF( ISERROR(IND_papier_gas_kWh/1000),0,IND_papier_gas_kWh/1000)*0.902</f>
        <v>12904.516217999999</v>
      </c>
      <c r="E13" s="33">
        <f>C35*'E Balans VL '!I23/100/3.6*1000000</f>
        <v>14.113150715486466</v>
      </c>
      <c r="F13" s="33">
        <f>C35*'E Balans VL '!L23/100/3.6*1000000+C35*'E Balans VL '!N23/100/3.6*1000000</f>
        <v>102.70466623649725</v>
      </c>
      <c r="G13" s="34"/>
      <c r="H13" s="33"/>
      <c r="I13" s="33"/>
      <c r="J13" s="40">
        <f>C35*'E Balans VL '!D23/100/3.6*1000000+C35*'E Balans VL '!E23/100/3.6*1000000</f>
        <v>1049.4204490165919</v>
      </c>
      <c r="K13" s="33"/>
      <c r="L13" s="33"/>
      <c r="M13" s="33"/>
      <c r="N13" s="33">
        <f>C35*'E Balans VL '!Y23/100/3.6*1000000</f>
        <v>-86.895454930631814</v>
      </c>
      <c r="O13" s="33"/>
      <c r="P13" s="33"/>
      <c r="R13" s="32"/>
    </row>
    <row r="14" spans="1:18">
      <c r="A14" s="6" t="s">
        <v>33</v>
      </c>
      <c r="B14" s="37">
        <f t="shared" si="0"/>
        <v>2800.4409999999998</v>
      </c>
      <c r="C14" s="33"/>
      <c r="D14" s="37">
        <f>IF( ISERROR(IND_chemie_gas_kWh/1000),0,IND_chemie_gas_kWh/1000)*0.902</f>
        <v>0</v>
      </c>
      <c r="E14" s="33">
        <f>C36*'E Balans VL '!I24/100/3.6*1000000</f>
        <v>6.3340334798319171</v>
      </c>
      <c r="F14" s="33">
        <f>C36*'E Balans VL '!L24/100/3.6*1000000+C36*'E Balans VL '!N24/100/3.6*1000000</f>
        <v>33.064726253253156</v>
      </c>
      <c r="G14" s="34"/>
      <c r="H14" s="33"/>
      <c r="I14" s="33"/>
      <c r="J14" s="40">
        <f>C36*'E Balans VL '!D24/100/3.6*1000000+C36*'E Balans VL '!E24/100/3.6*1000000</f>
        <v>0</v>
      </c>
      <c r="K14" s="33"/>
      <c r="L14" s="33"/>
      <c r="M14" s="33"/>
      <c r="N14" s="33">
        <f>C36*'E Balans VL '!Y24/100/3.6*1000000</f>
        <v>1.5382403252341721</v>
      </c>
      <c r="O14" s="33"/>
      <c r="P14" s="33"/>
      <c r="R14" s="32"/>
    </row>
    <row r="15" spans="1:18">
      <c r="A15" s="6" t="s">
        <v>269</v>
      </c>
      <c r="B15" s="37">
        <f t="shared" si="0"/>
        <v>28.515000000000001</v>
      </c>
      <c r="C15" s="33"/>
      <c r="D15" s="37">
        <f>IF( ISERROR(IND_rest_gas_kWh/1000),0,IND_rest_gas_kWh/1000)*0.902</f>
        <v>87.951314000000011</v>
      </c>
      <c r="E15" s="33">
        <f>C37*'E Balans VL '!I15/100/3.6*1000000</f>
        <v>1.3476354502357444</v>
      </c>
      <c r="F15" s="33">
        <f>C37*'E Balans VL '!L15/100/3.6*1000000+C37*'E Balans VL '!N15/100/3.6*1000000</f>
        <v>5.0696677917472117</v>
      </c>
      <c r="G15" s="34"/>
      <c r="H15" s="33"/>
      <c r="I15" s="33"/>
      <c r="J15" s="40">
        <f>C37*'E Balans VL '!D15/100/3.6*1000000+C37*'E Balans VL '!E15/100/3.6*1000000</f>
        <v>0.23556850306701038</v>
      </c>
      <c r="K15" s="33"/>
      <c r="L15" s="33"/>
      <c r="M15" s="33"/>
      <c r="N15" s="33">
        <f>C37*'E Balans VL '!Y15/100/3.6*1000000</f>
        <v>1.1097706995037329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35970.096421000002</v>
      </c>
      <c r="C18" s="21">
        <f>C5+C16</f>
        <v>0</v>
      </c>
      <c r="D18" s="21">
        <f>MAX((D5+D16),0)</f>
        <v>35238.842265043997</v>
      </c>
      <c r="E18" s="21">
        <f>MAX((E5+E16),0)</f>
        <v>1643.4711436450343</v>
      </c>
      <c r="F18" s="21">
        <f>MAX((F5+F16),0)</f>
        <v>6237.4388369402614</v>
      </c>
      <c r="G18" s="21"/>
      <c r="H18" s="21"/>
      <c r="I18" s="21"/>
      <c r="J18" s="21">
        <f>MAX((J5+J16),0)</f>
        <v>1056.4085080531718</v>
      </c>
      <c r="K18" s="21"/>
      <c r="L18" s="21">
        <f>MAX((L5+L16),0)</f>
        <v>0</v>
      </c>
      <c r="M18" s="21"/>
      <c r="N18" s="21">
        <f>MAX((N5+N16),0)</f>
        <v>1261.9063391606444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0.13864591225578196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4987.1068322179826</v>
      </c>
      <c r="C22" s="23">
        <f ca="1">C18*C20</f>
        <v>0</v>
      </c>
      <c r="D22" s="23">
        <f>D18*D20</f>
        <v>7118.2461375388875</v>
      </c>
      <c r="E22" s="23">
        <f>E18*E20</f>
        <v>373.0679496074228</v>
      </c>
      <c r="F22" s="23">
        <f>F18*F20</f>
        <v>1665.3961694630498</v>
      </c>
      <c r="G22" s="23"/>
      <c r="H22" s="23"/>
      <c r="I22" s="23"/>
      <c r="J22" s="23">
        <f>J18*J20</f>
        <v>373.96861185082281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6406.905514</v>
      </c>
      <c r="C30" s="39">
        <f>IF(ISERROR(B30*3.6/1000000/'E Balans VL '!Z18*100),0,B30*3.6/1000000/'E Balans VL '!Z18*100)</f>
        <v>0.36986065832314341</v>
      </c>
      <c r="D30" s="237" t="s">
        <v>716</v>
      </c>
    </row>
    <row r="31" spans="1:18">
      <c r="A31" s="6" t="s">
        <v>32</v>
      </c>
      <c r="B31" s="37">
        <f>IF( ISERROR(IND_ander_ele_kWh/1000),0,IND_ander_ele_kWh/1000)</f>
        <v>5454.6919069999994</v>
      </c>
      <c r="C31" s="39">
        <f>IF(ISERROR(B31*3.6/1000000/'E Balans VL '!Z19*100),0,B31*3.6/1000000/'E Balans VL '!Z19*100)</f>
        <v>0.27435332222289738</v>
      </c>
      <c r="D31" s="237" t="s">
        <v>716</v>
      </c>
    </row>
    <row r="32" spans="1:18">
      <c r="A32" s="171" t="s">
        <v>40</v>
      </c>
      <c r="B32" s="37">
        <f>IF( ISERROR(IND_voed_ele_kWh/1000),0,IND_voed_ele_kWh/1000)</f>
        <v>10518.891</v>
      </c>
      <c r="C32" s="39">
        <f>IF(ISERROR(B32*3.6/1000000/'E Balans VL '!Z20*100),0,B32*3.6/1000000/'E Balans VL '!Z20*100)</f>
        <v>0.35034153408434088</v>
      </c>
      <c r="D32" s="237" t="s">
        <v>716</v>
      </c>
    </row>
    <row r="33" spans="1:5">
      <c r="A33" s="171" t="s">
        <v>39</v>
      </c>
      <c r="B33" s="37">
        <f>IF( ISERROR(IND_textiel_ele_kWh/1000),0,IND_textiel_ele_kWh/1000)</f>
        <v>152.98400000000001</v>
      </c>
      <c r="C33" s="39">
        <f>IF(ISERROR(B33*3.6/1000000/'E Balans VL '!Z21*100),0,B33*3.6/1000000/'E Balans VL '!Z21*100)</f>
        <v>2.3852152693384417E-2</v>
      </c>
      <c r="D33" s="237" t="s">
        <v>716</v>
      </c>
    </row>
    <row r="34" spans="1:5">
      <c r="A34" s="171" t="s">
        <v>36</v>
      </c>
      <c r="B34" s="37">
        <f>IF( ISERROR(IND_min_ele_kWh/1000),0,IND_min_ele_kWh/1000)</f>
        <v>1015.651</v>
      </c>
      <c r="C34" s="39">
        <f>IF(ISERROR(B34*3.6/1000000/'E Balans VL '!Z22*100),0,B34*3.6/1000000/'E Balans VL '!Z22*100)</f>
        <v>0.18945321649205629</v>
      </c>
      <c r="D34" s="237" t="s">
        <v>716</v>
      </c>
    </row>
    <row r="35" spans="1:5">
      <c r="A35" s="171" t="s">
        <v>38</v>
      </c>
      <c r="B35" s="37">
        <f>IF( ISERROR(IND_papier_ele_kWh/1000),0,IND_papier_ele_kWh/1000)</f>
        <v>9592.0169999999998</v>
      </c>
      <c r="C35" s="39">
        <f>IF(ISERROR(B35*3.6/1000000/'E Balans VL '!Z22*100),0,B35*3.6/1000000/'E Balans VL '!Z22*100)</f>
        <v>1.7892351539027529</v>
      </c>
      <c r="D35" s="237" t="s">
        <v>716</v>
      </c>
    </row>
    <row r="36" spans="1:5">
      <c r="A36" s="171" t="s">
        <v>33</v>
      </c>
      <c r="B36" s="37">
        <f>IF( ISERROR(IND_chemie_ele_kWh/1000),0,IND_chemie_ele_kWh/1000)</f>
        <v>2800.4409999999998</v>
      </c>
      <c r="C36" s="39">
        <f>IF(ISERROR(B36*3.6/1000000/'E Balans VL '!Z24*100),0,B36*3.6/1000000/'E Balans VL '!Z24*100)</f>
        <v>7.3865081643897781E-2</v>
      </c>
      <c r="D36" s="237" t="s">
        <v>716</v>
      </c>
    </row>
    <row r="37" spans="1:5">
      <c r="A37" s="171" t="s">
        <v>269</v>
      </c>
      <c r="B37" s="37">
        <f>IF( ISERROR(IND_rest_ele_kWh/1000),0,IND_rest_ele_kWh/1000)</f>
        <v>28.515000000000001</v>
      </c>
      <c r="C37" s="39">
        <f>IF(ISERROR(B37*3.6/1000000/'E Balans VL '!Z15*100),0,B37*3.6/1000000/'E Balans VL '!Z15*100)</f>
        <v>2.2249497800847155E-4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376.68155000000002</v>
      </c>
      <c r="C5" s="17">
        <f>'Eigen informatie GS &amp; warmtenet'!B62</f>
        <v>0</v>
      </c>
      <c r="D5" s="30">
        <f>IF(ISERROR(SUM(LB_lb_gas_kWh,LB_rest_gas_kWh)/1000),0,SUM(LB_lb_gas_kWh,LB_rest_gas_kWh)/1000)*0.902</f>
        <v>72.570409999999995</v>
      </c>
      <c r="E5" s="17">
        <f>B17*'E Balans VL '!I25/3.6*1000000/100</f>
        <v>11.756106961248859</v>
      </c>
      <c r="F5" s="17">
        <f>B17*('E Balans VL '!L25/3.6*1000000+'E Balans VL '!N25/3.6*1000000)/100</f>
        <v>1331.2343253564641</v>
      </c>
      <c r="G5" s="18"/>
      <c r="H5" s="17"/>
      <c r="I5" s="17"/>
      <c r="J5" s="17">
        <f>('E Balans VL '!D25+'E Balans VL '!E25)/3.6*1000000*landbouw!B17/100</f>
        <v>103.77837928865554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376.68155000000002</v>
      </c>
      <c r="C8" s="21">
        <f>C5+C6</f>
        <v>0</v>
      </c>
      <c r="D8" s="21">
        <f>MAX((D5+D6),0)</f>
        <v>72.570409999999995</v>
      </c>
      <c r="E8" s="21">
        <f>MAX((E5+E6),0)</f>
        <v>11.756106961248859</v>
      </c>
      <c r="F8" s="21">
        <f>MAX((F5+F6),0)</f>
        <v>1331.2343253564641</v>
      </c>
      <c r="G8" s="21"/>
      <c r="H8" s="21"/>
      <c r="I8" s="21"/>
      <c r="J8" s="21">
        <f>MAX((J5+J6),0)</f>
        <v>103.77837928865554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0.13864591225578196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52.225357129671949</v>
      </c>
      <c r="C12" s="23">
        <f ca="1">C8*C10</f>
        <v>0</v>
      </c>
      <c r="D12" s="23">
        <f>D8*D10</f>
        <v>14.65922282</v>
      </c>
      <c r="E12" s="23">
        <f>E8*E10</f>
        <v>2.6686362802034913</v>
      </c>
      <c r="F12" s="23">
        <f>F8*F10</f>
        <v>355.4395648701759</v>
      </c>
      <c r="G12" s="23"/>
      <c r="H12" s="23"/>
      <c r="I12" s="23"/>
      <c r="J12" s="23">
        <f>J8*J10</f>
        <v>36.737546268184062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5.5996412716629564E-2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71.161350456333082</v>
      </c>
      <c r="C26" s="247">
        <f>B26*'GWP N2O_CH4'!B5</f>
        <v>1494.3883595829948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20.308772842687365</v>
      </c>
      <c r="C27" s="247">
        <f>B27*'GWP N2O_CH4'!B5</f>
        <v>426.48422969643468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0.90575077268970572</v>
      </c>
      <c r="C28" s="247">
        <f>B28*'GWP N2O_CH4'!B4</f>
        <v>280.78273953380875</v>
      </c>
      <c r="D28" s="50"/>
    </row>
    <row r="29" spans="1:4">
      <c r="A29" s="41" t="s">
        <v>276</v>
      </c>
      <c r="B29" s="247">
        <f>B34*'ha_N2O bodem landbouw'!B4</f>
        <v>11.852482713928611</v>
      </c>
      <c r="C29" s="247">
        <f>B29*'GWP N2O_CH4'!B4</f>
        <v>3674.2696413178692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2.5990360600115208E-3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5.3734922183499992E-4</v>
      </c>
      <c r="C5" s="463" t="s">
        <v>210</v>
      </c>
      <c r="D5" s="448">
        <f>SUM(D6:D11)</f>
        <v>2.340871018099152E-3</v>
      </c>
      <c r="E5" s="448">
        <f>SUM(E6:E11)</f>
        <v>1.9197913241662001E-3</v>
      </c>
      <c r="F5" s="461" t="s">
        <v>210</v>
      </c>
      <c r="G5" s="448">
        <f>SUM(G6:G11)</f>
        <v>0.71877420342958076</v>
      </c>
      <c r="H5" s="448">
        <f>SUM(H6:H11)</f>
        <v>0.17595727542329412</v>
      </c>
      <c r="I5" s="463" t="s">
        <v>210</v>
      </c>
      <c r="J5" s="463" t="s">
        <v>210</v>
      </c>
      <c r="K5" s="463" t="s">
        <v>210</v>
      </c>
      <c r="L5" s="463" t="s">
        <v>210</v>
      </c>
      <c r="M5" s="448">
        <f>SUM(M6:M11)</f>
        <v>5.3010245653401782E-2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1.8067238265499999E-4</v>
      </c>
      <c r="C6" s="449"/>
      <c r="D6" s="917">
        <f>vkm_2011_GW_PW*SUMIFS(TableVerdeelsleutelVkm[CNG],TableVerdeelsleutelVkm[Voertuigtype],"Lichte voertuigen")*SUMIFS(TableECFTransport[EnergieConsumptieFactor (PJ per km)],TableECFTransport[Index],CONCATENATE($A6,"_CNG_CNG"))</f>
        <v>6.2822864886658805E-4</v>
      </c>
      <c r="E6" s="917">
        <f>vkm_2011_GW_PW*SUMIFS(TableVerdeelsleutelVkm[LPG],TableVerdeelsleutelVkm[Voertuigtype],"Lichte voertuigen")*SUMIFS(TableECFTransport[EnergieConsumptieFactor (PJ per km)],TableECFTransport[Index],CONCATENATE($A6,"_LPG_LPG"))</f>
        <v>4.9494067137959995E-4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0.13472860564287401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4.714606351132259E-2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1.0868154627570428E-2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4.1390431577713487E-2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1.0427583515206037E-5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2.3867015974842719E-3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1.6538489652499999E-4</v>
      </c>
      <c r="C8" s="449"/>
      <c r="D8" s="451">
        <f>vkm_2011_NGW_PW*SUMIFS(TableVerdeelsleutelVkm[CNG],TableVerdeelsleutelVkm[Voertuigtype],"Lichte voertuigen")*SUMIFS(TableECFTransport[EnergieConsumptieFactor (PJ per km)],TableECFTransport[Index],CONCATENATE($A8,"_CNG_CNG"))</f>
        <v>1.0177287416604001E-3</v>
      </c>
      <c r="E8" s="451">
        <f>vkm_2011_NGW_PW*SUMIFS(TableVerdeelsleutelVkm[LPG],TableVerdeelsleutelVkm[Voertuigtype],"Lichte voertuigen")*SUMIFS(TableECFTransport[EnergieConsumptieFactor (PJ per km)],TableECFTransport[Index],CONCATENATE($A8,"_LPG_LPG"))</f>
        <v>7.4332051402487508E-4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0.18776580441832105</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7.4421863119584819E-2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1.5719911291155329E-2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2.6415132880145766E-2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6.279189824682498E-6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1.5231543773588684E-3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1.9129194265499999E-4</v>
      </c>
      <c r="C10" s="449"/>
      <c r="D10" s="451">
        <f>vkm_2011_SW_PW*SUMIFS(TableVerdeelsleutelVkm[CNG],TableVerdeelsleutelVkm[Voertuigtype],"Lichte voertuigen")*SUMIFS(TableECFTransport[EnergieConsumptieFactor (PJ per km)],TableECFTransport[Index],CONCATENATE($A10,"_CNG_CNG"))</f>
        <v>6.9491362757216396E-4</v>
      </c>
      <c r="E10" s="451">
        <f>vkm_2011_SW_PW*SUMIFS(TableVerdeelsleutelVkm[LPG],TableVerdeelsleutelVkm[Voertuigtype],"Lichte voertuigen")*SUMIFS(TableECFTransport[EnergieConsumptieFactor (PJ per km)],TableECFTransport[Index],CONCATENATE($A10,"_LPG_LPG"))</f>
        <v>6.8153013876172495E-4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0.16479762499907447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5.4327980788476969E-2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1.3073994048605543E-2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0.163676603911452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4.4661230569838854E-5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9.4383297112273414E-3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149.26367273194444</v>
      </c>
      <c r="C14" s="21"/>
      <c r="D14" s="21">
        <f t="shared" ref="D14:M14" si="0">((D5)*10^9/3600)+D12</f>
        <v>650.24194947198669</v>
      </c>
      <c r="E14" s="21">
        <f t="shared" si="0"/>
        <v>533.27536782394452</v>
      </c>
      <c r="F14" s="21"/>
      <c r="G14" s="21">
        <f t="shared" si="0"/>
        <v>199659.50095266133</v>
      </c>
      <c r="H14" s="21">
        <f t="shared" si="0"/>
        <v>48877.020950915037</v>
      </c>
      <c r="I14" s="21"/>
      <c r="J14" s="21"/>
      <c r="K14" s="21"/>
      <c r="L14" s="21"/>
      <c r="M14" s="21">
        <f t="shared" si="0"/>
        <v>14725.068237056052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0.13864591225578196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20.694798072568922</v>
      </c>
      <c r="C18" s="23"/>
      <c r="D18" s="23">
        <f t="shared" ref="D18:M18" si="1">D14*D16</f>
        <v>131.34887379334131</v>
      </c>
      <c r="E18" s="23">
        <f t="shared" si="1"/>
        <v>121.05350849603541</v>
      </c>
      <c r="F18" s="23"/>
      <c r="G18" s="23">
        <f t="shared" si="1"/>
        <v>53309.086754360578</v>
      </c>
      <c r="H18" s="23">
        <f t="shared" si="1"/>
        <v>12170.378216777845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1.1209714468455926E-2</v>
      </c>
      <c r="H50" s="321">
        <f t="shared" si="2"/>
        <v>0</v>
      </c>
      <c r="I50" s="321">
        <f t="shared" si="2"/>
        <v>0</v>
      </c>
      <c r="J50" s="321">
        <f t="shared" si="2"/>
        <v>0</v>
      </c>
      <c r="K50" s="321">
        <f t="shared" si="2"/>
        <v>0</v>
      </c>
      <c r="L50" s="321">
        <f t="shared" si="2"/>
        <v>0</v>
      </c>
      <c r="M50" s="321">
        <f t="shared" si="2"/>
        <v>6.230371704435511E-4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1.1209714468455926E-2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6.230371704435511E-4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3113.8095745710903</v>
      </c>
      <c r="H54" s="21">
        <f t="shared" si="3"/>
        <v>0</v>
      </c>
      <c r="I54" s="21">
        <f t="shared" si="3"/>
        <v>0</v>
      </c>
      <c r="J54" s="21">
        <f t="shared" si="3"/>
        <v>0</v>
      </c>
      <c r="K54" s="21">
        <f t="shared" si="3"/>
        <v>0</v>
      </c>
      <c r="L54" s="21">
        <f t="shared" si="3"/>
        <v>0</v>
      </c>
      <c r="M54" s="21">
        <f t="shared" si="3"/>
        <v>173.06588067876422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0.13864591225578196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831.38715641048111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47262.184157999996</v>
      </c>
      <c r="D10" s="712">
        <f ca="1">tertiair!C16</f>
        <v>0</v>
      </c>
      <c r="E10" s="712">
        <f ca="1">tertiair!D16</f>
        <v>40462.798236278002</v>
      </c>
      <c r="F10" s="712">
        <f>tertiair!E16</f>
        <v>734.09636518454147</v>
      </c>
      <c r="G10" s="712">
        <f ca="1">tertiair!F16</f>
        <v>5089.6605750978515</v>
      </c>
      <c r="H10" s="712">
        <f>tertiair!G16</f>
        <v>0</v>
      </c>
      <c r="I10" s="712">
        <f>tertiair!H16</f>
        <v>0</v>
      </c>
      <c r="J10" s="712">
        <f>tertiair!I16</f>
        <v>0</v>
      </c>
      <c r="K10" s="712">
        <f>tertiair!J16</f>
        <v>0.13954309104483575</v>
      </c>
      <c r="L10" s="712">
        <f>tertiair!K16</f>
        <v>0</v>
      </c>
      <c r="M10" s="712">
        <f ca="1">tertiair!L16</f>
        <v>0</v>
      </c>
      <c r="N10" s="712">
        <f>tertiair!M16</f>
        <v>0</v>
      </c>
      <c r="O10" s="712">
        <f ca="1">tertiair!N16</f>
        <v>5477.0285595102796</v>
      </c>
      <c r="P10" s="712">
        <f>tertiair!O16</f>
        <v>14.691782297523464</v>
      </c>
      <c r="Q10" s="713">
        <f>tertiair!P16</f>
        <v>315.23482983897009</v>
      </c>
      <c r="R10" s="715">
        <f ca="1">SUM(C10:Q10)</f>
        <v>99355.834049298195</v>
      </c>
      <c r="S10" s="67"/>
    </row>
    <row r="11" spans="1:19" s="474" customFormat="1">
      <c r="A11" s="834" t="s">
        <v>224</v>
      </c>
      <c r="B11" s="839"/>
      <c r="C11" s="712">
        <f>huishoudens!B8</f>
        <v>69397.770442131092</v>
      </c>
      <c r="D11" s="712">
        <f>huishoudens!C8</f>
        <v>0</v>
      </c>
      <c r="E11" s="712">
        <f>huishoudens!D8</f>
        <v>132037.7386295</v>
      </c>
      <c r="F11" s="712">
        <f>huishoudens!E8</f>
        <v>13419.807013055735</v>
      </c>
      <c r="G11" s="712">
        <f>huishoudens!F8</f>
        <v>81683.519083380088</v>
      </c>
      <c r="H11" s="712">
        <f>huishoudens!G8</f>
        <v>0</v>
      </c>
      <c r="I11" s="712">
        <f>huishoudens!H8</f>
        <v>0</v>
      </c>
      <c r="J11" s="712">
        <f>huishoudens!I8</f>
        <v>0</v>
      </c>
      <c r="K11" s="712">
        <f>huishoudens!J8</f>
        <v>0</v>
      </c>
      <c r="L11" s="712">
        <f>huishoudens!K8</f>
        <v>0</v>
      </c>
      <c r="M11" s="712">
        <f>huishoudens!L8</f>
        <v>0</v>
      </c>
      <c r="N11" s="712">
        <f>huishoudens!M8</f>
        <v>0</v>
      </c>
      <c r="O11" s="712">
        <f>huishoudens!N8</f>
        <v>49298.914503043095</v>
      </c>
      <c r="P11" s="712">
        <f>huishoudens!O8</f>
        <v>1497.8884556372091</v>
      </c>
      <c r="Q11" s="713">
        <f>huishoudens!P8</f>
        <v>1717.0353671526589</v>
      </c>
      <c r="R11" s="715">
        <f>SUM(C11:Q11)</f>
        <v>349052.67349389987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35970.096421000002</v>
      </c>
      <c r="D13" s="712">
        <f>industrie!C18</f>
        <v>0</v>
      </c>
      <c r="E13" s="712">
        <f>industrie!D18</f>
        <v>35238.842265043997</v>
      </c>
      <c r="F13" s="712">
        <f>industrie!E18</f>
        <v>1643.4711436450343</v>
      </c>
      <c r="G13" s="712">
        <f>industrie!F18</f>
        <v>6237.4388369402614</v>
      </c>
      <c r="H13" s="712">
        <f>industrie!G18</f>
        <v>0</v>
      </c>
      <c r="I13" s="712">
        <f>industrie!H18</f>
        <v>0</v>
      </c>
      <c r="J13" s="712">
        <f>industrie!I18</f>
        <v>0</v>
      </c>
      <c r="K13" s="712">
        <f>industrie!J18</f>
        <v>1056.4085080531718</v>
      </c>
      <c r="L13" s="712">
        <f>industrie!K18</f>
        <v>0</v>
      </c>
      <c r="M13" s="712">
        <f>industrie!L18</f>
        <v>0</v>
      </c>
      <c r="N13" s="712">
        <f>industrie!M18</f>
        <v>0</v>
      </c>
      <c r="O13" s="712">
        <f>industrie!N18</f>
        <v>1261.9063391606444</v>
      </c>
      <c r="P13" s="712">
        <f>industrie!O18</f>
        <v>0</v>
      </c>
      <c r="Q13" s="713">
        <f>industrie!P18</f>
        <v>0</v>
      </c>
      <c r="R13" s="715">
        <f>SUM(C13:Q13)</f>
        <v>81408.163513843101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152630.05102113108</v>
      </c>
      <c r="D16" s="748">
        <f t="shared" ref="D16:R16" ca="1" si="0">SUM(D9:D15)</f>
        <v>0</v>
      </c>
      <c r="E16" s="748">
        <f t="shared" ca="1" si="0"/>
        <v>207739.379130822</v>
      </c>
      <c r="F16" s="748">
        <f t="shared" si="0"/>
        <v>15797.374521885311</v>
      </c>
      <c r="G16" s="748">
        <f t="shared" ca="1" si="0"/>
        <v>93010.618495418195</v>
      </c>
      <c r="H16" s="748">
        <f t="shared" si="0"/>
        <v>0</v>
      </c>
      <c r="I16" s="748">
        <f t="shared" si="0"/>
        <v>0</v>
      </c>
      <c r="J16" s="748">
        <f t="shared" si="0"/>
        <v>0</v>
      </c>
      <c r="K16" s="748">
        <f t="shared" si="0"/>
        <v>1056.5480511442165</v>
      </c>
      <c r="L16" s="748">
        <f t="shared" si="0"/>
        <v>0</v>
      </c>
      <c r="M16" s="748">
        <f t="shared" ca="1" si="0"/>
        <v>0</v>
      </c>
      <c r="N16" s="748">
        <f t="shared" si="0"/>
        <v>0</v>
      </c>
      <c r="O16" s="748">
        <f t="shared" ca="1" si="0"/>
        <v>56037.849401714018</v>
      </c>
      <c r="P16" s="748">
        <f t="shared" si="0"/>
        <v>1512.5802379347326</v>
      </c>
      <c r="Q16" s="748">
        <f t="shared" si="0"/>
        <v>2032.2701969916288</v>
      </c>
      <c r="R16" s="748">
        <f t="shared" ca="1" si="0"/>
        <v>529816.67105704115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3113.8095745710903</v>
      </c>
      <c r="I19" s="712">
        <f>transport!H54</f>
        <v>0</v>
      </c>
      <c r="J19" s="712">
        <f>transport!I54</f>
        <v>0</v>
      </c>
      <c r="K19" s="712">
        <f>transport!J54</f>
        <v>0</v>
      </c>
      <c r="L19" s="712">
        <f>transport!K54</f>
        <v>0</v>
      </c>
      <c r="M19" s="712">
        <f>transport!L54</f>
        <v>0</v>
      </c>
      <c r="N19" s="712">
        <f>transport!M54</f>
        <v>173.06588067876422</v>
      </c>
      <c r="O19" s="712">
        <f>transport!N54</f>
        <v>0</v>
      </c>
      <c r="P19" s="712">
        <f>transport!O54</f>
        <v>0</v>
      </c>
      <c r="Q19" s="713">
        <f>transport!P54</f>
        <v>0</v>
      </c>
      <c r="R19" s="715">
        <f>SUM(C19:Q19)</f>
        <v>3286.8754552498544</v>
      </c>
      <c r="S19" s="67"/>
    </row>
    <row r="20" spans="1:19" s="474" customFormat="1">
      <c r="A20" s="834" t="s">
        <v>306</v>
      </c>
      <c r="B20" s="839"/>
      <c r="C20" s="712">
        <f>transport!B14</f>
        <v>149.26367273194444</v>
      </c>
      <c r="D20" s="712">
        <f>transport!C14</f>
        <v>0</v>
      </c>
      <c r="E20" s="712">
        <f>transport!D14</f>
        <v>650.24194947198669</v>
      </c>
      <c r="F20" s="712">
        <f>transport!E14</f>
        <v>533.27536782394452</v>
      </c>
      <c r="G20" s="712">
        <f>transport!F14</f>
        <v>0</v>
      </c>
      <c r="H20" s="712">
        <f>transport!G14</f>
        <v>199659.50095266133</v>
      </c>
      <c r="I20" s="712">
        <f>transport!H14</f>
        <v>48877.020950915037</v>
      </c>
      <c r="J20" s="712">
        <f>transport!I14</f>
        <v>0</v>
      </c>
      <c r="K20" s="712">
        <f>transport!J14</f>
        <v>0</v>
      </c>
      <c r="L20" s="712">
        <f>transport!K14</f>
        <v>0</v>
      </c>
      <c r="M20" s="712">
        <f>transport!L14</f>
        <v>0</v>
      </c>
      <c r="N20" s="712">
        <f>transport!M14</f>
        <v>14725.068237056052</v>
      </c>
      <c r="O20" s="712">
        <f>transport!N14</f>
        <v>0</v>
      </c>
      <c r="P20" s="712">
        <f>transport!O14</f>
        <v>0</v>
      </c>
      <c r="Q20" s="713">
        <f>transport!P14</f>
        <v>0</v>
      </c>
      <c r="R20" s="715">
        <f>SUM(C20:Q20)</f>
        <v>264594.37113066029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149.26367273194444</v>
      </c>
      <c r="D22" s="837">
        <f t="shared" ref="D22:R22" si="1">SUM(D18:D21)</f>
        <v>0</v>
      </c>
      <c r="E22" s="837">
        <f t="shared" si="1"/>
        <v>650.24194947198669</v>
      </c>
      <c r="F22" s="837">
        <f t="shared" si="1"/>
        <v>533.27536782394452</v>
      </c>
      <c r="G22" s="837">
        <f t="shared" si="1"/>
        <v>0</v>
      </c>
      <c r="H22" s="837">
        <f t="shared" si="1"/>
        <v>202773.31052723242</v>
      </c>
      <c r="I22" s="837">
        <f t="shared" si="1"/>
        <v>48877.020950915037</v>
      </c>
      <c r="J22" s="837">
        <f t="shared" si="1"/>
        <v>0</v>
      </c>
      <c r="K22" s="837">
        <f t="shared" si="1"/>
        <v>0</v>
      </c>
      <c r="L22" s="837">
        <f t="shared" si="1"/>
        <v>0</v>
      </c>
      <c r="M22" s="837">
        <f t="shared" si="1"/>
        <v>0</v>
      </c>
      <c r="N22" s="837">
        <f t="shared" si="1"/>
        <v>14898.134117734817</v>
      </c>
      <c r="O22" s="837">
        <f t="shared" si="1"/>
        <v>0</v>
      </c>
      <c r="P22" s="837">
        <f t="shared" si="1"/>
        <v>0</v>
      </c>
      <c r="Q22" s="837">
        <f t="shared" si="1"/>
        <v>0</v>
      </c>
      <c r="R22" s="837">
        <f t="shared" si="1"/>
        <v>267881.24658591015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376.68155000000002</v>
      </c>
      <c r="D24" s="712">
        <f>+landbouw!C8</f>
        <v>0</v>
      </c>
      <c r="E24" s="712">
        <f>+landbouw!D8</f>
        <v>72.570409999999995</v>
      </c>
      <c r="F24" s="712">
        <f>+landbouw!E8</f>
        <v>11.756106961248859</v>
      </c>
      <c r="G24" s="712">
        <f>+landbouw!F8</f>
        <v>1331.2343253564641</v>
      </c>
      <c r="H24" s="712">
        <f>+landbouw!G8</f>
        <v>0</v>
      </c>
      <c r="I24" s="712">
        <f>+landbouw!H8</f>
        <v>0</v>
      </c>
      <c r="J24" s="712">
        <f>+landbouw!I8</f>
        <v>0</v>
      </c>
      <c r="K24" s="712">
        <f>+landbouw!J8</f>
        <v>103.77837928865554</v>
      </c>
      <c r="L24" s="712">
        <f>+landbouw!K8</f>
        <v>0</v>
      </c>
      <c r="M24" s="712">
        <f>+landbouw!L8</f>
        <v>0</v>
      </c>
      <c r="N24" s="712">
        <f>+landbouw!M8</f>
        <v>0</v>
      </c>
      <c r="O24" s="712">
        <f>+landbouw!N8</f>
        <v>0</v>
      </c>
      <c r="P24" s="712">
        <f>+landbouw!O8</f>
        <v>0</v>
      </c>
      <c r="Q24" s="713">
        <f>+landbouw!P8</f>
        <v>0</v>
      </c>
      <c r="R24" s="715">
        <f>SUM(C24:Q24)</f>
        <v>1896.0207716063685</v>
      </c>
      <c r="S24" s="67"/>
    </row>
    <row r="25" spans="1:19" s="474" customFormat="1" ht="15" thickBot="1">
      <c r="A25" s="856" t="s">
        <v>734</v>
      </c>
      <c r="B25" s="982"/>
      <c r="C25" s="983">
        <f>IF(Onbekend_ele_kWh="---",0,Onbekend_ele_kWh)/1000+IF(REST_rest_ele_kWh="---",0,REST_rest_ele_kWh)/1000</f>
        <v>8144.3033499999992</v>
      </c>
      <c r="D25" s="983"/>
      <c r="E25" s="983">
        <f>IF(onbekend_gas_kWh="---",0,onbekend_gas_kWh)/1000+IF(REST_rest_gas_kWh="---",0,REST_rest_gas_kWh)/1000</f>
        <v>7343.2128499999999</v>
      </c>
      <c r="F25" s="983"/>
      <c r="G25" s="983"/>
      <c r="H25" s="983"/>
      <c r="I25" s="983"/>
      <c r="J25" s="983"/>
      <c r="K25" s="983"/>
      <c r="L25" s="983"/>
      <c r="M25" s="983"/>
      <c r="N25" s="983"/>
      <c r="O25" s="983"/>
      <c r="P25" s="983"/>
      <c r="Q25" s="984"/>
      <c r="R25" s="715">
        <f>SUM(C25:Q25)</f>
        <v>15487.516199999998</v>
      </c>
      <c r="S25" s="67"/>
    </row>
    <row r="26" spans="1:19" s="474" customFormat="1" ht="15.75" thickBot="1">
      <c r="A26" s="720" t="s">
        <v>735</v>
      </c>
      <c r="B26" s="842"/>
      <c r="C26" s="837">
        <f>SUM(C24:C25)</f>
        <v>8520.9848999999995</v>
      </c>
      <c r="D26" s="837">
        <f t="shared" ref="D26:R26" si="2">SUM(D24:D25)</f>
        <v>0</v>
      </c>
      <c r="E26" s="837">
        <f t="shared" si="2"/>
        <v>7415.7832600000002</v>
      </c>
      <c r="F26" s="837">
        <f t="shared" si="2"/>
        <v>11.756106961248859</v>
      </c>
      <c r="G26" s="837">
        <f t="shared" si="2"/>
        <v>1331.2343253564641</v>
      </c>
      <c r="H26" s="837">
        <f t="shared" si="2"/>
        <v>0</v>
      </c>
      <c r="I26" s="837">
        <f t="shared" si="2"/>
        <v>0</v>
      </c>
      <c r="J26" s="837">
        <f t="shared" si="2"/>
        <v>0</v>
      </c>
      <c r="K26" s="837">
        <f t="shared" si="2"/>
        <v>103.77837928865554</v>
      </c>
      <c r="L26" s="837">
        <f t="shared" si="2"/>
        <v>0</v>
      </c>
      <c r="M26" s="837">
        <f t="shared" si="2"/>
        <v>0</v>
      </c>
      <c r="N26" s="837">
        <f t="shared" si="2"/>
        <v>0</v>
      </c>
      <c r="O26" s="837">
        <f t="shared" si="2"/>
        <v>0</v>
      </c>
      <c r="P26" s="837">
        <f t="shared" si="2"/>
        <v>0</v>
      </c>
      <c r="Q26" s="837">
        <f t="shared" si="2"/>
        <v>0</v>
      </c>
      <c r="R26" s="837">
        <f t="shared" si="2"/>
        <v>17383.536971606365</v>
      </c>
      <c r="S26" s="67"/>
    </row>
    <row r="27" spans="1:19" s="474" customFormat="1" ht="17.25" thickTop="1" thickBot="1">
      <c r="A27" s="721" t="s">
        <v>115</v>
      </c>
      <c r="B27" s="829"/>
      <c r="C27" s="722">
        <f ca="1">C22+C16+C26</f>
        <v>161300.29959386302</v>
      </c>
      <c r="D27" s="722">
        <f t="shared" ref="D27:R27" ca="1" si="3">D22+D16+D26</f>
        <v>0</v>
      </c>
      <c r="E27" s="722">
        <f t="shared" ca="1" si="3"/>
        <v>215805.40434029399</v>
      </c>
      <c r="F27" s="722">
        <f t="shared" si="3"/>
        <v>16342.405996670504</v>
      </c>
      <c r="G27" s="722">
        <f t="shared" ca="1" si="3"/>
        <v>94341.852820774657</v>
      </c>
      <c r="H27" s="722">
        <f t="shared" si="3"/>
        <v>202773.31052723242</v>
      </c>
      <c r="I27" s="722">
        <f t="shared" si="3"/>
        <v>48877.020950915037</v>
      </c>
      <c r="J27" s="722">
        <f t="shared" si="3"/>
        <v>0</v>
      </c>
      <c r="K27" s="722">
        <f t="shared" si="3"/>
        <v>1160.326430432872</v>
      </c>
      <c r="L27" s="722">
        <f t="shared" si="3"/>
        <v>0</v>
      </c>
      <c r="M27" s="722">
        <f t="shared" ca="1" si="3"/>
        <v>0</v>
      </c>
      <c r="N27" s="722">
        <f t="shared" si="3"/>
        <v>14898.134117734817</v>
      </c>
      <c r="O27" s="722">
        <f t="shared" ca="1" si="3"/>
        <v>56037.849401714018</v>
      </c>
      <c r="P27" s="722">
        <f t="shared" si="3"/>
        <v>1512.5802379347326</v>
      </c>
      <c r="Q27" s="722">
        <f t="shared" si="3"/>
        <v>2032.2701969916288</v>
      </c>
      <c r="R27" s="722">
        <f t="shared" ca="1" si="3"/>
        <v>815081.45461455756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6552.7086377866763</v>
      </c>
      <c r="D40" s="712">
        <f ca="1">tertiair!C20</f>
        <v>0</v>
      </c>
      <c r="E40" s="712">
        <f ca="1">tertiair!D20</f>
        <v>8173.485243728157</v>
      </c>
      <c r="F40" s="712">
        <f>tertiair!E20</f>
        <v>166.63987489689092</v>
      </c>
      <c r="G40" s="712">
        <f ca="1">tertiair!F20</f>
        <v>1358.9393735511264</v>
      </c>
      <c r="H40" s="712">
        <f>tertiair!G20</f>
        <v>0</v>
      </c>
      <c r="I40" s="712">
        <f>tertiair!H20</f>
        <v>0</v>
      </c>
      <c r="J40" s="712">
        <f>tertiair!I20</f>
        <v>0</v>
      </c>
      <c r="K40" s="712">
        <f>tertiair!J20</f>
        <v>4.9398254229871853E-2</v>
      </c>
      <c r="L40" s="712">
        <f>tertiair!K20</f>
        <v>0</v>
      </c>
      <c r="M40" s="712">
        <f ca="1">tertiair!L20</f>
        <v>0</v>
      </c>
      <c r="N40" s="712">
        <f>tertiair!M20</f>
        <v>0</v>
      </c>
      <c r="O40" s="712">
        <f ca="1">tertiair!N20</f>
        <v>0</v>
      </c>
      <c r="P40" s="712">
        <f>tertiair!O20</f>
        <v>0</v>
      </c>
      <c r="Q40" s="795">
        <f>tertiair!P20</f>
        <v>0</v>
      </c>
      <c r="R40" s="875">
        <f t="shared" ca="1" si="4"/>
        <v>16251.822528217081</v>
      </c>
    </row>
    <row r="41" spans="1:18">
      <c r="A41" s="847" t="s">
        <v>224</v>
      </c>
      <c r="B41" s="854"/>
      <c r="C41" s="712">
        <f ca="1">huishoudens!B12</f>
        <v>9621.7171914666069</v>
      </c>
      <c r="D41" s="712">
        <f ca="1">huishoudens!C12</f>
        <v>0</v>
      </c>
      <c r="E41" s="712">
        <f>huishoudens!D12</f>
        <v>26671.623203159001</v>
      </c>
      <c r="F41" s="712">
        <f>huishoudens!E12</f>
        <v>3046.2961919636518</v>
      </c>
      <c r="G41" s="712">
        <f>huishoudens!F12</f>
        <v>21809.499595262485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61149.136181851747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4987.1068322179826</v>
      </c>
      <c r="D43" s="712">
        <f ca="1">industrie!C22</f>
        <v>0</v>
      </c>
      <c r="E43" s="712">
        <f>industrie!D22</f>
        <v>7118.2461375388875</v>
      </c>
      <c r="F43" s="712">
        <f>industrie!E22</f>
        <v>373.0679496074228</v>
      </c>
      <c r="G43" s="712">
        <f>industrie!F22</f>
        <v>1665.3961694630498</v>
      </c>
      <c r="H43" s="712">
        <f>industrie!G22</f>
        <v>0</v>
      </c>
      <c r="I43" s="712">
        <f>industrie!H22</f>
        <v>0</v>
      </c>
      <c r="J43" s="712">
        <f>industrie!I22</f>
        <v>0</v>
      </c>
      <c r="K43" s="712">
        <f>industrie!J22</f>
        <v>373.96861185082281</v>
      </c>
      <c r="L43" s="712">
        <f>industrie!K22</f>
        <v>0</v>
      </c>
      <c r="M43" s="712">
        <f>industrie!L22</f>
        <v>0</v>
      </c>
      <c r="N43" s="712">
        <f>industrie!M22</f>
        <v>0</v>
      </c>
      <c r="O43" s="712">
        <f>industrie!N22</f>
        <v>0</v>
      </c>
      <c r="P43" s="712">
        <f>industrie!O22</f>
        <v>0</v>
      </c>
      <c r="Q43" s="795">
        <f>industrie!P22</f>
        <v>0</v>
      </c>
      <c r="R43" s="874">
        <f t="shared" ca="1" si="4"/>
        <v>14517.785700678165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21161.532661471265</v>
      </c>
      <c r="D46" s="748">
        <f t="shared" ref="D46:Q46" ca="1" si="5">SUM(D39:D45)</f>
        <v>0</v>
      </c>
      <c r="E46" s="748">
        <f t="shared" ca="1" si="5"/>
        <v>41963.354584426044</v>
      </c>
      <c r="F46" s="748">
        <f t="shared" si="5"/>
        <v>3586.0040164679654</v>
      </c>
      <c r="G46" s="748">
        <f t="shared" ca="1" si="5"/>
        <v>24833.83513827666</v>
      </c>
      <c r="H46" s="748">
        <f t="shared" si="5"/>
        <v>0</v>
      </c>
      <c r="I46" s="748">
        <f t="shared" si="5"/>
        <v>0</v>
      </c>
      <c r="J46" s="748">
        <f t="shared" si="5"/>
        <v>0</v>
      </c>
      <c r="K46" s="748">
        <f t="shared" si="5"/>
        <v>374.01801010505267</v>
      </c>
      <c r="L46" s="748">
        <f t="shared" si="5"/>
        <v>0</v>
      </c>
      <c r="M46" s="748">
        <f t="shared" ca="1" si="5"/>
        <v>0</v>
      </c>
      <c r="N46" s="748">
        <f t="shared" si="5"/>
        <v>0</v>
      </c>
      <c r="O46" s="748">
        <f t="shared" ca="1" si="5"/>
        <v>0</v>
      </c>
      <c r="P46" s="748">
        <f t="shared" si="5"/>
        <v>0</v>
      </c>
      <c r="Q46" s="748">
        <f t="shared" si="5"/>
        <v>0</v>
      </c>
      <c r="R46" s="748">
        <f ca="1">SUM(R39:R45)</f>
        <v>91918.744410746993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831.38715641048111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831.38715641048111</v>
      </c>
    </row>
    <row r="50" spans="1:18">
      <c r="A50" s="850" t="s">
        <v>306</v>
      </c>
      <c r="B50" s="860"/>
      <c r="C50" s="718">
        <f ca="1">transport!B18</f>
        <v>20.694798072568922</v>
      </c>
      <c r="D50" s="718">
        <f>transport!C18</f>
        <v>0</v>
      </c>
      <c r="E50" s="718">
        <f>transport!D18</f>
        <v>131.34887379334131</v>
      </c>
      <c r="F50" s="718">
        <f>transport!E18</f>
        <v>121.05350849603541</v>
      </c>
      <c r="G50" s="718">
        <f>transport!F18</f>
        <v>0</v>
      </c>
      <c r="H50" s="718">
        <f>transport!G18</f>
        <v>53309.086754360578</v>
      </c>
      <c r="I50" s="718">
        <f>transport!H18</f>
        <v>12170.378216777845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65752.562151500373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20.694798072568922</v>
      </c>
      <c r="D52" s="748">
        <f t="shared" ref="D52:Q52" ca="1" si="6">SUM(D48:D51)</f>
        <v>0</v>
      </c>
      <c r="E52" s="748">
        <f t="shared" si="6"/>
        <v>131.34887379334131</v>
      </c>
      <c r="F52" s="748">
        <f t="shared" si="6"/>
        <v>121.05350849603541</v>
      </c>
      <c r="G52" s="748">
        <f t="shared" si="6"/>
        <v>0</v>
      </c>
      <c r="H52" s="748">
        <f t="shared" si="6"/>
        <v>54140.473910771063</v>
      </c>
      <c r="I52" s="748">
        <f t="shared" si="6"/>
        <v>12170.378216777845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66583.949307910851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52.225357129671949</v>
      </c>
      <c r="D54" s="718">
        <f ca="1">+landbouw!C12</f>
        <v>0</v>
      </c>
      <c r="E54" s="718">
        <f>+landbouw!D12</f>
        <v>14.65922282</v>
      </c>
      <c r="F54" s="718">
        <f>+landbouw!E12</f>
        <v>2.6686362802034913</v>
      </c>
      <c r="G54" s="718">
        <f>+landbouw!F12</f>
        <v>355.4395648701759</v>
      </c>
      <c r="H54" s="718">
        <f>+landbouw!G12</f>
        <v>0</v>
      </c>
      <c r="I54" s="718">
        <f>+landbouw!H12</f>
        <v>0</v>
      </c>
      <c r="J54" s="718">
        <f>+landbouw!I12</f>
        <v>0</v>
      </c>
      <c r="K54" s="718">
        <f>+landbouw!J12</f>
        <v>36.737546268184062</v>
      </c>
      <c r="L54" s="718">
        <f>+landbouw!K12</f>
        <v>0</v>
      </c>
      <c r="M54" s="718">
        <f>+landbouw!L12</f>
        <v>0</v>
      </c>
      <c r="N54" s="718">
        <f>+landbouw!M12</f>
        <v>0</v>
      </c>
      <c r="O54" s="718">
        <f>+landbouw!N12</f>
        <v>0</v>
      </c>
      <c r="P54" s="718">
        <f>+landbouw!O12</f>
        <v>0</v>
      </c>
      <c r="Q54" s="719">
        <f>+landbouw!P12</f>
        <v>0</v>
      </c>
      <c r="R54" s="747">
        <f ca="1">SUM(C54:Q54)</f>
        <v>461.73032736823541</v>
      </c>
    </row>
    <row r="55" spans="1:18" ht="15" thickBot="1">
      <c r="A55" s="850" t="s">
        <v>734</v>
      </c>
      <c r="B55" s="860"/>
      <c r="C55" s="718">
        <f ca="1">C25*'EF ele_warmte'!B12</f>
        <v>1129.174367648571</v>
      </c>
      <c r="D55" s="718"/>
      <c r="E55" s="718">
        <f>E25*EF_CO2_aardgas</f>
        <v>1483.3289957000002</v>
      </c>
      <c r="F55" s="718"/>
      <c r="G55" s="718"/>
      <c r="H55" s="718"/>
      <c r="I55" s="718"/>
      <c r="J55" s="718"/>
      <c r="K55" s="718"/>
      <c r="L55" s="718"/>
      <c r="M55" s="718"/>
      <c r="N55" s="718"/>
      <c r="O55" s="718"/>
      <c r="P55" s="718"/>
      <c r="Q55" s="719"/>
      <c r="R55" s="747">
        <f ca="1">SUM(C55:Q55)</f>
        <v>2612.5033633485709</v>
      </c>
    </row>
    <row r="56" spans="1:18" ht="15.75" thickBot="1">
      <c r="A56" s="848" t="s">
        <v>735</v>
      </c>
      <c r="B56" s="861"/>
      <c r="C56" s="748">
        <f ca="1">SUM(C54:C55)</f>
        <v>1181.3997247782429</v>
      </c>
      <c r="D56" s="748">
        <f t="shared" ref="D56:Q56" ca="1" si="7">SUM(D54:D55)</f>
        <v>0</v>
      </c>
      <c r="E56" s="748">
        <f t="shared" si="7"/>
        <v>1497.9882185200001</v>
      </c>
      <c r="F56" s="748">
        <f t="shared" si="7"/>
        <v>2.6686362802034913</v>
      </c>
      <c r="G56" s="748">
        <f t="shared" si="7"/>
        <v>355.4395648701759</v>
      </c>
      <c r="H56" s="748">
        <f t="shared" si="7"/>
        <v>0</v>
      </c>
      <c r="I56" s="748">
        <f t="shared" si="7"/>
        <v>0</v>
      </c>
      <c r="J56" s="748">
        <f t="shared" si="7"/>
        <v>0</v>
      </c>
      <c r="K56" s="748">
        <f t="shared" si="7"/>
        <v>36.737546268184062</v>
      </c>
      <c r="L56" s="748">
        <f t="shared" si="7"/>
        <v>0</v>
      </c>
      <c r="M56" s="748">
        <f t="shared" si="7"/>
        <v>0</v>
      </c>
      <c r="N56" s="748">
        <f t="shared" si="7"/>
        <v>0</v>
      </c>
      <c r="O56" s="748">
        <f t="shared" si="7"/>
        <v>0</v>
      </c>
      <c r="P56" s="748">
        <f t="shared" si="7"/>
        <v>0</v>
      </c>
      <c r="Q56" s="749">
        <f t="shared" si="7"/>
        <v>0</v>
      </c>
      <c r="R56" s="750">
        <f ca="1">SUM(R54:R55)</f>
        <v>3074.2336907168064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22363.627184322075</v>
      </c>
      <c r="D61" s="756">
        <f t="shared" ref="D61:Q61" ca="1" si="8">D46+D52+D56</f>
        <v>0</v>
      </c>
      <c r="E61" s="756">
        <f t="shared" ca="1" si="8"/>
        <v>43592.691676739385</v>
      </c>
      <c r="F61" s="756">
        <f t="shared" si="8"/>
        <v>3709.7261612442039</v>
      </c>
      <c r="G61" s="756">
        <f t="shared" ca="1" si="8"/>
        <v>25189.274703146835</v>
      </c>
      <c r="H61" s="756">
        <f t="shared" si="8"/>
        <v>54140.473910771063</v>
      </c>
      <c r="I61" s="756">
        <f t="shared" si="8"/>
        <v>12170.378216777845</v>
      </c>
      <c r="J61" s="756">
        <f t="shared" si="8"/>
        <v>0</v>
      </c>
      <c r="K61" s="756">
        <f t="shared" si="8"/>
        <v>410.75555637323674</v>
      </c>
      <c r="L61" s="756">
        <f t="shared" si="8"/>
        <v>0</v>
      </c>
      <c r="M61" s="756">
        <f t="shared" ca="1" si="8"/>
        <v>0</v>
      </c>
      <c r="N61" s="756">
        <f t="shared" si="8"/>
        <v>0</v>
      </c>
      <c r="O61" s="756">
        <f t="shared" ca="1" si="8"/>
        <v>0</v>
      </c>
      <c r="P61" s="756">
        <f t="shared" si="8"/>
        <v>0</v>
      </c>
      <c r="Q61" s="756">
        <f t="shared" si="8"/>
        <v>0</v>
      </c>
      <c r="R61" s="756">
        <f ca="1">R46+R52+R56</f>
        <v>161576.92740937462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0.13864591225578196</v>
      </c>
      <c r="D63" s="802">
        <f t="shared" ca="1" si="9"/>
        <v>0</v>
      </c>
      <c r="E63" s="1008">
        <f t="shared" ca="1" si="9"/>
        <v>0.20200000000000001</v>
      </c>
      <c r="F63" s="802">
        <f t="shared" si="9"/>
        <v>0.22699999999999995</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40098.302810675857</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20009.113596209452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60107.416406885313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40098.302810675857</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20009.113596209452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60107.416406885313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69397.770442131092</v>
      </c>
      <c r="C4" s="478">
        <f>huishoudens!C8</f>
        <v>0</v>
      </c>
      <c r="D4" s="478">
        <f>huishoudens!D8</f>
        <v>132037.7386295</v>
      </c>
      <c r="E4" s="478">
        <f>huishoudens!E8</f>
        <v>13419.807013055735</v>
      </c>
      <c r="F4" s="478">
        <f>huishoudens!F8</f>
        <v>81683.519083380088</v>
      </c>
      <c r="G4" s="478">
        <f>huishoudens!G8</f>
        <v>0</v>
      </c>
      <c r="H4" s="478">
        <f>huishoudens!H8</f>
        <v>0</v>
      </c>
      <c r="I4" s="478">
        <f>huishoudens!I8</f>
        <v>0</v>
      </c>
      <c r="J4" s="478">
        <f>huishoudens!J8</f>
        <v>0</v>
      </c>
      <c r="K4" s="478">
        <f>huishoudens!K8</f>
        <v>0</v>
      </c>
      <c r="L4" s="478">
        <f>huishoudens!L8</f>
        <v>0</v>
      </c>
      <c r="M4" s="478">
        <f>huishoudens!M8</f>
        <v>0</v>
      </c>
      <c r="N4" s="478">
        <f>huishoudens!N8</f>
        <v>49298.914503043095</v>
      </c>
      <c r="O4" s="478">
        <f>huishoudens!O8</f>
        <v>1497.8884556372091</v>
      </c>
      <c r="P4" s="479">
        <f>huishoudens!P8</f>
        <v>1717.0353671526589</v>
      </c>
      <c r="Q4" s="480">
        <f>SUM(B4:P4)</f>
        <v>349052.67349389987</v>
      </c>
    </row>
    <row r="5" spans="1:17">
      <c r="A5" s="477" t="s">
        <v>155</v>
      </c>
      <c r="B5" s="478">
        <f ca="1">tertiair!B16</f>
        <v>45199.135157999997</v>
      </c>
      <c r="C5" s="478">
        <f ca="1">tertiair!C16</f>
        <v>0</v>
      </c>
      <c r="D5" s="478">
        <f ca="1">tertiair!D16</f>
        <v>40462.798236278002</v>
      </c>
      <c r="E5" s="478">
        <f>tertiair!E16</f>
        <v>734.09636518454147</v>
      </c>
      <c r="F5" s="478">
        <f ca="1">tertiair!F16</f>
        <v>5089.6605750978515</v>
      </c>
      <c r="G5" s="478">
        <f>tertiair!G16</f>
        <v>0</v>
      </c>
      <c r="H5" s="478">
        <f>tertiair!H16</f>
        <v>0</v>
      </c>
      <c r="I5" s="478">
        <f>tertiair!I16</f>
        <v>0</v>
      </c>
      <c r="J5" s="478">
        <f>tertiair!J16</f>
        <v>0.13954309104483575</v>
      </c>
      <c r="K5" s="478">
        <f>tertiair!K16</f>
        <v>0</v>
      </c>
      <c r="L5" s="478">
        <f ca="1">tertiair!L16</f>
        <v>0</v>
      </c>
      <c r="M5" s="478">
        <f>tertiair!M16</f>
        <v>0</v>
      </c>
      <c r="N5" s="478">
        <f ca="1">tertiair!N16</f>
        <v>5477.0285595102796</v>
      </c>
      <c r="O5" s="478">
        <f>tertiair!O16</f>
        <v>14.691782297523464</v>
      </c>
      <c r="P5" s="479">
        <f>tertiair!P16</f>
        <v>315.23482983897009</v>
      </c>
      <c r="Q5" s="477">
        <f t="shared" ref="Q5:Q14" ca="1" si="0">SUM(B5:P5)</f>
        <v>97292.785049298196</v>
      </c>
    </row>
    <row r="6" spans="1:17">
      <c r="A6" s="477" t="s">
        <v>193</v>
      </c>
      <c r="B6" s="478">
        <f>'openbare verlichting'!B8</f>
        <v>2063.049</v>
      </c>
      <c r="C6" s="478"/>
      <c r="D6" s="478"/>
      <c r="E6" s="478"/>
      <c r="F6" s="478"/>
      <c r="G6" s="478"/>
      <c r="H6" s="478"/>
      <c r="I6" s="478"/>
      <c r="J6" s="478"/>
      <c r="K6" s="478"/>
      <c r="L6" s="478"/>
      <c r="M6" s="478"/>
      <c r="N6" s="478"/>
      <c r="O6" s="478"/>
      <c r="P6" s="479"/>
      <c r="Q6" s="477">
        <f t="shared" si="0"/>
        <v>2063.049</v>
      </c>
    </row>
    <row r="7" spans="1:17">
      <c r="A7" s="477" t="s">
        <v>111</v>
      </c>
      <c r="B7" s="478">
        <f>landbouw!B8</f>
        <v>376.68155000000002</v>
      </c>
      <c r="C7" s="478">
        <f>landbouw!C8</f>
        <v>0</v>
      </c>
      <c r="D7" s="478">
        <f>landbouw!D8</f>
        <v>72.570409999999995</v>
      </c>
      <c r="E7" s="478">
        <f>landbouw!E8</f>
        <v>11.756106961248859</v>
      </c>
      <c r="F7" s="478">
        <f>landbouw!F8</f>
        <v>1331.2343253564641</v>
      </c>
      <c r="G7" s="478">
        <f>landbouw!G8</f>
        <v>0</v>
      </c>
      <c r="H7" s="478">
        <f>landbouw!H8</f>
        <v>0</v>
      </c>
      <c r="I7" s="478">
        <f>landbouw!I8</f>
        <v>0</v>
      </c>
      <c r="J7" s="478">
        <f>landbouw!J8</f>
        <v>103.77837928865554</v>
      </c>
      <c r="K7" s="478">
        <f>landbouw!K8</f>
        <v>0</v>
      </c>
      <c r="L7" s="478">
        <f>landbouw!L8</f>
        <v>0</v>
      </c>
      <c r="M7" s="478">
        <f>landbouw!M8</f>
        <v>0</v>
      </c>
      <c r="N7" s="478">
        <f>landbouw!N8</f>
        <v>0</v>
      </c>
      <c r="O7" s="478">
        <f>landbouw!O8</f>
        <v>0</v>
      </c>
      <c r="P7" s="479">
        <f>landbouw!P8</f>
        <v>0</v>
      </c>
      <c r="Q7" s="477">
        <f t="shared" si="0"/>
        <v>1896.0207716063685</v>
      </c>
    </row>
    <row r="8" spans="1:17">
      <c r="A8" s="477" t="s">
        <v>629</v>
      </c>
      <c r="B8" s="478">
        <f>industrie!B18</f>
        <v>35970.096421000002</v>
      </c>
      <c r="C8" s="478">
        <f>industrie!C18</f>
        <v>0</v>
      </c>
      <c r="D8" s="478">
        <f>industrie!D18</f>
        <v>35238.842265043997</v>
      </c>
      <c r="E8" s="478">
        <f>industrie!E18</f>
        <v>1643.4711436450343</v>
      </c>
      <c r="F8" s="478">
        <f>industrie!F18</f>
        <v>6237.4388369402614</v>
      </c>
      <c r="G8" s="478">
        <f>industrie!G18</f>
        <v>0</v>
      </c>
      <c r="H8" s="478">
        <f>industrie!H18</f>
        <v>0</v>
      </c>
      <c r="I8" s="478">
        <f>industrie!I18</f>
        <v>0</v>
      </c>
      <c r="J8" s="478">
        <f>industrie!J18</f>
        <v>1056.4085080531718</v>
      </c>
      <c r="K8" s="478">
        <f>industrie!K18</f>
        <v>0</v>
      </c>
      <c r="L8" s="478">
        <f>industrie!L18</f>
        <v>0</v>
      </c>
      <c r="M8" s="478">
        <f>industrie!M18</f>
        <v>0</v>
      </c>
      <c r="N8" s="478">
        <f>industrie!N18</f>
        <v>1261.9063391606444</v>
      </c>
      <c r="O8" s="478">
        <f>industrie!O18</f>
        <v>0</v>
      </c>
      <c r="P8" s="479">
        <f>industrie!P18</f>
        <v>0</v>
      </c>
      <c r="Q8" s="477">
        <f t="shared" si="0"/>
        <v>81408.163513843101</v>
      </c>
    </row>
    <row r="9" spans="1:17" s="483" customFormat="1">
      <c r="A9" s="481" t="s">
        <v>555</v>
      </c>
      <c r="B9" s="482">
        <f>transport!B14</f>
        <v>149.26367273194444</v>
      </c>
      <c r="C9" s="482">
        <f>transport!C14</f>
        <v>0</v>
      </c>
      <c r="D9" s="482">
        <f>transport!D14</f>
        <v>650.24194947198669</v>
      </c>
      <c r="E9" s="482">
        <f>transport!E14</f>
        <v>533.27536782394452</v>
      </c>
      <c r="F9" s="482">
        <f>transport!F14</f>
        <v>0</v>
      </c>
      <c r="G9" s="482">
        <f>transport!G14</f>
        <v>199659.50095266133</v>
      </c>
      <c r="H9" s="482">
        <f>transport!H14</f>
        <v>48877.020950915037</v>
      </c>
      <c r="I9" s="482">
        <f>transport!I14</f>
        <v>0</v>
      </c>
      <c r="J9" s="482">
        <f>transport!J14</f>
        <v>0</v>
      </c>
      <c r="K9" s="482">
        <f>transport!K14</f>
        <v>0</v>
      </c>
      <c r="L9" s="482">
        <f>transport!L14</f>
        <v>0</v>
      </c>
      <c r="M9" s="482">
        <f>transport!M14</f>
        <v>14725.068237056052</v>
      </c>
      <c r="N9" s="482">
        <f>transport!N14</f>
        <v>0</v>
      </c>
      <c r="O9" s="482">
        <f>transport!O14</f>
        <v>0</v>
      </c>
      <c r="P9" s="482">
        <f>transport!P14</f>
        <v>0</v>
      </c>
      <c r="Q9" s="481">
        <f>SUM(B9:P9)</f>
        <v>264594.37113066029</v>
      </c>
    </row>
    <row r="10" spans="1:17">
      <c r="A10" s="477" t="s">
        <v>545</v>
      </c>
      <c r="B10" s="478">
        <f>transport!B54</f>
        <v>0</v>
      </c>
      <c r="C10" s="478">
        <f>transport!C54</f>
        <v>0</v>
      </c>
      <c r="D10" s="478">
        <f>transport!D54</f>
        <v>0</v>
      </c>
      <c r="E10" s="478">
        <f>transport!E54</f>
        <v>0</v>
      </c>
      <c r="F10" s="478">
        <f>transport!F54</f>
        <v>0</v>
      </c>
      <c r="G10" s="478">
        <f>transport!G54</f>
        <v>3113.8095745710903</v>
      </c>
      <c r="H10" s="478">
        <f>transport!H54</f>
        <v>0</v>
      </c>
      <c r="I10" s="478">
        <f>transport!I54</f>
        <v>0</v>
      </c>
      <c r="J10" s="478">
        <f>transport!J54</f>
        <v>0</v>
      </c>
      <c r="K10" s="478">
        <f>transport!K54</f>
        <v>0</v>
      </c>
      <c r="L10" s="478">
        <f>transport!L54</f>
        <v>0</v>
      </c>
      <c r="M10" s="478">
        <f>transport!M54</f>
        <v>173.06588067876422</v>
      </c>
      <c r="N10" s="478">
        <f>transport!N54</f>
        <v>0</v>
      </c>
      <c r="O10" s="478">
        <f>transport!O54</f>
        <v>0</v>
      </c>
      <c r="P10" s="479">
        <f>transport!P54</f>
        <v>0</v>
      </c>
      <c r="Q10" s="477">
        <f t="shared" si="0"/>
        <v>3286.8754552498544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8144.3033499999992</v>
      </c>
      <c r="C14" s="485"/>
      <c r="D14" s="485">
        <f>'SEAP template'!E25</f>
        <v>7343.2128499999999</v>
      </c>
      <c r="E14" s="485"/>
      <c r="F14" s="485"/>
      <c r="G14" s="485"/>
      <c r="H14" s="485"/>
      <c r="I14" s="485"/>
      <c r="J14" s="485"/>
      <c r="K14" s="485"/>
      <c r="L14" s="485"/>
      <c r="M14" s="485"/>
      <c r="N14" s="485"/>
      <c r="O14" s="485"/>
      <c r="P14" s="486"/>
      <c r="Q14" s="477">
        <f t="shared" si="0"/>
        <v>15487.516199999998</v>
      </c>
    </row>
    <row r="15" spans="1:17" s="489" customFormat="1">
      <c r="A15" s="487" t="s">
        <v>549</v>
      </c>
      <c r="B15" s="488">
        <f ca="1">SUM(B4:B14)</f>
        <v>161300.29959386302</v>
      </c>
      <c r="C15" s="488">
        <f t="shared" ref="C15:Q15" ca="1" si="1">SUM(C4:C14)</f>
        <v>0</v>
      </c>
      <c r="D15" s="488">
        <f t="shared" ca="1" si="1"/>
        <v>215805.40434029399</v>
      </c>
      <c r="E15" s="488">
        <f t="shared" si="1"/>
        <v>16342.405996670504</v>
      </c>
      <c r="F15" s="488">
        <f t="shared" ca="1" si="1"/>
        <v>94341.852820774657</v>
      </c>
      <c r="G15" s="488">
        <f t="shared" si="1"/>
        <v>202773.31052723242</v>
      </c>
      <c r="H15" s="488">
        <f t="shared" si="1"/>
        <v>48877.020950915037</v>
      </c>
      <c r="I15" s="488">
        <f t="shared" si="1"/>
        <v>0</v>
      </c>
      <c r="J15" s="488">
        <f t="shared" si="1"/>
        <v>1160.3264304328723</v>
      </c>
      <c r="K15" s="488">
        <f t="shared" si="1"/>
        <v>0</v>
      </c>
      <c r="L15" s="488">
        <f t="shared" ca="1" si="1"/>
        <v>0</v>
      </c>
      <c r="M15" s="488">
        <f t="shared" si="1"/>
        <v>14898.134117734817</v>
      </c>
      <c r="N15" s="488">
        <f t="shared" ca="1" si="1"/>
        <v>56037.849401714018</v>
      </c>
      <c r="O15" s="488">
        <f t="shared" si="1"/>
        <v>1512.5802379347326</v>
      </c>
      <c r="P15" s="488">
        <f t="shared" si="1"/>
        <v>2032.2701969916288</v>
      </c>
      <c r="Q15" s="488">
        <f t="shared" ca="1" si="1"/>
        <v>815081.45461455756</v>
      </c>
    </row>
    <row r="17" spans="1:17">
      <c r="A17" s="490" t="s">
        <v>550</v>
      </c>
      <c r="B17" s="807">
        <f ca="1">huishoudens!B10</f>
        <v>0.13864591225578196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9621.7171914666069</v>
      </c>
      <c r="C22" s="478">
        <f t="shared" ref="C22:C32" ca="1" si="3">C4*$C$17</f>
        <v>0</v>
      </c>
      <c r="D22" s="478">
        <f t="shared" ref="D22:D32" si="4">D4*$D$17</f>
        <v>26671.623203159001</v>
      </c>
      <c r="E22" s="478">
        <f t="shared" ref="E22:E32" si="5">E4*$E$17</f>
        <v>3046.2961919636518</v>
      </c>
      <c r="F22" s="478">
        <f t="shared" ref="F22:F32" si="6">F4*$F$17</f>
        <v>21809.499595262485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61149.136181851747</v>
      </c>
    </row>
    <row r="23" spans="1:17">
      <c r="A23" s="477" t="s">
        <v>155</v>
      </c>
      <c r="B23" s="478">
        <f t="shared" ca="1" si="2"/>
        <v>6266.6753271532971</v>
      </c>
      <c r="C23" s="478">
        <f t="shared" ca="1" si="3"/>
        <v>0</v>
      </c>
      <c r="D23" s="478">
        <f t="shared" ca="1" si="4"/>
        <v>8173.485243728157</v>
      </c>
      <c r="E23" s="478">
        <f t="shared" si="5"/>
        <v>166.63987489689092</v>
      </c>
      <c r="F23" s="478">
        <f t="shared" ca="1" si="6"/>
        <v>1358.9393735511264</v>
      </c>
      <c r="G23" s="478">
        <f t="shared" si="7"/>
        <v>0</v>
      </c>
      <c r="H23" s="478">
        <f t="shared" si="8"/>
        <v>0</v>
      </c>
      <c r="I23" s="478">
        <f t="shared" si="9"/>
        <v>0</v>
      </c>
      <c r="J23" s="478">
        <f t="shared" si="10"/>
        <v>4.9398254229871853E-2</v>
      </c>
      <c r="K23" s="478">
        <f t="shared" si="11"/>
        <v>0</v>
      </c>
      <c r="L23" s="478">
        <f t="shared" ca="1" si="12"/>
        <v>0</v>
      </c>
      <c r="M23" s="478">
        <f t="shared" si="13"/>
        <v>0</v>
      </c>
      <c r="N23" s="478">
        <f t="shared" ca="1" si="14"/>
        <v>0</v>
      </c>
      <c r="O23" s="478">
        <f t="shared" si="15"/>
        <v>0</v>
      </c>
      <c r="P23" s="479">
        <f t="shared" si="16"/>
        <v>0</v>
      </c>
      <c r="Q23" s="477">
        <f t="shared" ref="Q23:Q31" ca="1" si="17">SUM(B23:P23)</f>
        <v>15965.789217583701</v>
      </c>
    </row>
    <row r="24" spans="1:17">
      <c r="A24" s="477" t="s">
        <v>193</v>
      </c>
      <c r="B24" s="478">
        <f t="shared" ca="1" si="2"/>
        <v>286.03331063337873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286.03331063337873</v>
      </c>
    </row>
    <row r="25" spans="1:17">
      <c r="A25" s="477" t="s">
        <v>111</v>
      </c>
      <c r="B25" s="478">
        <f t="shared" ca="1" si="2"/>
        <v>52.225357129671949</v>
      </c>
      <c r="C25" s="478">
        <f t="shared" ca="1" si="3"/>
        <v>0</v>
      </c>
      <c r="D25" s="478">
        <f t="shared" si="4"/>
        <v>14.65922282</v>
      </c>
      <c r="E25" s="478">
        <f t="shared" si="5"/>
        <v>2.6686362802034913</v>
      </c>
      <c r="F25" s="478">
        <f t="shared" si="6"/>
        <v>355.4395648701759</v>
      </c>
      <c r="G25" s="478">
        <f t="shared" si="7"/>
        <v>0</v>
      </c>
      <c r="H25" s="478">
        <f t="shared" si="8"/>
        <v>0</v>
      </c>
      <c r="I25" s="478">
        <f t="shared" si="9"/>
        <v>0</v>
      </c>
      <c r="J25" s="478">
        <f t="shared" si="10"/>
        <v>36.737546268184062</v>
      </c>
      <c r="K25" s="478">
        <f t="shared" si="11"/>
        <v>0</v>
      </c>
      <c r="L25" s="478">
        <f t="shared" si="12"/>
        <v>0</v>
      </c>
      <c r="M25" s="478">
        <f t="shared" si="13"/>
        <v>0</v>
      </c>
      <c r="N25" s="478">
        <f t="shared" si="14"/>
        <v>0</v>
      </c>
      <c r="O25" s="478">
        <f t="shared" si="15"/>
        <v>0</v>
      </c>
      <c r="P25" s="479">
        <f t="shared" si="16"/>
        <v>0</v>
      </c>
      <c r="Q25" s="477">
        <f t="shared" ca="1" si="17"/>
        <v>461.73032736823541</v>
      </c>
    </row>
    <row r="26" spans="1:17">
      <c r="A26" s="477" t="s">
        <v>629</v>
      </c>
      <c r="B26" s="478">
        <f t="shared" ca="1" si="2"/>
        <v>4987.1068322179826</v>
      </c>
      <c r="C26" s="478">
        <f t="shared" ca="1" si="3"/>
        <v>0</v>
      </c>
      <c r="D26" s="478">
        <f t="shared" si="4"/>
        <v>7118.2461375388875</v>
      </c>
      <c r="E26" s="478">
        <f t="shared" si="5"/>
        <v>373.0679496074228</v>
      </c>
      <c r="F26" s="478">
        <f t="shared" si="6"/>
        <v>1665.3961694630498</v>
      </c>
      <c r="G26" s="478">
        <f t="shared" si="7"/>
        <v>0</v>
      </c>
      <c r="H26" s="478">
        <f t="shared" si="8"/>
        <v>0</v>
      </c>
      <c r="I26" s="478">
        <f t="shared" si="9"/>
        <v>0</v>
      </c>
      <c r="J26" s="478">
        <f t="shared" si="10"/>
        <v>373.96861185082281</v>
      </c>
      <c r="K26" s="478">
        <f t="shared" si="11"/>
        <v>0</v>
      </c>
      <c r="L26" s="478">
        <f t="shared" si="12"/>
        <v>0</v>
      </c>
      <c r="M26" s="478">
        <f t="shared" si="13"/>
        <v>0</v>
      </c>
      <c r="N26" s="478">
        <f t="shared" si="14"/>
        <v>0</v>
      </c>
      <c r="O26" s="478">
        <f t="shared" si="15"/>
        <v>0</v>
      </c>
      <c r="P26" s="479">
        <f t="shared" si="16"/>
        <v>0</v>
      </c>
      <c r="Q26" s="477">
        <f t="shared" ca="1" si="17"/>
        <v>14517.785700678165</v>
      </c>
    </row>
    <row r="27" spans="1:17" s="483" customFormat="1">
      <c r="A27" s="481" t="s">
        <v>555</v>
      </c>
      <c r="B27" s="801">
        <f t="shared" ca="1" si="2"/>
        <v>20.694798072568922</v>
      </c>
      <c r="C27" s="482">
        <f t="shared" ca="1" si="3"/>
        <v>0</v>
      </c>
      <c r="D27" s="482">
        <f t="shared" si="4"/>
        <v>131.34887379334131</v>
      </c>
      <c r="E27" s="482">
        <f t="shared" si="5"/>
        <v>121.05350849603541</v>
      </c>
      <c r="F27" s="482">
        <f t="shared" si="6"/>
        <v>0</v>
      </c>
      <c r="G27" s="482">
        <f t="shared" si="7"/>
        <v>53309.086754360578</v>
      </c>
      <c r="H27" s="482">
        <f t="shared" si="8"/>
        <v>12170.378216777845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65752.562151500373</v>
      </c>
    </row>
    <row r="28" spans="1:17" ht="16.5" customHeight="1">
      <c r="A28" s="477" t="s">
        <v>545</v>
      </c>
      <c r="B28" s="478">
        <f t="shared" ca="1" si="2"/>
        <v>0</v>
      </c>
      <c r="C28" s="478">
        <f t="shared" ca="1" si="3"/>
        <v>0</v>
      </c>
      <c r="D28" s="478">
        <f t="shared" si="4"/>
        <v>0</v>
      </c>
      <c r="E28" s="478">
        <f t="shared" si="5"/>
        <v>0</v>
      </c>
      <c r="F28" s="478">
        <f t="shared" si="6"/>
        <v>0</v>
      </c>
      <c r="G28" s="478">
        <f t="shared" si="7"/>
        <v>831.38715641048111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831.38715641048111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1129.174367648571</v>
      </c>
      <c r="C32" s="478">
        <f t="shared" ca="1" si="3"/>
        <v>0</v>
      </c>
      <c r="D32" s="478">
        <f t="shared" si="4"/>
        <v>1483.3289957000002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2612.5033633485709</v>
      </c>
    </row>
    <row r="33" spans="1:17" s="489" customFormat="1">
      <c r="A33" s="487" t="s">
        <v>549</v>
      </c>
      <c r="B33" s="488">
        <f ca="1">SUM(B22:B32)</f>
        <v>22363.627184322075</v>
      </c>
      <c r="C33" s="488">
        <f t="shared" ref="C33:Q33" ca="1" si="19">SUM(C22:C32)</f>
        <v>0</v>
      </c>
      <c r="D33" s="488">
        <f t="shared" ca="1" si="19"/>
        <v>43592.691676739392</v>
      </c>
      <c r="E33" s="488">
        <f t="shared" si="19"/>
        <v>3709.7261612442039</v>
      </c>
      <c r="F33" s="488">
        <f t="shared" ca="1" si="19"/>
        <v>25189.274703146835</v>
      </c>
      <c r="G33" s="488">
        <f t="shared" si="19"/>
        <v>54140.473910771063</v>
      </c>
      <c r="H33" s="488">
        <f t="shared" si="19"/>
        <v>12170.378216777845</v>
      </c>
      <c r="I33" s="488">
        <f t="shared" si="19"/>
        <v>0</v>
      </c>
      <c r="J33" s="488">
        <f t="shared" si="19"/>
        <v>410.75555637323674</v>
      </c>
      <c r="K33" s="488">
        <f t="shared" si="19"/>
        <v>0</v>
      </c>
      <c r="L33" s="488">
        <f t="shared" ca="1" si="19"/>
        <v>0</v>
      </c>
      <c r="M33" s="488">
        <f t="shared" si="19"/>
        <v>0</v>
      </c>
      <c r="N33" s="488">
        <f t="shared" ca="1" si="19"/>
        <v>0</v>
      </c>
      <c r="O33" s="488">
        <f t="shared" si="19"/>
        <v>0</v>
      </c>
      <c r="P33" s="488">
        <f t="shared" si="19"/>
        <v>0</v>
      </c>
      <c r="Q33" s="488">
        <f t="shared" ca="1" si="19"/>
        <v>161576.92740937468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40098.302810675857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20009.113596209452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60107.416406885313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0.13864591225578196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0.13864591225578196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2019-06-29T17:11:28Z</dcterms:modified>
</cp:coreProperties>
</file>