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4" i="6" s="1"/>
  <c r="B12" s="1"/>
  <c r="C22" i="48" l="1"/>
  <c r="C28"/>
  <c r="C23"/>
  <c r="C30"/>
  <c r="C27"/>
  <c r="C29"/>
  <c r="C33" s="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<sst xmlns="http://schemas.openxmlformats.org/spreadsheetml/2006/main" count="2412" uniqueCount="899">
  <si>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</si>
  <si>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</si>
  <si>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</si>
  <si>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</si>
  <si>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</si>
  <si>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</si>
  <si>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</si>
  <si>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</si>
  <si>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</si>
  <si>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</si>
  <si>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</si>
  <si>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</si>
  <si>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</si>
  <si>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</si>
  <si>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</si>
  <si>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</si>
  <si>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</si>
  <si>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</si>
  <si>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</si>
  <si>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</si>
  <si>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</si>
  <si>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</si>
  <si>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</si>
  <si>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</si>
  <si>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</si>
  <si>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</si>
  <si>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</si>
  <si>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</si>
  <si>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</si>
  <si>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</si>
  <si>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</si>
  <si>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</si>
  <si>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</si>
  <si>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</si>
  <si>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</si>
  <si>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</si>
  <si>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</si>
  <si>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</si>
  <si>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</si>
  <si>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</si>
  <si>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</si>
  <si>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</si>
  <si>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</si>
  <si>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</si>
  <si>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</si>
  <si>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</si>
  <si>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</si>
  <si>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</si>
  <si>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</si>
  <si>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</si>
  <si>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</si>
  <si>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</si>
  <si>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</si>
  <si>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</si>
  <si>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</si>
  <si>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</si>
  <si>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</si>
  <si>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</si>
  <si>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</si>
  <si>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</si>
  <si>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</si>
  <si>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</si>
  <si>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</si>
  <si>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</si>
  <si>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</si>
  <si>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</si>
  <si>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</si>
  <si>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</si>
  <si>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</si>
  <si>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</si>
  <si>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</si>
  <si>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</si>
  <si>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</si>
  <si>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</si>
  <si>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</si>
  <si>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</si>
  <si>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</si>
  <si>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</si>
  <si>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</si>
  <si>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</si>
  <si>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</si>
  <si>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</si>
  <si>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</si>
  <si>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</si>
  <si>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</si>
  <si>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</si>
  <si>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</si>
  <si>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</si>
  <si>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</si>
  <si>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</si>
  <si>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</si>
  <si>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</si>
  <si>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</si>
  <si>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</si>
  <si>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</si>
  <si>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</si>
  <si>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</si>
  <si>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</si>
  <si>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</si>
  <si>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</si>
  <si>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</si>
  <si>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</si>
  <si>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</si>
  <si>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</si>
  <si>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</si>
  <si>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</si>
  <si>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</si>
  <si>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</si>
  <si>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</si>
  <si>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</si>
  <si>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</si>
  <si>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</si>
  <si>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</si>
  <si>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</si>
  <si>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</si>
  <si>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</si>
  <si>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</si>
  <si>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</si>
  <si>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</si>
  <si>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</si>
  <si>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</si>
  <si>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</si>
  <si>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</si>
  <si>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</si>
  <si>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</si>
  <si>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</si>
  <si>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</si>
  <si>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</si>
  <si>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</si>
  <si>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</si>
  <si>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</si>
  <si>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</si>
  <si>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</si>
  <si>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</si>
  <si>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</si>
  <si>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</si>
  <si>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</si>
  <si>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</si>
  <si>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</si>
  <si>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</si>
  <si>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</si>
  <si>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</si>
  <si>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</si>
  <si>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</si>
  <si>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</si>
  <si>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</si>
  <si>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</si>
  <si>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</si>
  <si>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</si>
  <si>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</si>
  <si>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</si>
  <si>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</si>
  <si>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</si>
  <si>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</si>
  <si>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</si>
  <si>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</si>
  <si>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</si>
  <si>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</si>
  <si>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</si>
  <si>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</si>
  <si>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</si>
  <si>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</si>
  <si>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</si>
  <si>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</si>
  <si>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</si>
  <si>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</si>
  <si>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</si>
  <si>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</si>
  <si>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</si>
  <si>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</si>
  <si>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</si>
  <si>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</si>
  <si>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</si>
  <si>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</si>
  <si>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</si>
  <si>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</si>
  <si>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</si>
  <si>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</si>
  <si>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</si>
  <si>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</si>
  <si>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</si>
  <si>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</si>
  <si>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</si>
  <si>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</si>
  <si>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</si>
  <si>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</si>
  <si>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</si>
  <si>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</si>
  <si>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</si>
  <si>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</si>
  <si>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</si>
  <si>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</si>
  <si>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</si>
  <si>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</si>
  <si>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</si>
  <si>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</si>
  <si>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</si>
  <si>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</si>
  <si>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</si>
  <si>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</si>
  <si>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</si>
  <si>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</si>
  <si>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</si>
  <si>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</si>
  <si>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</si>
  <si>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</si>
  <si>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</si>
  <si>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</si>
  <si>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</si>
  <si>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</si>
  <si>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</si>
  <si>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</si>
  <si>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</si>
  <si>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</si>
  <si>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</si>
  <si>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</si>
  <si>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</si>
  <si>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</si>
  <si>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</si>
  <si>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</si>
  <si>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</si>
  <si>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</si>
  <si>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</si>
  <si>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</si>
  <si>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</si>
  <si>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</si>
  <si>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</si>
  <si>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</si>
  <si>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</si>
  <si>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</si>
  <si>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</si>
  <si>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</si>
  <si>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</si>
  <si>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</si>
  <si>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</si>
  <si>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</si>
  <si>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</si>
  <si>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</si>
  <si>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</si>
  <si>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</si>
  <si>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</si>
  <si>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</si>
  <si>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</si>
  <si>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</si>
  <si>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</si>
  <si>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</si>
  <si>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</si>
  <si>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</si>
  <si>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</si>
  <si>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</si>
  <si>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</si>
  <si>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</si>
  <si>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</si>
  <si>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</si>
  <si>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</si>
  <si>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</si>
  <si>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</si>
  <si>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</si>
  <si>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</si>
  <si>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</si>
  <si>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</si>
  <si>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</si>
  <si>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</si>
  <si>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</si>
  <si>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</si>
  <si>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</si>
  <si>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</si>
  <si>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</si>
  <si>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</si>
  <si>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</si>
  <si>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</si>
  <si>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</si>
  <si>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</si>
  <si>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</si>
  <si>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</si>
  <si>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</si>
  <si>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</si>
  <si>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</si>
  <si>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</si>
  <si>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</si>
  <si>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</si>
  <si>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</si>
  <si>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</si>
  <si>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</si>
  <si>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</si>
  <si>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</si>
  <si>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</si>
  <si>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</si>
  <si>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</si>
  <si>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</si>
  <si>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</si>
  <si>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</si>
  <si>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</si>
  <si>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</si>
  <si>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</si>
  <si>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</si>
  <si>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</si>
  <si>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</si>
  <si>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</si>
  <si>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</si>
  <si>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</si>
  <si>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</si>
  <si>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</si>
  <si>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</si>
  <si>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</si>
  <si>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</si>
  <si>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</si>
  <si>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</si>
  <si>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</si>
  <si>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</si>
  <si>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</si>
  <si>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</si>
  <si>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</si>
  <si>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</si>
  <si>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</si>
  <si>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</si>
  <si>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</si>
  <si>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</si>
  <si>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</si>
  <si>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</si>
  <si>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</si>
  <si>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</si>
  <si>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</si>
  <si>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</si>
  <si>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</si>
  <si>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</si>
  <si>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</si>
  <si>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</si>
  <si>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</si>
  <si>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</si>
  <si>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</si>
  <si>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</si>
  <si>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</si>
  <si>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</si>
  <si>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</si>
  <si>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</si>
  <si>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</si>
  <si>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</si>
  <si>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</si>
  <si>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</si>
  <si>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</si>
  <si>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</si>
  <si>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</si>
  <si>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</si>
  <si>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</si>
  <si>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</si>
  <si>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</si>
  <si>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</si>
  <si>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</si>
  <si>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</si>
  <si>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</si>
  <si>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</si>
  <si>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</si>
  <si>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</si>
  <si>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</si>
  <si>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</si>
  <si>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</si>
  <si>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</si>
  <si>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</si>
  <si>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</si>
  <si>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</si>
  <si>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</si>
  <si>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</si>
  <si>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</si>
  <si>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</si>
  <si>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</si>
  <si>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</si>
  <si>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</si>
  <si>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</si>
  <si>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</si>
  <si>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</si>
  <si>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</si>
  <si>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</si>
  <si>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</si>
  <si>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</si>
  <si>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</si>
  <si>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</si>
  <si>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</si>
  <si>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</si>
  <si>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</si>
  <si>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</si>
  <si>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</si>
  <si>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</si>
  <si>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</si>
  <si>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</si>
  <si>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</si>
  <si>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</si>
  <si>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</si>
  <si>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</si>
  <si>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</si>
  <si>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</si>
  <si>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</si>
  <si>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</si>
  <si>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</si>
  <si>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</si>
  <si>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</si>
  <si>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</si>
  <si>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</si>
  <si>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</si>
  <si>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</si>
  <si>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</si>
  <si>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</si>
  <si>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</si>
  <si>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</si>
  <si>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</si>
  <si>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</si>
  <si>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</si>
  <si>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</si>
  <si>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</si>
  <si>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</si>
  <si>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</si>
  <si>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</si>
  <si>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</si>
  <si>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</si>
  <si>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</si>
  <si>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</si>
  <si>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</si>
  <si>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</si>
  <si>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</si>
  <si>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</si>
  <si>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</si>
  <si>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</si>
  <si>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</si>
  <si>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</si>
  <si>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</si>
  <si>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</si>
  <si>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</si>
  <si>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</si>
  <si>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</si>
  <si>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</si>
  <si>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</si>
  <si>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</si>
  <si>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</si>
  <si>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</si>
  <si>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</si>
  <si>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</si>
  <si>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</si>
  <si>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</si>
  <si>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</si>
  <si>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</si>
  <si>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</si>
  <si>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</si>
  <si>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</si>
  <si>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</si>
  <si>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</si>
  <si>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</si>
  <si>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</si>
  <si>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</si>
  <si>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</si>
  <si>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</si>
  <si>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</si>
  <si>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</si>
  <si>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</si>
  <si>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</si>
  <si>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</si>
  <si>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</si>
  <si>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</si>
  <si>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</si>
  <si>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</si>
  <si>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</si>
  <si>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</si>
  <si>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</si>
  <si>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</si>
  <si>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</si>
  <si>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</si>
  <si>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</si>
  <si>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</si>
  <si>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</si>
  <si>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</si>
  <si>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</si>
  <si>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</si>
  <si>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</si>
  <si>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</si>
  <si>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</si>
  <si>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</si>
  <si>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</si>
  <si>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</si>
  <si>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</si>
  <si>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</si>
  <si>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</si>
  <si>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</si>
  <si>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</si>
  <si>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</si>
  <si>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</si>
  <si>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</si>
  <si>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</si>
  <si>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</si>
  <si>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</si>
  <si>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</si>
  <si>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</si>
  <si>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</si>
  <si>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</si>
  <si>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</si>
  <si>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</si>
  <si>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</si>
  <si>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</si>
  <si>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</si>
  <si>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</si>
  <si>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</si>
  <si>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</si>
  <si>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</si>
  <si>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</si>
  <si>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</si>
  <si>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</si>
  <si>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</si>
  <si>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</si>
  <si>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</si>
  <si>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</si>
  <si>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</si>
  <si>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</si>
  <si>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</si>
  <si>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</si>
  <si>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</si>
  <si>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</si>
  <si>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</si>
  <si>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</si>
  <si>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</si>
  <si>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</si>
  <si>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</si>
  <si>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</si>
  <si>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</si>
  <si>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</si>
  <si>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</si>
  <si>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</si>
  <si>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</si>
  <si>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</si>
  <si>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</si>
  <si>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</si>
  <si>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</si>
  <si>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</si>
  <si>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</si>
  <si>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</si>
  <si>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</si>
  <si>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</si>
  <si>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</si>
  <si>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</si>
  <si>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</si>
  <si>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</si>
  <si>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</si>
  <si>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</si>
  <si>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</si>
  <si>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</si>
  <si>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</si>
  <si>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</si>
  <si>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</si>
  <si>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</si>
  <si>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</si>
  <si>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</si>
  <si>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</si>
  <si>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</si>
  <si>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</si>
  <si>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</si>
  <si>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</si>
  <si>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</si>
  <si>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</si>
  <si>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</si>
  <si>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</si>
  <si>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</si>
  <si>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</si>
  <si>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</si>
  <si>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</si>
  <si>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</si>
  <si>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</si>
  <si>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</si>
  <si>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</si>
  <si>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</si>
  <si>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</si>
  <si>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</si>
  <si>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</si>
  <si>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</si>
  <si>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</si>
  <si>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</si>
  <si>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</si>
  <si>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</si>
  <si>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</si>
  <si>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</si>
  <si>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</si>
  <si>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</si>
  <si>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</si>
  <si>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</si>
  <si>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</si>
  <si>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</si>
  <si>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</si>
  <si>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</si>
  <si>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</si>
  <si>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</si>
  <si>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</si>
  <si>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</si>
  <si>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</si>
  <si>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</si>
  <si>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</si>
  <si>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</si>
  <si>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</si>
  <si>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</si>
  <si>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</si>
  <si>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</si>
  <si>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</si>
  <si>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</si>
  <si>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</si>
  <si>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</si>
  <si>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</si>
  <si>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</si>
  <si>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</si>
  <si>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</si>
  <si>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</si>
  <si>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</si>
  <si>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</si>
  <si>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</si>
  <si>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</si>
  <si>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</si>
  <si>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</si>
  <si>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</si>
  <si>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</si>
  <si>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</si>
  <si>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</si>
  <si>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</si>
  <si>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</si>
  <si>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</si>
  <si>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</si>
  <si>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</si>
  <si>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</si>
  <si>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</si>
  <si>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</si>
  <si>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</si>
  <si>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</si>
  <si>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</si>
  <si>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</si>
  <si>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</si>
  <si>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</si>
  <si>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</si>
  <si>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</si>
  <si>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</si>
  <si>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</si>
  <si>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</si>
  <si>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</si>
  <si>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</si>
  <si>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</si>
  <si>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</si>
  <si>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</si>
  <si>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</si>
  <si>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</si>
  <si>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</si>
  <si>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</si>
  <si>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</si>
  <si>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</si>
  <si>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</si>
  <si>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</si>
  <si>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</si>
  <si>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</si>
  <si>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</si>
  <si>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</si>
  <si>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</si>
  <si>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</si>
  <si>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</si>
  <si>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</si>
  <si>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</si>
  <si>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</si>
  <si>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</si>
  <si>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</si>
  <si>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</si>
  <si>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</si>
  <si>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</si>
  <si>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</si>
  <si>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</si>
  <si>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</si>
  <si>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</si>
  <si>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</si>
  <si>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</si>
  <si>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</si>
  <si>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</si>
  <si>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</si>
  <si>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</si>
  <si>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</si>
  <si>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</si>
  <si>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</si>
  <si>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</si>
  <si>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</si>
  <si>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</si>
  <si>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</si>
  <si>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</si>
  <si>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</si>
  <si>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</si>
  <si>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</si>
  <si>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</si>
  <si>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</si>
  <si>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</si>
  <si>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</si>
  <si>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</si>
  <si>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</si>
  <si>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</si>
  <si>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</si>
  <si>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</si>
  <si>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</si>
  <si>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</si>
  <si>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</si>
  <si>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</si>
  <si>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</si>
  <si>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</si>
  <si>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</si>
  <si>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</si>
  <si>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</si>
  <si>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</si>
  <si>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</si>
  <si>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</si>
  <si>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</si>
  <si>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</si>
  <si>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</si>
  <si>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</si>
  <si>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</si>
  <si>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</si>
  <si>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</si>
  <si>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</si>
  <si>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</si>
  <si>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</si>
  <si>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</si>
  <si>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</si>
  <si>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</si>
  <si>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</si>
  <si>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</si>
  <si>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</si>
  <si>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</si>
  <si>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</si>
  <si>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</si>
  <si>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</si>
  <si>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</si>
  <si>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</si>
  <si>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</si>
  <si>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</si>
  <si>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</si>
  <si>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</si>
  <si>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</si>
  <si>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</si>
  <si>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</si>
  <si>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</si>
  <si>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</si>
  <si>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</si>
  <si>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</si>
  <si>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</si>
  <si>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</si>
  <si>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</si>
  <si>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</si>
  <si>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</si>
  <si>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</si>
  <si>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</si>
  <si>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</si>
  <si>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</si>
  <si>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</si>
  <si>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</si>
  <si>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</si>
  <si>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</si>
  <si>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</si>
  <si>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</si>
  <si>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</si>
  <si>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</si>
  <si>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</si>
  <si>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</si>
  <si>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</si>
  <si>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</si>
  <si>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</si>
  <si>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</si>
  <si>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</si>
  <si>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</si>
  <si>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</si>
  <si>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</si>
  <si>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</si>
  <si>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</si>
  <si>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</si>
  <si>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</si>
  <si>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</si>
  <si>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</si>
  <si>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</si>
  <si>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</si>
  <si>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</si>
  <si>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</si>
  <si>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</si>
  <si>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</si>
  <si>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</si>
  <si>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</si>
  <si>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</si>
  <si>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</si>
  <si>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</si>
  <si>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</si>
  <si>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</si>
  <si>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</si>
  <si>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</si>
  <si>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</si>
  <si>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</si>
  <si>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</si>
  <si>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</si>
  <si>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</si>
  <si>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</si>
  <si>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</si>
  <si>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</si>
  <si>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</si>
  <si>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</si>
  <si>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</si>
  <si>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</si>
  <si>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</si>
  <si>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</si>
  <si>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</si>
  <si>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</si>
  <si>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</si>
  <si>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</si>
  <si>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</si>
  <si>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</si>
  <si>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</si>
  <si>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</si>
  <si>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</si>
  <si>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</si>
  <si>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</si>
  <si>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</si>
  <si>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</si>
  <si>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</si>
  <si>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</si>
  <si>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</si>
  <si>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</si>
  <si>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</si>
  <si>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</si>
  <si>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</si>
  <si>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</si>
  <si>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</si>
  <si>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</si>
  <si>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</si>
  <si>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</si>
  <si>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</si>
  <si>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</si>
  <si>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</si>
  <si>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</si>
  <si>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</si>
  <si>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</si>
  <si>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</si>
  <si>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</si>
  <si>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</si>
  <si>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</si>
  <si>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</si>
  <si>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</si>
  <si>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</si>
  <si>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</si>
  <si>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</si>
  <si>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</si>
  <si>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</si>
  <si>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</si>
  <si>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</si>
  <si>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</si>
  <si>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</si>
  <si>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</si>
  <si>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</si>
  <si>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</si>
  <si>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</si>
  <si>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</si>
  <si>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</si>
  <si>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</si>
  <si>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</si>
  <si>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</si>
  <si>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</si>
  <si>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</si>
  <si>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</si>
  <si>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</si>
  <si>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</si>
  <si>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</si>
  <si>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</si>
  <si>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</si>
  <si>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</si>
  <si>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</si>
  <si>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</si>
  <si>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</si>
  <si>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</si>
  <si>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</si>
  <si>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</si>
  <si>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</si>
  <si>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</si>
  <si>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</si>
  <si>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</si>
  <si>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</si>
  <si>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46020</t>
  </si>
  <si>
    <t>SINT-GILLIS-WAAS</t>
  </si>
  <si>
    <t>Mestbank (maart 2019)</t>
  </si>
  <si>
    <t>Fluvius (februari 2019)</t>
  </si>
  <si>
    <t>referentietaak LNE (2017); Jaarverslag De Lijn (2018)</t>
  </si>
  <si>
    <t>VEA (30 april 2019)</t>
  </si>
  <si>
    <t>VEA (mei 2018)</t>
  </si>
  <si>
    <t>VEA (mei 2019)</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</si>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</sst>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149887.63221849067</c:v>
                </c:pt>
                <c:pt idx="1">
                  <c:v>32911.786827933538</c:v>
                </c:pt>
                <c:pt idx="2">
                  <c:v>1088.921</c:v>
                </c:pt>
                <c:pt idx="3">
                  <c:v>72498.425203098624</c:v>
                </c:pt>
                <c:pt idx="4">
                  <c:v>20317.676208536312</c:v>
                </c:pt>
                <c:pt idx="5">
                  <c:v>209406.15795443559</c:v>
                </c:pt>
                <c:pt idx="6">
                  <c:v>1844.0368522302649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149887.63221849067</c:v>
                </c:pt>
                <c:pt idx="1">
                  <c:v>32911.786827933538</c:v>
                </c:pt>
                <c:pt idx="2">
                  <c:v>1088.921</c:v>
                </c:pt>
                <c:pt idx="3">
                  <c:v>72498.425203098624</c:v>
                </c:pt>
                <c:pt idx="4">
                  <c:v>20317.676208536312</c:v>
                </c:pt>
                <c:pt idx="5">
                  <c:v>209406.15795443559</c:v>
                </c:pt>
                <c:pt idx="6">
                  <c:v>1844.0368522302649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27087.903059095541</c:v>
                </c:pt>
                <c:pt idx="1">
                  <c:v>7226.3431277396185</c:v>
                </c:pt>
                <c:pt idx="2">
                  <c:v>278.79107222619228</c:v>
                </c:pt>
                <c:pt idx="3">
                  <c:v>18160.122170487968</c:v>
                </c:pt>
                <c:pt idx="4">
                  <c:v>4649.4068508877563</c:v>
                </c:pt>
                <c:pt idx="5">
                  <c:v>52200.420282455467</c:v>
                </c:pt>
                <c:pt idx="6">
                  <c:v>466.43341853526795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27087.903059095541</c:v>
                </c:pt>
                <c:pt idx="1">
                  <c:v>7226.3431277396185</c:v>
                </c:pt>
                <c:pt idx="2">
                  <c:v>278.79107222619228</c:v>
                </c:pt>
                <c:pt idx="3">
                  <c:v>18160.122170487968</c:v>
                </c:pt>
                <c:pt idx="4">
                  <c:v>4649.4068508877563</c:v>
                </c:pt>
                <c:pt idx="5">
                  <c:v>52200.420282455467</c:v>
                </c:pt>
                <c:pt idx="6">
                  <c:v>466.43341853526795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0.25602506722360235</v>
      </c>
      <c r="C17" s="527">
        <f ca="1">'EF ele_warmte'!B22</f>
        <v>0.23764705882352954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0.25602506722360235</v>
      </c>
      <c r="C29" s="528">
        <f ca="1">'EF ele_warmte'!B22</f>
        <v>0.23764705882352954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7743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3632.57</v>
      </c>
    </row>
    <row r="15" spans="1:6">
      <c r="A15" s="348" t="s">
        <v>183</v>
      </c>
      <c r="B15" s="334">
        <v>20</v>
      </c>
    </row>
    <row r="16" spans="1:6">
      <c r="A16" s="348" t="s">
        <v>6</v>
      </c>
      <c r="B16" s="334">
        <v>813</v>
      </c>
    </row>
    <row r="17" spans="1:6">
      <c r="A17" s="348" t="s">
        <v>7</v>
      </c>
      <c r="B17" s="334">
        <v>803</v>
      </c>
    </row>
    <row r="18" spans="1:6">
      <c r="A18" s="348" t="s">
        <v>8</v>
      </c>
      <c r="B18" s="334">
        <v>1199</v>
      </c>
    </row>
    <row r="19" spans="1:6">
      <c r="A19" s="348" t="s">
        <v>9</v>
      </c>
      <c r="B19" s="334">
        <v>1219</v>
      </c>
    </row>
    <row r="20" spans="1:6">
      <c r="A20" s="348" t="s">
        <v>10</v>
      </c>
      <c r="B20" s="334">
        <v>820</v>
      </c>
    </row>
    <row r="21" spans="1:6">
      <c r="A21" s="348" t="s">
        <v>11</v>
      </c>
      <c r="B21" s="334">
        <v>5710</v>
      </c>
    </row>
    <row r="22" spans="1:6">
      <c r="A22" s="348" t="s">
        <v>12</v>
      </c>
      <c r="B22" s="334">
        <v>26204</v>
      </c>
    </row>
    <row r="23" spans="1:6">
      <c r="A23" s="348" t="s">
        <v>13</v>
      </c>
      <c r="B23" s="334">
        <v>286</v>
      </c>
    </row>
    <row r="24" spans="1:6">
      <c r="A24" s="348" t="s">
        <v>14</v>
      </c>
      <c r="B24" s="334">
        <v>130</v>
      </c>
    </row>
    <row r="25" spans="1:6">
      <c r="A25" s="348" t="s">
        <v>15</v>
      </c>
      <c r="B25" s="334">
        <v>1132</v>
      </c>
    </row>
    <row r="26" spans="1:6">
      <c r="A26" s="348" t="s">
        <v>16</v>
      </c>
      <c r="B26" s="334">
        <v>212</v>
      </c>
    </row>
    <row r="27" spans="1:6">
      <c r="A27" s="348" t="s">
        <v>17</v>
      </c>
      <c r="B27" s="334">
        <v>4894</v>
      </c>
    </row>
    <row r="28" spans="1:6" s="356" customFormat="1">
      <c r="A28" s="355" t="s">
        <v>18</v>
      </c>
      <c r="B28" s="355">
        <v>403903</v>
      </c>
    </row>
    <row r="29" spans="1:6">
      <c r="A29" s="355" t="s">
        <v>713</v>
      </c>
      <c r="B29" s="355">
        <v>323</v>
      </c>
      <c r="C29" s="356"/>
      <c r="D29" s="356"/>
      <c r="E29" s="356"/>
      <c r="F29" s="356"/>
    </row>
    <row r="30" spans="1:6">
      <c r="A30" s="341" t="s">
        <v>714</v>
      </c>
      <c r="B30" s="341">
        <v>92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280714.10100000002</v>
      </c>
      <c r="E38" s="334">
        <v>5</v>
      </c>
      <c r="F38" s="334">
        <v>147325.67499999999</v>
      </c>
    </row>
    <row r="39" spans="1:6">
      <c r="A39" s="348" t="s">
        <v>29</v>
      </c>
      <c r="B39" s="348" t="s">
        <v>30</v>
      </c>
      <c r="C39" s="334">
        <v>5691</v>
      </c>
      <c r="D39" s="334">
        <v>87258577.400000006</v>
      </c>
      <c r="E39" s="334">
        <v>7551</v>
      </c>
      <c r="F39" s="334">
        <v>27473992.949999999</v>
      </c>
    </row>
    <row r="40" spans="1:6">
      <c r="A40" s="348" t="s">
        <v>29</v>
      </c>
      <c r="B40" s="348" t="s">
        <v>28</v>
      </c>
      <c r="C40" s="334">
        <v>1</v>
      </c>
      <c r="D40" s="334">
        <v>33613.809000000001</v>
      </c>
      <c r="E40" s="334">
        <v>0</v>
      </c>
      <c r="F40" s="334">
        <v>0</v>
      </c>
    </row>
    <row r="41" spans="1:6">
      <c r="A41" s="348" t="s">
        <v>31</v>
      </c>
      <c r="B41" s="348" t="s">
        <v>32</v>
      </c>
      <c r="C41" s="334">
        <v>102</v>
      </c>
      <c r="D41" s="334">
        <v>2058985.7620000001</v>
      </c>
      <c r="E41" s="334">
        <v>170</v>
      </c>
      <c r="F41" s="334">
        <v>2746305.7910000002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39157.680999999997</v>
      </c>
      <c r="E44" s="334">
        <v>19</v>
      </c>
      <c r="F44" s="334">
        <v>654576.87899999996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28</v>
      </c>
      <c r="D48" s="334">
        <v>6497601.8380000005</v>
      </c>
      <c r="E48" s="334">
        <v>39</v>
      </c>
      <c r="F48" s="334">
        <v>2137175.9419999998</v>
      </c>
    </row>
    <row r="49" spans="1:6">
      <c r="A49" s="348" t="s">
        <v>31</v>
      </c>
      <c r="B49" s="348" t="s">
        <v>39</v>
      </c>
      <c r="C49" s="334">
        <v>0</v>
      </c>
      <c r="D49" s="334">
        <v>0</v>
      </c>
      <c r="E49" s="334">
        <v>0</v>
      </c>
      <c r="F49" s="334">
        <v>0</v>
      </c>
    </row>
    <row r="50" spans="1:6">
      <c r="A50" s="348" t="s">
        <v>31</v>
      </c>
      <c r="B50" s="348" t="s">
        <v>40</v>
      </c>
      <c r="C50" s="334">
        <v>10</v>
      </c>
      <c r="D50" s="334">
        <v>680267.62399999995</v>
      </c>
      <c r="E50" s="334">
        <v>17</v>
      </c>
      <c r="F50" s="334">
        <v>2261228.4700000002</v>
      </c>
    </row>
    <row r="51" spans="1:6">
      <c r="A51" s="348" t="s">
        <v>41</v>
      </c>
      <c r="B51" s="348" t="s">
        <v>42</v>
      </c>
      <c r="C51" s="334">
        <v>36</v>
      </c>
      <c r="D51" s="334">
        <v>22367016.960000001</v>
      </c>
      <c r="E51" s="334">
        <v>162</v>
      </c>
      <c r="F51" s="334">
        <v>5925818.5810000002</v>
      </c>
    </row>
    <row r="52" spans="1:6">
      <c r="A52" s="348" t="s">
        <v>41</v>
      </c>
      <c r="B52" s="348" t="s">
        <v>28</v>
      </c>
      <c r="C52" s="334">
        <v>8</v>
      </c>
      <c r="D52" s="334">
        <v>236512.32199999999</v>
      </c>
      <c r="E52" s="334">
        <v>10</v>
      </c>
      <c r="F52" s="334">
        <v>126540.425</v>
      </c>
    </row>
    <row r="53" spans="1:6">
      <c r="A53" s="348" t="s">
        <v>43</v>
      </c>
      <c r="B53" s="348" t="s">
        <v>44</v>
      </c>
      <c r="C53" s="334">
        <v>123</v>
      </c>
      <c r="D53" s="334">
        <v>3031040.69</v>
      </c>
      <c r="E53" s="334">
        <v>307</v>
      </c>
      <c r="F53" s="334">
        <v>1557441.37</v>
      </c>
    </row>
    <row r="54" spans="1:6">
      <c r="A54" s="348" t="s">
        <v>45</v>
      </c>
      <c r="B54" s="348" t="s">
        <v>46</v>
      </c>
      <c r="C54" s="334">
        <v>0</v>
      </c>
      <c r="D54" s="334">
        <v>0</v>
      </c>
      <c r="E54" s="334">
        <v>1</v>
      </c>
      <c r="F54" s="334">
        <v>1088921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62</v>
      </c>
      <c r="D57" s="334">
        <v>4871904.9359999998</v>
      </c>
      <c r="E57" s="334">
        <v>52</v>
      </c>
      <c r="F57" s="334">
        <v>715231.18500000006</v>
      </c>
    </row>
    <row r="58" spans="1:6">
      <c r="A58" s="348" t="s">
        <v>48</v>
      </c>
      <c r="B58" s="348" t="s">
        <v>50</v>
      </c>
      <c r="C58" s="334">
        <v>27</v>
      </c>
      <c r="D58" s="334">
        <v>523727.04599999997</v>
      </c>
      <c r="E58" s="334">
        <v>40</v>
      </c>
      <c r="F58" s="334">
        <v>234882.22</v>
      </c>
    </row>
    <row r="59" spans="1:6">
      <c r="A59" s="348" t="s">
        <v>48</v>
      </c>
      <c r="B59" s="348" t="s">
        <v>51</v>
      </c>
      <c r="C59" s="334">
        <v>101</v>
      </c>
      <c r="D59" s="334">
        <v>3575479.3870000001</v>
      </c>
      <c r="E59" s="334">
        <v>172</v>
      </c>
      <c r="F59" s="334">
        <v>4461065.7470000004</v>
      </c>
    </row>
    <row r="60" spans="1:6">
      <c r="A60" s="348" t="s">
        <v>48</v>
      </c>
      <c r="B60" s="348" t="s">
        <v>52</v>
      </c>
      <c r="C60" s="334">
        <v>53</v>
      </c>
      <c r="D60" s="334">
        <v>1839703.32</v>
      </c>
      <c r="E60" s="334">
        <v>63</v>
      </c>
      <c r="F60" s="334">
        <v>1124292.101</v>
      </c>
    </row>
    <row r="61" spans="1:6">
      <c r="A61" s="348" t="s">
        <v>48</v>
      </c>
      <c r="B61" s="348" t="s">
        <v>53</v>
      </c>
      <c r="C61" s="334">
        <v>136</v>
      </c>
      <c r="D61" s="334">
        <v>5295868.9589999998</v>
      </c>
      <c r="E61" s="334">
        <v>247</v>
      </c>
      <c r="F61" s="334">
        <v>2782759.14</v>
      </c>
    </row>
    <row r="62" spans="1:6">
      <c r="A62" s="348" t="s">
        <v>48</v>
      </c>
      <c r="B62" s="348" t="s">
        <v>54</v>
      </c>
      <c r="C62" s="334">
        <v>5</v>
      </c>
      <c r="D62" s="334">
        <v>163030.554</v>
      </c>
      <c r="E62" s="334">
        <v>15</v>
      </c>
      <c r="F62" s="334">
        <v>205518.58900000001</v>
      </c>
    </row>
    <row r="63" spans="1:6">
      <c r="A63" s="348" t="s">
        <v>48</v>
      </c>
      <c r="B63" s="348" t="s">
        <v>28</v>
      </c>
      <c r="C63" s="334">
        <v>99</v>
      </c>
      <c r="D63" s="334">
        <v>4888941.8389999997</v>
      </c>
      <c r="E63" s="334">
        <v>112</v>
      </c>
      <c r="F63" s="334">
        <v>2113890.952</v>
      </c>
    </row>
    <row r="64" spans="1:6">
      <c r="A64" s="348" t="s">
        <v>55</v>
      </c>
      <c r="B64" s="348" t="s">
        <v>56</v>
      </c>
      <c r="C64" s="334">
        <v>0</v>
      </c>
      <c r="D64" s="334">
        <v>0</v>
      </c>
      <c r="E64" s="334">
        <v>0</v>
      </c>
      <c r="F64" s="334">
        <v>0</v>
      </c>
    </row>
    <row r="65" spans="1:6">
      <c r="A65" s="348" t="s">
        <v>55</v>
      </c>
      <c r="B65" s="348" t="s">
        <v>28</v>
      </c>
      <c r="C65" s="334">
        <v>0</v>
      </c>
      <c r="D65" s="334">
        <v>0</v>
      </c>
      <c r="E65" s="334">
        <v>2</v>
      </c>
      <c r="F65" s="334">
        <v>9234.3070000000007</v>
      </c>
    </row>
    <row r="66" spans="1:6">
      <c r="A66" s="348" t="s">
        <v>55</v>
      </c>
      <c r="B66" s="348" t="s">
        <v>57</v>
      </c>
      <c r="C66" s="334">
        <v>0</v>
      </c>
      <c r="D66" s="334">
        <v>0</v>
      </c>
      <c r="E66" s="334">
        <v>5</v>
      </c>
      <c r="F66" s="334">
        <v>103163.10400000001</v>
      </c>
    </row>
    <row r="67" spans="1:6">
      <c r="A67" s="355" t="s">
        <v>55</v>
      </c>
      <c r="B67" s="355" t="s">
        <v>58</v>
      </c>
      <c r="C67" s="334">
        <v>0</v>
      </c>
      <c r="D67" s="334">
        <v>0</v>
      </c>
      <c r="E67" s="334">
        <v>0</v>
      </c>
      <c r="F67" s="334">
        <v>0</v>
      </c>
    </row>
    <row r="68" spans="1:6">
      <c r="A68" s="341" t="s">
        <v>55</v>
      </c>
      <c r="B68" s="341" t="s">
        <v>59</v>
      </c>
      <c r="C68" s="334">
        <v>10</v>
      </c>
      <c r="D68" s="334">
        <v>244987.46599999999</v>
      </c>
      <c r="E68" s="334">
        <v>22</v>
      </c>
      <c r="F68" s="334">
        <v>197223.16699999999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29881128</v>
      </c>
      <c r="E73" s="476"/>
    </row>
    <row r="74" spans="1:6">
      <c r="A74" s="348" t="s">
        <v>63</v>
      </c>
      <c r="B74" s="348" t="s">
        <v>651</v>
      </c>
      <c r="C74" s="1307" t="s">
        <v>653</v>
      </c>
      <c r="D74" s="476">
        <v>4119233.5</v>
      </c>
      <c r="E74" s="476"/>
    </row>
    <row r="75" spans="1:6">
      <c r="A75" s="348" t="s">
        <v>64</v>
      </c>
      <c r="B75" s="348" t="s">
        <v>650</v>
      </c>
      <c r="C75" s="1307" t="s">
        <v>654</v>
      </c>
      <c r="D75" s="476">
        <v>56411435</v>
      </c>
      <c r="E75" s="476"/>
    </row>
    <row r="76" spans="1:6">
      <c r="A76" s="348" t="s">
        <v>64</v>
      </c>
      <c r="B76" s="348" t="s">
        <v>651</v>
      </c>
      <c r="C76" s="1307" t="s">
        <v>655</v>
      </c>
      <c r="D76" s="476">
        <v>3324425.5</v>
      </c>
      <c r="E76" s="476"/>
    </row>
    <row r="77" spans="1:6">
      <c r="A77" s="348" t="s">
        <v>65</v>
      </c>
      <c r="B77" s="348" t="s">
        <v>650</v>
      </c>
      <c r="C77" s="1307" t="s">
        <v>656</v>
      </c>
      <c r="D77" s="476">
        <v>87961837</v>
      </c>
      <c r="E77" s="476"/>
    </row>
    <row r="78" spans="1:6">
      <c r="A78" s="341" t="s">
        <v>65</v>
      </c>
      <c r="B78" s="341" t="s">
        <v>651</v>
      </c>
      <c r="C78" s="341" t="s">
        <v>657</v>
      </c>
      <c r="D78" s="1308">
        <v>22142360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512297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14389.762934246915</v>
      </c>
    </row>
    <row r="91" spans="1:6">
      <c r="A91" s="348" t="s">
        <v>67</v>
      </c>
      <c r="B91" s="334">
        <v>5964.7189880876349</v>
      </c>
    </row>
    <row r="92" spans="1:6">
      <c r="A92" s="341" t="s">
        <v>68</v>
      </c>
      <c r="B92" s="342">
        <v>2490.882818746577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3398</v>
      </c>
    </row>
    <row r="98" spans="1:6">
      <c r="A98" s="348" t="s">
        <v>71</v>
      </c>
      <c r="B98" s="334">
        <v>2</v>
      </c>
    </row>
    <row r="99" spans="1:6">
      <c r="A99" s="348" t="s">
        <v>72</v>
      </c>
      <c r="B99" s="334">
        <v>114</v>
      </c>
    </row>
    <row r="100" spans="1:6">
      <c r="A100" s="348" t="s">
        <v>73</v>
      </c>
      <c r="B100" s="334">
        <v>499</v>
      </c>
    </row>
    <row r="101" spans="1:6">
      <c r="A101" s="348" t="s">
        <v>74</v>
      </c>
      <c r="B101" s="334">
        <v>141</v>
      </c>
    </row>
    <row r="102" spans="1:6">
      <c r="A102" s="348" t="s">
        <v>75</v>
      </c>
      <c r="B102" s="334">
        <v>152</v>
      </c>
    </row>
    <row r="103" spans="1:6">
      <c r="A103" s="348" t="s">
        <v>76</v>
      </c>
      <c r="B103" s="334">
        <v>229</v>
      </c>
    </row>
    <row r="104" spans="1:6">
      <c r="A104" s="348" t="s">
        <v>77</v>
      </c>
      <c r="B104" s="334">
        <v>1855</v>
      </c>
    </row>
    <row r="105" spans="1:6">
      <c r="A105" s="341" t="s">
        <v>78</v>
      </c>
      <c r="B105" s="341">
        <v>18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72</v>
      </c>
      <c r="C123" s="334">
        <v>42</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148</v>
      </c>
    </row>
    <row r="130" spans="1:6">
      <c r="A130" s="348" t="s">
        <v>294</v>
      </c>
      <c r="B130" s="334">
        <v>1</v>
      </c>
    </row>
    <row r="131" spans="1:6">
      <c r="A131" s="348" t="s">
        <v>295</v>
      </c>
      <c r="B131" s="334">
        <v>0</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61779.240150087637</v>
      </c>
      <c r="C3" s="43" t="s">
        <v>169</v>
      </c>
      <c r="D3" s="43"/>
      <c r="E3" s="154"/>
      <c r="F3" s="43"/>
      <c r="G3" s="43"/>
      <c r="H3" s="43"/>
      <c r="I3" s="43"/>
      <c r="J3" s="43"/>
      <c r="K3" s="96"/>
    </row>
    <row r="4" spans="1:11">
      <c r="A4" s="383" t="s">
        <v>170</v>
      </c>
      <c r="B4" s="49">
        <f>IF(ISERROR('SEAP template'!B78),0,'SEAP template'!B78)</f>
        <v>22845.364741081128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7212.6476470588241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0.25602506722360235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10303.782352941182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43357.5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0.23764705882352954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1088.921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1088.921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0.25602506722360235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278.79107222619228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27473.99295</v>
      </c>
      <c r="C5" s="17">
        <f>IF(ISERROR('Eigen informatie GS &amp; warmtenet'!B59),0,'Eigen informatie GS &amp; warmtenet'!B59)</f>
        <v>0</v>
      </c>
      <c r="D5" s="30">
        <f>(SUM(HH_hh_gas_kWh,HH_rest_gas_kWh)/1000)*0.902</f>
        <v>78737.556470518015</v>
      </c>
      <c r="E5" s="17">
        <f>B46*B57</f>
        <v>11549.639560490499</v>
      </c>
      <c r="F5" s="17">
        <f>B51*B62</f>
        <v>0</v>
      </c>
      <c r="G5" s="18"/>
      <c r="H5" s="17"/>
      <c r="I5" s="17"/>
      <c r="J5" s="17">
        <f>B50*B61+C50*C61</f>
        <v>0</v>
      </c>
      <c r="K5" s="17"/>
      <c r="L5" s="17"/>
      <c r="M5" s="17"/>
      <c r="N5" s="17">
        <f>B48*B59+C48*C59</f>
        <v>24720.842297634805</v>
      </c>
      <c r="O5" s="17">
        <f>B69*B70*B71</f>
        <v>376.95206168353604</v>
      </c>
      <c r="P5" s="17">
        <f>B77*B78*B79/1000-B77*B78*B79/1000/B80</f>
        <v>1063.9298900761873</v>
      </c>
    </row>
    <row r="6" spans="1:16">
      <c r="A6" s="16" t="s">
        <v>615</v>
      </c>
      <c r="B6" s="809">
        <f>kWh_PV_kleiner_dan_10kW</f>
        <v>5964.7189880876349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33438.711938087632</v>
      </c>
      <c r="C8" s="21">
        <f>C5</f>
        <v>0</v>
      </c>
      <c r="D8" s="21">
        <f>D5</f>
        <v>78737.556470518015</v>
      </c>
      <c r="E8" s="21">
        <f>E5</f>
        <v>11549.639560490499</v>
      </c>
      <c r="F8" s="21">
        <f>F5</f>
        <v>0</v>
      </c>
      <c r="G8" s="21"/>
      <c r="H8" s="21"/>
      <c r="I8" s="21"/>
      <c r="J8" s="21">
        <f>J5</f>
        <v>0</v>
      </c>
      <c r="K8" s="21"/>
      <c r="L8" s="21">
        <f>L5</f>
        <v>0</v>
      </c>
      <c r="M8" s="21">
        <f>M5</f>
        <v>0</v>
      </c>
      <c r="N8" s="21">
        <f>N5</f>
        <v>24720.842297634805</v>
      </c>
      <c r="O8" s="21">
        <f>O5</f>
        <v>376.95206168353604</v>
      </c>
      <c r="P8" s="21">
        <f>P5</f>
        <v>1063.9298900761873</v>
      </c>
    </row>
    <row r="9" spans="1:16">
      <c r="B9" s="19"/>
      <c r="C9" s="19"/>
      <c r="D9" s="258"/>
      <c r="E9" s="19"/>
      <c r="F9" s="19"/>
      <c r="G9" s="19"/>
      <c r="H9" s="19"/>
      <c r="I9" s="19"/>
      <c r="J9" s="19"/>
      <c r="K9" s="19"/>
      <c r="L9" s="19"/>
      <c r="M9" s="19"/>
      <c r="N9" s="19"/>
      <c r="O9" s="19"/>
      <c r="P9" s="19"/>
    </row>
    <row r="10" spans="1:16">
      <c r="A10" s="24" t="s">
        <v>213</v>
      </c>
      <c r="B10" s="25">
        <f ca="1">'EF ele_warmte'!B12</f>
        <v>0.25602506722360235</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8561.1484718195607</v>
      </c>
      <c r="C12" s="23">
        <f ca="1">C10*C8</f>
        <v>0</v>
      </c>
      <c r="D12" s="23">
        <f>D8*D10</f>
        <v>15904.98640704464</v>
      </c>
      <c r="E12" s="23">
        <f>E10*E8</f>
        <v>2621.7681802313432</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3398</v>
      </c>
      <c r="C18" s="166" t="s">
        <v>110</v>
      </c>
      <c r="D18" s="228"/>
      <c r="E18" s="15"/>
    </row>
    <row r="19" spans="1:7">
      <c r="A19" s="171" t="s">
        <v>71</v>
      </c>
      <c r="B19" s="37">
        <f>aantalw2001_ander</f>
        <v>2</v>
      </c>
      <c r="C19" s="166" t="s">
        <v>110</v>
      </c>
      <c r="D19" s="229"/>
      <c r="E19" s="15"/>
    </row>
    <row r="20" spans="1:7">
      <c r="A20" s="171" t="s">
        <v>72</v>
      </c>
      <c r="B20" s="37">
        <f>aantalw2001_propaan</f>
        <v>114</v>
      </c>
      <c r="C20" s="167">
        <f>IF(ISERROR(B20/SUM($B$20,$B$21,$B$22)*100),0,B20/SUM($B$20,$B$21,$B$22)*100)</f>
        <v>15.119363395225463</v>
      </c>
      <c r="D20" s="229"/>
      <c r="E20" s="15"/>
    </row>
    <row r="21" spans="1:7">
      <c r="A21" s="171" t="s">
        <v>73</v>
      </c>
      <c r="B21" s="37">
        <f>aantalw2001_elektriciteit</f>
        <v>499</v>
      </c>
      <c r="C21" s="167">
        <f>IF(ISERROR(B21/SUM($B$20,$B$21,$B$22)*100),0,B21/SUM($B$20,$B$21,$B$22)*100)</f>
        <v>66.180371352785144</v>
      </c>
      <c r="D21" s="229"/>
      <c r="E21" s="15"/>
    </row>
    <row r="22" spans="1:7">
      <c r="A22" s="171" t="s">
        <v>74</v>
      </c>
      <c r="B22" s="37">
        <f>aantalw2001_hout</f>
        <v>141</v>
      </c>
      <c r="C22" s="167">
        <f>IF(ISERROR(B22/SUM($B$20,$B$21,$B$22)*100),0,B22/SUM($B$20,$B$21,$B$22)*100)</f>
        <v>18.700265251989389</v>
      </c>
      <c r="D22" s="229"/>
      <c r="E22" s="15"/>
    </row>
    <row r="23" spans="1:7">
      <c r="A23" s="171" t="s">
        <v>75</v>
      </c>
      <c r="B23" s="37">
        <f>aantalw2001_niet_gespec</f>
        <v>152</v>
      </c>
      <c r="C23" s="166" t="s">
        <v>110</v>
      </c>
      <c r="D23" s="228"/>
      <c r="E23" s="15"/>
    </row>
    <row r="24" spans="1:7">
      <c r="A24" s="171" t="s">
        <v>76</v>
      </c>
      <c r="B24" s="37">
        <f>aantalw2001_steenkool</f>
        <v>229</v>
      </c>
      <c r="C24" s="166" t="s">
        <v>110</v>
      </c>
      <c r="D24" s="229"/>
      <c r="E24" s="15"/>
    </row>
    <row r="25" spans="1:7">
      <c r="A25" s="171" t="s">
        <v>77</v>
      </c>
      <c r="B25" s="37">
        <f>aantalw2001_stookolie</f>
        <v>1855</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837</v>
      </c>
      <c r="B28" s="37">
        <f>aantalHuishoudens2011</f>
        <v>7743</v>
      </c>
      <c r="C28" s="36"/>
      <c r="D28" s="228"/>
    </row>
    <row r="29" spans="1:7" s="15" customFormat="1">
      <c r="A29" s="230" t="s">
        <v>838</v>
      </c>
      <c r="B29" s="37">
        <f>SUM(HH_hh_gas_aantal,HH_rest_gas_aantal)</f>
        <v>5692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5692</v>
      </c>
      <c r="C32" s="167">
        <f>IF(ISERROR(B32/SUM($B$32,$B$34,$B$35,$B$36,$B$38,$B$39)*100),0,B32/SUM($B$32,$B$34,$B$35,$B$36,$B$38,$B$39)*100)</f>
        <v>74.483119602198371</v>
      </c>
      <c r="D32" s="233"/>
      <c r="G32" s="15"/>
    </row>
    <row r="33" spans="1:7">
      <c r="A33" s="171" t="s">
        <v>71</v>
      </c>
      <c r="B33" s="34" t="s">
        <v>110</v>
      </c>
      <c r="C33" s="167"/>
      <c r="D33" s="233"/>
      <c r="G33" s="15"/>
    </row>
    <row r="34" spans="1:7">
      <c r="A34" s="171" t="s">
        <v>72</v>
      </c>
      <c r="B34" s="33">
        <f>IF((($B$28-$B$32-$B$39-$B$77-$B$38)*C20/100)&lt;0,0,($B$28-$B$32-$B$39-$B$77-$B$38)*C20/100)</f>
        <v>294.82758620689651</v>
      </c>
      <c r="C34" s="167">
        <f>IF(ISERROR(B34/SUM($B$32,$B$34,$B$35,$B$36,$B$38,$B$39)*100),0,B34/SUM($B$32,$B$34,$B$35,$B$36,$B$38,$B$39)*100)</f>
        <v>3.85798987446868</v>
      </c>
      <c r="D34" s="233"/>
      <c r="G34" s="15"/>
    </row>
    <row r="35" spans="1:7">
      <c r="A35" s="171" t="s">
        <v>73</v>
      </c>
      <c r="B35" s="33">
        <f>IF((($B$28-$B$32-$B$39-$B$77-$B$38)*C21/100)&lt;0,0,($B$28-$B$32-$B$39-$B$77-$B$38)*C21/100)</f>
        <v>1290.5172413793102</v>
      </c>
      <c r="C35" s="167">
        <f>IF(ISERROR(B35/SUM($B$32,$B$34,$B$35,$B$36,$B$38,$B$39)*100),0,B35/SUM($B$32,$B$34,$B$35,$B$36,$B$38,$B$39)*100)</f>
        <v>16.887166204911153</v>
      </c>
      <c r="D35" s="233"/>
      <c r="G35" s="15"/>
    </row>
    <row r="36" spans="1:7">
      <c r="A36" s="171" t="s">
        <v>74</v>
      </c>
      <c r="B36" s="33">
        <f>IF((($B$28-$B$32-$B$39-$B$77-$B$38)*C22/100)&lt;0,0,($B$28-$B$32-$B$39-$B$77-$B$38)*C22/100)</f>
        <v>364.65517241379314</v>
      </c>
      <c r="C36" s="167">
        <f>IF(ISERROR(B36/SUM($B$32,$B$34,$B$35,$B$36,$B$38,$B$39)*100),0,B36/SUM($B$32,$B$34,$B$35,$B$36,$B$38,$B$39)*100)</f>
        <v>4.7717243184217892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5692</v>
      </c>
      <c r="C44" s="34" t="s">
        <v>110</v>
      </c>
      <c r="D44" s="174"/>
    </row>
    <row r="45" spans="1:7">
      <c r="A45" s="171" t="s">
        <v>71</v>
      </c>
      <c r="B45" s="33" t="str">
        <f t="shared" si="0"/>
        <v>-</v>
      </c>
      <c r="C45" s="34" t="s">
        <v>110</v>
      </c>
      <c r="D45" s="174"/>
    </row>
    <row r="46" spans="1:7">
      <c r="A46" s="171" t="s">
        <v>72</v>
      </c>
      <c r="B46" s="33">
        <f t="shared" si="0"/>
        <v>294.82758620689651</v>
      </c>
      <c r="C46" s="34" t="s">
        <v>110</v>
      </c>
      <c r="D46" s="174"/>
    </row>
    <row r="47" spans="1:7">
      <c r="A47" s="171" t="s">
        <v>73</v>
      </c>
      <c r="B47" s="33">
        <f t="shared" si="0"/>
        <v>1290.5172413793102</v>
      </c>
      <c r="C47" s="34" t="s">
        <v>110</v>
      </c>
      <c r="D47" s="174"/>
    </row>
    <row r="48" spans="1:7">
      <c r="A48" s="171" t="s">
        <v>74</v>
      </c>
      <c r="B48" s="33">
        <f t="shared" si="0"/>
        <v>364.65517241379314</v>
      </c>
      <c r="C48" s="33">
        <f>B48*10</f>
        <v>3646.5517241379312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11637.639934000001</v>
      </c>
      <c r="C5" s="17">
        <f>IF(ISERROR('Eigen informatie GS &amp; warmtenet'!B60),0,'Eigen informatie GS &amp; warmtenet'!B60)</f>
        <v>0</v>
      </c>
      <c r="D5" s="30">
        <f>SUM(D6:D12)</f>
        <v>19085.107748981998</v>
      </c>
      <c r="E5" s="17">
        <f>SUM(E6:E12)</f>
        <v>188.25728793013946</v>
      </c>
      <c r="F5" s="17">
        <f>SUM(F6:F12)</f>
        <v>1299.0917749939258</v>
      </c>
      <c r="G5" s="18"/>
      <c r="H5" s="17"/>
      <c r="I5" s="17"/>
      <c r="J5" s="17">
        <f>SUM(J6:J12)</f>
        <v>1.6192963832786973E-2</v>
      </c>
      <c r="K5" s="17"/>
      <c r="L5" s="17"/>
      <c r="M5" s="17"/>
      <c r="N5" s="17">
        <f>SUM(N6:N12)</f>
        <v>638.94835168479813</v>
      </c>
      <c r="O5" s="17">
        <f>B38*B39*B40</f>
        <v>4.8972607658411542</v>
      </c>
      <c r="P5" s="17">
        <f>B46*B47*B48/1000-B46*B47*B48/1000/B49</f>
        <v>105.07827661299004</v>
      </c>
      <c r="R5" s="32"/>
    </row>
    <row r="6" spans="1:18">
      <c r="A6" s="32" t="s">
        <v>53</v>
      </c>
      <c r="B6" s="37">
        <f>B26</f>
        <v>2782.7591400000001</v>
      </c>
      <c r="C6" s="33"/>
      <c r="D6" s="37">
        <f>IF(ISERROR(TER_kantoor_gas_kWh/1000),0,TER_kantoor_gas_kWh/1000)*0.902</f>
        <v>4776.8738010179995</v>
      </c>
      <c r="E6" s="33">
        <f>$C$26*'E Balans VL '!I12/100/3.6*1000000</f>
        <v>22.391970576708271</v>
      </c>
      <c r="F6" s="33">
        <f>$C$26*('E Balans VL '!L12+'E Balans VL '!N12)/100/3.6*1000000</f>
        <v>340.22157855393652</v>
      </c>
      <c r="G6" s="34"/>
      <c r="H6" s="33"/>
      <c r="I6" s="33"/>
      <c r="J6" s="33">
        <f>$C$26*('E Balans VL '!D12+'E Balans VL '!E12)/100/3.6*1000000</f>
        <v>0</v>
      </c>
      <c r="K6" s="33"/>
      <c r="L6" s="33"/>
      <c r="M6" s="33"/>
      <c r="N6" s="33">
        <f>$C$26*'E Balans VL '!Y12/100/3.6*1000000</f>
        <v>1.4955960016943839</v>
      </c>
      <c r="O6" s="33"/>
      <c r="P6" s="33"/>
      <c r="R6" s="32"/>
    </row>
    <row r="7" spans="1:18">
      <c r="A7" s="32" t="s">
        <v>52</v>
      </c>
      <c r="B7" s="37">
        <f t="shared" ref="B7:B12" si="0">B27</f>
        <v>1124.292101</v>
      </c>
      <c r="C7" s="33"/>
      <c r="D7" s="37">
        <f>IF(ISERROR(TER_horeca_gas_kWh/1000),0,TER_horeca_gas_kWh/1000)*0.902</f>
        <v>1659.41239464</v>
      </c>
      <c r="E7" s="33">
        <f>$C$27*'E Balans VL '!I9/100/3.6*1000000</f>
        <v>12.072136386002111</v>
      </c>
      <c r="F7" s="33">
        <f>$C$27*('E Balans VL '!L9+'E Balans VL '!N9)/100/3.6*1000000</f>
        <v>135.22507713663174</v>
      </c>
      <c r="G7" s="34"/>
      <c r="H7" s="33"/>
      <c r="I7" s="33"/>
      <c r="J7" s="33">
        <f>$C$27*('E Balans VL '!D9+'E Balans VL '!E9)/100/3.6*1000000</f>
        <v>0</v>
      </c>
      <c r="K7" s="33"/>
      <c r="L7" s="33"/>
      <c r="M7" s="33"/>
      <c r="N7" s="33">
        <f>$C$27*'E Balans VL '!Y9/100/3.6*1000000</f>
        <v>0.16855417269527842</v>
      </c>
      <c r="O7" s="33"/>
      <c r="P7" s="33"/>
      <c r="R7" s="32"/>
    </row>
    <row r="8" spans="1:18">
      <c r="A8" s="6" t="s">
        <v>51</v>
      </c>
      <c r="B8" s="37">
        <f t="shared" si="0"/>
        <v>4461.0657470000006</v>
      </c>
      <c r="C8" s="33"/>
      <c r="D8" s="37">
        <f>IF(ISERROR(TER_handel_gas_kWh/1000),0,TER_handel_gas_kWh/1000)*0.902</f>
        <v>3225.0824070740005</v>
      </c>
      <c r="E8" s="33">
        <f>$C$28*'E Balans VL '!I13/100/3.6*1000000</f>
        <v>119.72134722918341</v>
      </c>
      <c r="F8" s="33">
        <f>$C$28*('E Balans VL '!L13+'E Balans VL '!N13)/100/3.6*1000000</f>
        <v>425.72316585536106</v>
      </c>
      <c r="G8" s="34"/>
      <c r="H8" s="33"/>
      <c r="I8" s="33"/>
      <c r="J8" s="33">
        <f>$C$28*('E Balans VL '!D13+'E Balans VL '!E13)/100/3.6*1000000</f>
        <v>0</v>
      </c>
      <c r="K8" s="33"/>
      <c r="L8" s="33"/>
      <c r="M8" s="33"/>
      <c r="N8" s="33">
        <f>$C$28*'E Balans VL '!Y13/100/3.6*1000000</f>
        <v>1.7684171861479989</v>
      </c>
      <c r="O8" s="33"/>
      <c r="P8" s="33"/>
      <c r="R8" s="32"/>
    </row>
    <row r="9" spans="1:18">
      <c r="A9" s="32" t="s">
        <v>50</v>
      </c>
      <c r="B9" s="37">
        <f t="shared" si="0"/>
        <v>234.88221999999999</v>
      </c>
      <c r="C9" s="33"/>
      <c r="D9" s="37">
        <f>IF(ISERROR(TER_gezond_gas_kWh/1000),0,TER_gezond_gas_kWh/1000)*0.902</f>
        <v>472.40179549199996</v>
      </c>
      <c r="E9" s="33">
        <f>$C$29*'E Balans VL '!I10/100/3.6*1000000</f>
        <v>0.44024576125192616</v>
      </c>
      <c r="F9" s="33">
        <f>$C$29*('E Balans VL '!L10+'E Balans VL '!N10)/100/3.6*1000000</f>
        <v>19.30946161912183</v>
      </c>
      <c r="G9" s="34"/>
      <c r="H9" s="33"/>
      <c r="I9" s="33"/>
      <c r="J9" s="33">
        <f>$C$29*('E Balans VL '!D10+'E Balans VL '!E10)/100/3.6*1000000</f>
        <v>0</v>
      </c>
      <c r="K9" s="33"/>
      <c r="L9" s="33"/>
      <c r="M9" s="33"/>
      <c r="N9" s="33">
        <f>$C$29*'E Balans VL '!Y10/100/3.6*1000000</f>
        <v>1.8275589189168728</v>
      </c>
      <c r="O9" s="33"/>
      <c r="P9" s="33"/>
      <c r="R9" s="32"/>
    </row>
    <row r="10" spans="1:18">
      <c r="A10" s="32" t="s">
        <v>49</v>
      </c>
      <c r="B10" s="37">
        <f t="shared" si="0"/>
        <v>715.2311850000001</v>
      </c>
      <c r="C10" s="33"/>
      <c r="D10" s="37">
        <f>IF(ISERROR(TER_ander_gas_kWh/1000),0,TER_ander_gas_kWh/1000)*0.902</f>
        <v>4394.4582522720002</v>
      </c>
      <c r="E10" s="33">
        <f>$C$30*'E Balans VL '!I14/100/3.6*1000000</f>
        <v>1.1025361190031171</v>
      </c>
      <c r="F10" s="33">
        <f>$C$30*('E Balans VL '!L14+'E Balans VL '!N14)/100/3.6*1000000</f>
        <v>111.03983892167423</v>
      </c>
      <c r="G10" s="34"/>
      <c r="H10" s="33"/>
      <c r="I10" s="33"/>
      <c r="J10" s="33">
        <f>$C$30*('E Balans VL '!D14+'E Balans VL '!E14)/100/3.6*1000000</f>
        <v>1.2141803665920315E-2</v>
      </c>
      <c r="K10" s="33"/>
      <c r="L10" s="33"/>
      <c r="M10" s="33"/>
      <c r="N10" s="33">
        <f>$C$30*'E Balans VL '!Y14/100/3.6*1000000</f>
        <v>473.17402900858923</v>
      </c>
      <c r="O10" s="33"/>
      <c r="P10" s="33"/>
      <c r="R10" s="32"/>
    </row>
    <row r="11" spans="1:18">
      <c r="A11" s="32" t="s">
        <v>54</v>
      </c>
      <c r="B11" s="37">
        <f t="shared" si="0"/>
        <v>205.51858900000002</v>
      </c>
      <c r="C11" s="33"/>
      <c r="D11" s="37">
        <f>IF(ISERROR(TER_onderwijs_gas_kWh/1000),0,TER_onderwijs_gas_kWh/1000)*0.902</f>
        <v>147.05355970799999</v>
      </c>
      <c r="E11" s="33">
        <f>$C$31*'E Balans VL '!I11/100/3.6*1000000</f>
        <v>5.2421277230609737</v>
      </c>
      <c r="F11" s="33">
        <f>$C$31*('E Balans VL '!L11+'E Balans VL '!N11)/100/3.6*1000000</f>
        <v>24.715544741874762</v>
      </c>
      <c r="G11" s="34"/>
      <c r="H11" s="33"/>
      <c r="I11" s="33"/>
      <c r="J11" s="33">
        <f>$C$31*('E Balans VL '!D11+'E Balans VL '!E11)/100/3.6*1000000</f>
        <v>0</v>
      </c>
      <c r="K11" s="33"/>
      <c r="L11" s="33"/>
      <c r="M11" s="33"/>
      <c r="N11" s="33">
        <f>$C$31*'E Balans VL '!Y11/100/3.6*1000000</f>
        <v>0.45706832723921847</v>
      </c>
      <c r="O11" s="33"/>
      <c r="P11" s="33"/>
      <c r="R11" s="32"/>
    </row>
    <row r="12" spans="1:18">
      <c r="A12" s="32" t="s">
        <v>259</v>
      </c>
      <c r="B12" s="37">
        <f t="shared" si="0"/>
        <v>2113.8909520000002</v>
      </c>
      <c r="C12" s="33"/>
      <c r="D12" s="37">
        <f>IF(ISERROR(TER_rest_gas_kWh/1000),0,TER_rest_gas_kWh/1000)*0.902</f>
        <v>4409.825538778</v>
      </c>
      <c r="E12" s="33">
        <f>$C$32*'E Balans VL '!I8/100/3.6*1000000</f>
        <v>27.286924134929656</v>
      </c>
      <c r="F12" s="33">
        <f>$C$32*('E Balans VL '!L8+'E Balans VL '!N8)/100/3.6*1000000</f>
        <v>242.85710816532568</v>
      </c>
      <c r="G12" s="34"/>
      <c r="H12" s="33"/>
      <c r="I12" s="33"/>
      <c r="J12" s="33">
        <f>$C$32*('E Balans VL '!D8+'E Balans VL '!E8)/100/3.6*1000000</f>
        <v>4.0511601668666575E-3</v>
      </c>
      <c r="K12" s="33"/>
      <c r="L12" s="33"/>
      <c r="M12" s="33"/>
      <c r="N12" s="33">
        <f>$C$32*'E Balans VL '!Y8/100/3.6*1000000</f>
        <v>160.05712806951519</v>
      </c>
      <c r="O12" s="33"/>
      <c r="P12" s="33"/>
      <c r="R12" s="32"/>
    </row>
    <row r="13" spans="1:18">
      <c r="A13" s="16" t="s">
        <v>482</v>
      </c>
      <c r="B13" s="247">
        <f ca="1">'lokale energieproductie'!N91+'lokale energieproductie'!N60</f>
        <v>110.25</v>
      </c>
      <c r="C13" s="247">
        <f ca="1">'lokale energieproductie'!O91+'lokale energieproductie'!O60</f>
        <v>157.5</v>
      </c>
      <c r="D13" s="310">
        <f ca="1">('lokale energieproductie'!P60+'lokale energieproductie'!P91)*(-1)</f>
        <v>-315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11747.889934000001</v>
      </c>
      <c r="C16" s="21">
        <f t="shared" ca="1" si="1"/>
        <v>157.5</v>
      </c>
      <c r="D16" s="21">
        <f t="shared" ca="1" si="1"/>
        <v>18770.107748981998</v>
      </c>
      <c r="E16" s="21">
        <f t="shared" si="1"/>
        <v>188.25728793013946</v>
      </c>
      <c r="F16" s="21">
        <f t="shared" ca="1" si="1"/>
        <v>1299.0917749939258</v>
      </c>
      <c r="G16" s="21">
        <f t="shared" si="1"/>
        <v>0</v>
      </c>
      <c r="H16" s="21">
        <f t="shared" si="1"/>
        <v>0</v>
      </c>
      <c r="I16" s="21">
        <f t="shared" si="1"/>
        <v>0</v>
      </c>
      <c r="J16" s="21">
        <f t="shared" si="1"/>
        <v>1.6192963832786973E-2</v>
      </c>
      <c r="K16" s="21">
        <f t="shared" si="1"/>
        <v>0</v>
      </c>
      <c r="L16" s="21">
        <f t="shared" ca="1" si="1"/>
        <v>0</v>
      </c>
      <c r="M16" s="21">
        <f t="shared" si="1"/>
        <v>0</v>
      </c>
      <c r="N16" s="21">
        <f t="shared" ca="1" si="1"/>
        <v>638.94835168479813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0.25602506722360235</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3007.7543100878315</v>
      </c>
      <c r="C20" s="23">
        <f t="shared" ref="C20:P20" ca="1" si="2">C16*C18</f>
        <v>37.429411764705904</v>
      </c>
      <c r="D20" s="23">
        <f t="shared" ca="1" si="2"/>
        <v>3791.5617652943638</v>
      </c>
      <c r="E20" s="23">
        <f t="shared" si="2"/>
        <v>42.73440436014166</v>
      </c>
      <c r="F20" s="23">
        <f t="shared" ca="1" si="2"/>
        <v>346.8575039233782</v>
      </c>
      <c r="G20" s="23">
        <f t="shared" si="2"/>
        <v>0</v>
      </c>
      <c r="H20" s="23">
        <f t="shared" si="2"/>
        <v>0</v>
      </c>
      <c r="I20" s="23">
        <f t="shared" si="2"/>
        <v>0</v>
      </c>
      <c r="J20" s="23">
        <f t="shared" si="2"/>
        <v>5.7323091968065881E-3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2782.7591400000001</v>
      </c>
      <c r="C26" s="39">
        <f>IF(ISERROR(B26*3.6/1000000/'E Balans VL '!Z12*100),0,B26*3.6/1000000/'E Balans VL '!Z12*100)</f>
        <v>5.9033689222845652E-2</v>
      </c>
      <c r="D26" s="237" t="s">
        <v>716</v>
      </c>
      <c r="F26" s="6"/>
    </row>
    <row r="27" spans="1:18">
      <c r="A27" s="231" t="s">
        <v>52</v>
      </c>
      <c r="B27" s="33">
        <f>IF(ISERROR(TER_horeca_ele_kWh/1000),0,TER_horeca_ele_kWh/1000)</f>
        <v>1124.292101</v>
      </c>
      <c r="C27" s="39">
        <f>IF(ISERROR(B27*3.6/1000000/'E Balans VL '!Z9*100),0,B27*3.6/1000000/'E Balans VL '!Z9*100)</f>
        <v>8.4669154754249368E-2</v>
      </c>
      <c r="D27" s="237" t="s">
        <v>716</v>
      </c>
      <c r="F27" s="6"/>
    </row>
    <row r="28" spans="1:18">
      <c r="A28" s="171" t="s">
        <v>51</v>
      </c>
      <c r="B28" s="33">
        <f>IF(ISERROR(TER_handel_ele_kWh/1000),0,TER_handel_ele_kWh/1000)</f>
        <v>4461.0657470000006</v>
      </c>
      <c r="C28" s="39">
        <f>IF(ISERROR(B28*3.6/1000000/'E Balans VL '!Z13*100),0,B28*3.6/1000000/'E Balans VL '!Z13*100)</f>
        <v>0.12948893184619423</v>
      </c>
      <c r="D28" s="237" t="s">
        <v>716</v>
      </c>
      <c r="F28" s="6"/>
    </row>
    <row r="29" spans="1:18">
      <c r="A29" s="231" t="s">
        <v>50</v>
      </c>
      <c r="B29" s="33">
        <f>IF(ISERROR(TER_gezond_ele_kWh/1000),0,TER_gezond_ele_kWh/1000)</f>
        <v>234.88221999999999</v>
      </c>
      <c r="C29" s="39">
        <f>IF(ISERROR(B29*3.6/1000000/'E Balans VL '!Z10*100),0,B29*3.6/1000000/'E Balans VL '!Z10*100)</f>
        <v>2.3688151995455917E-2</v>
      </c>
      <c r="D29" s="237" t="s">
        <v>716</v>
      </c>
      <c r="F29" s="6"/>
    </row>
    <row r="30" spans="1:18">
      <c r="A30" s="231" t="s">
        <v>49</v>
      </c>
      <c r="B30" s="33">
        <f>IF(ISERROR(TER_ander_ele_kWh/1000),0,TER_ander_ele_kWh/1000)</f>
        <v>715.2311850000001</v>
      </c>
      <c r="C30" s="39">
        <f>IF(ISERROR(B30*3.6/1000000/'E Balans VL '!Z14*100),0,B30*3.6/1000000/'E Balans VL '!Z14*100)</f>
        <v>5.1899780014208419E-2</v>
      </c>
      <c r="D30" s="237" t="s">
        <v>716</v>
      </c>
      <c r="F30" s="6"/>
    </row>
    <row r="31" spans="1:18">
      <c r="A31" s="231" t="s">
        <v>54</v>
      </c>
      <c r="B31" s="33">
        <f>IF(ISERROR(TER_onderwijs_ele_kWh/1000),0,TER_onderwijs_ele_kWh/1000)</f>
        <v>205.51858900000002</v>
      </c>
      <c r="C31" s="39">
        <f>IF(ISERROR(B31*3.6/1000000/'E Balans VL '!Z11*100),0,B31*3.6/1000000/'E Balans VL '!Z11*100)</f>
        <v>5.858116697164005E-2</v>
      </c>
      <c r="D31" s="237" t="s">
        <v>716</v>
      </c>
    </row>
    <row r="32" spans="1:18">
      <c r="A32" s="231" t="s">
        <v>259</v>
      </c>
      <c r="B32" s="33">
        <f>IF(ISERROR(TER_rest_ele_kWh/1000),0,TER_rest_ele_kWh/1000)</f>
        <v>2113.8909520000002</v>
      </c>
      <c r="C32" s="39">
        <f>IF(ISERROR(B32*3.6/1000000/'E Balans VL '!Z8*100),0,B32*3.6/1000000/'E Balans VL '!Z8*100)</f>
        <v>1.7316564099355884E-2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7799.2870819999998</v>
      </c>
      <c r="C5" s="17">
        <f>IF(ISERROR('Eigen informatie GS &amp; warmtenet'!B61),0,'Eigen informatie GS &amp; warmtenet'!B61)</f>
        <v>0</v>
      </c>
      <c r="D5" s="30">
        <f>SUM(D6:D15)</f>
        <v>8366.9636403100012</v>
      </c>
      <c r="E5" s="17">
        <f>SUM(E6:E15)</f>
        <v>870.76768591687176</v>
      </c>
      <c r="F5" s="17">
        <f>SUM(F6:F15)</f>
        <v>2840.1489131363628</v>
      </c>
      <c r="G5" s="18"/>
      <c r="H5" s="17"/>
      <c r="I5" s="17"/>
      <c r="J5" s="17">
        <f>SUM(J6:J15)</f>
        <v>18.314043981282204</v>
      </c>
      <c r="K5" s="17"/>
      <c r="L5" s="17"/>
      <c r="M5" s="17"/>
      <c r="N5" s="17">
        <f>SUM(N6:N15)</f>
        <v>422.19484319179708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654.57687899999996</v>
      </c>
      <c r="C8" s="33"/>
      <c r="D8" s="37">
        <f>IF( ISERROR(IND_metaal_Gas_kWH/1000),0,IND_metaal_Gas_kWH/1000)*0.902</f>
        <v>35.320228262000001</v>
      </c>
      <c r="E8" s="33">
        <f>C30*'E Balans VL '!I18/100/3.6*1000000</f>
        <v>4.7223127569936594</v>
      </c>
      <c r="F8" s="33">
        <f>C30*'E Balans VL '!L18/100/3.6*1000000+C30*'E Balans VL '!N18/100/3.6*1000000</f>
        <v>61.910903201225935</v>
      </c>
      <c r="G8" s="34"/>
      <c r="H8" s="33"/>
      <c r="I8" s="33"/>
      <c r="J8" s="40">
        <f>C30*'E Balans VL '!D18/100/3.6*1000000+C30*'E Balans VL '!E18/100/3.6*1000000</f>
        <v>0.65837722877412674</v>
      </c>
      <c r="K8" s="33"/>
      <c r="L8" s="33"/>
      <c r="M8" s="33"/>
      <c r="N8" s="33">
        <f>C30*'E Balans VL '!Y18/100/3.6*1000000</f>
        <v>8.2755835900034711</v>
      </c>
      <c r="O8" s="33"/>
      <c r="P8" s="33"/>
      <c r="R8" s="32"/>
    </row>
    <row r="9" spans="1:18">
      <c r="A9" s="6" t="s">
        <v>32</v>
      </c>
      <c r="B9" s="37">
        <f t="shared" si="0"/>
        <v>2746.3057910000002</v>
      </c>
      <c r="C9" s="33"/>
      <c r="D9" s="37">
        <f>IF( ISERROR(IND_andere_gas_kWh/1000),0,IND_andere_gas_kWh/1000)*0.902</f>
        <v>1857.2051573240003</v>
      </c>
      <c r="E9" s="33">
        <f>C31*'E Balans VL '!I19/100/3.6*1000000</f>
        <v>761.03805739522852</v>
      </c>
      <c r="F9" s="33">
        <f>C31*'E Balans VL '!L19/100/3.6*1000000+C31*'E Balans VL '!N19/100/3.6*1000000</f>
        <v>2276.1441743933538</v>
      </c>
      <c r="G9" s="34"/>
      <c r="H9" s="33"/>
      <c r="I9" s="33"/>
      <c r="J9" s="40">
        <f>C31*'E Balans VL '!D19/100/3.6*1000000+C31*'E Balans VL '!E19/100/3.6*1000000</f>
        <v>0</v>
      </c>
      <c r="K9" s="33"/>
      <c r="L9" s="33"/>
      <c r="M9" s="33"/>
      <c r="N9" s="33">
        <f>C31*'E Balans VL '!Y19/100/3.6*1000000</f>
        <v>199.34820947027745</v>
      </c>
      <c r="O9" s="33"/>
      <c r="P9" s="33"/>
      <c r="R9" s="32"/>
    </row>
    <row r="10" spans="1:18">
      <c r="A10" s="6" t="s">
        <v>40</v>
      </c>
      <c r="B10" s="37">
        <f t="shared" si="0"/>
        <v>2261.22847</v>
      </c>
      <c r="C10" s="33"/>
      <c r="D10" s="37">
        <f>IF( ISERROR(IND_voed_gas_kWh/1000),0,IND_voed_gas_kWh/1000)*0.902</f>
        <v>613.60139684799992</v>
      </c>
      <c r="E10" s="33">
        <f>C32*'E Balans VL '!I20/100/3.6*1000000</f>
        <v>4.0031403190885744</v>
      </c>
      <c r="F10" s="33">
        <f>C32*'E Balans VL '!L20/100/3.6*1000000+C32*'E Balans VL '!N20/100/3.6*1000000</f>
        <v>122.12637846815811</v>
      </c>
      <c r="G10" s="34"/>
      <c r="H10" s="33"/>
      <c r="I10" s="33"/>
      <c r="J10" s="40">
        <f>C32*'E Balans VL '!D20/100/3.6*1000000+C32*'E Balans VL '!E20/100/3.6*1000000</f>
        <v>0</v>
      </c>
      <c r="K10" s="33"/>
      <c r="L10" s="33"/>
      <c r="M10" s="33"/>
      <c r="N10" s="33">
        <f>C32*'E Balans VL '!Y20/100/3.6*1000000</f>
        <v>131.39464332401519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2137.1759419999998</v>
      </c>
      <c r="C15" s="33"/>
      <c r="D15" s="37">
        <f>IF( ISERROR(IND_rest_gas_kWh/1000),0,IND_rest_gas_kWh/1000)*0.902</f>
        <v>5860.836857876001</v>
      </c>
      <c r="E15" s="33">
        <f>C37*'E Balans VL '!I15/100/3.6*1000000</f>
        <v>101.00417544556096</v>
      </c>
      <c r="F15" s="33">
        <f>C37*'E Balans VL '!L15/100/3.6*1000000+C37*'E Balans VL '!N15/100/3.6*1000000</f>
        <v>379.96745707362476</v>
      </c>
      <c r="G15" s="34"/>
      <c r="H15" s="33"/>
      <c r="I15" s="33"/>
      <c r="J15" s="40">
        <f>C37*'E Balans VL '!D15/100/3.6*1000000+C37*'E Balans VL '!E15/100/3.6*1000000</f>
        <v>17.655666752508075</v>
      </c>
      <c r="K15" s="33"/>
      <c r="L15" s="33"/>
      <c r="M15" s="33"/>
      <c r="N15" s="33">
        <f>C37*'E Balans VL '!Y15/100/3.6*1000000</f>
        <v>83.176406807500939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7799.2870819999998</v>
      </c>
      <c r="C18" s="21">
        <f>C5+C16</f>
        <v>0</v>
      </c>
      <c r="D18" s="21">
        <f>MAX((D5+D16),0)</f>
        <v>8366.9636403100012</v>
      </c>
      <c r="E18" s="21">
        <f>MAX((E5+E16),0)</f>
        <v>870.76768591687176</v>
      </c>
      <c r="F18" s="21">
        <f>MAX((F5+F16),0)</f>
        <v>2840.1489131363628</v>
      </c>
      <c r="G18" s="21"/>
      <c r="H18" s="21"/>
      <c r="I18" s="21"/>
      <c r="J18" s="21">
        <f>MAX((J5+J16),0)</f>
        <v>18.314043981282204</v>
      </c>
      <c r="K18" s="21"/>
      <c r="L18" s="21">
        <f>MAX((L5+L16),0)</f>
        <v>0</v>
      </c>
      <c r="M18" s="21"/>
      <c r="N18" s="21">
        <f>MAX((N5+N16),0)</f>
        <v>422.19484319179708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0.25602506722360235</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1996.8129994652234</v>
      </c>
      <c r="C22" s="23">
        <f ca="1">C18*C20</f>
        <v>0</v>
      </c>
      <c r="D22" s="23">
        <f>D18*D20</f>
        <v>1690.1266553426203</v>
      </c>
      <c r="E22" s="23">
        <f>E18*E20</f>
        <v>197.6642647031299</v>
      </c>
      <c r="F22" s="23">
        <f>F18*F20</f>
        <v>758.3197598074089</v>
      </c>
      <c r="G22" s="23"/>
      <c r="H22" s="23"/>
      <c r="I22" s="23"/>
      <c r="J22" s="23">
        <f>J18*J20</f>
        <v>6.4831715693738996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654.57687899999996</v>
      </c>
      <c r="C30" s="39">
        <f>IF(ISERROR(B30*3.6/1000000/'E Balans VL '!Z18*100),0,B30*3.6/1000000/'E Balans VL '!Z18*100)</f>
        <v>3.7787701857163458E-2</v>
      </c>
      <c r="D30" s="237" t="s">
        <v>716</v>
      </c>
    </row>
    <row r="31" spans="1:18">
      <c r="A31" s="6" t="s">
        <v>32</v>
      </c>
      <c r="B31" s="37">
        <f>IF( ISERROR(IND_ander_ele_kWh/1000),0,IND_ander_ele_kWh/1000)</f>
        <v>2746.3057910000002</v>
      </c>
      <c r="C31" s="39">
        <f>IF(ISERROR(B31*3.6/1000000/'E Balans VL '!Z19*100),0,B31*3.6/1000000/'E Balans VL '!Z19*100)</f>
        <v>0.13813027948176507</v>
      </c>
      <c r="D31" s="237" t="s">
        <v>716</v>
      </c>
    </row>
    <row r="32" spans="1:18">
      <c r="A32" s="171" t="s">
        <v>40</v>
      </c>
      <c r="B32" s="37">
        <f>IF( ISERROR(IND_voed_ele_kWh/1000),0,IND_voed_ele_kWh/1000)</f>
        <v>2261.22847</v>
      </c>
      <c r="C32" s="39">
        <f>IF(ISERROR(B32*3.6/1000000/'E Balans VL '!Z20*100),0,B32*3.6/1000000/'E Balans VL '!Z20*100)</f>
        <v>7.5312335786632559E-2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2137.1759419999998</v>
      </c>
      <c r="C37" s="39">
        <f>IF(ISERROR(B37*3.6/1000000/'E Balans VL '!Z15*100),0,B37*3.6/1000000/'E Balans VL '!Z15*100)</f>
        <v>1.667581673559616E-2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6052.3590059999997</v>
      </c>
      <c r="C5" s="17">
        <f>'Eigen informatie GS &amp; warmtenet'!B62</f>
        <v>0</v>
      </c>
      <c r="D5" s="30">
        <f>IF(ISERROR(SUM(LB_lb_gas_kWh,LB_rest_gas_kWh)/1000),0,SUM(LB_lb_gas_kWh,LB_rest_gas_kWh)/1000)*0.902</f>
        <v>20388.383412364004</v>
      </c>
      <c r="E5" s="17">
        <f>B17*'E Balans VL '!I25/3.6*1000000/100</f>
        <v>188.89212875548012</v>
      </c>
      <c r="F5" s="17">
        <f>B17*('E Balans VL '!L25/3.6*1000000+'E Balans VL '!N25/3.6*1000000)/100</f>
        <v>21389.707189448294</v>
      </c>
      <c r="G5" s="18"/>
      <c r="H5" s="17"/>
      <c r="I5" s="17"/>
      <c r="J5" s="17">
        <f>('E Balans VL '!D25+'E Balans VL '!E25)/3.6*1000000*landbouw!B17/100</f>
        <v>1667.46687889486</v>
      </c>
      <c r="K5" s="17"/>
      <c r="L5" s="17">
        <f>L6*(-1)</f>
        <v>0</v>
      </c>
      <c r="M5" s="17"/>
      <c r="N5" s="17">
        <f>N6*(-1)</f>
        <v>0</v>
      </c>
      <c r="O5" s="17"/>
      <c r="P5" s="17"/>
      <c r="R5" s="32"/>
    </row>
    <row r="6" spans="1:18">
      <c r="A6" s="16" t="s">
        <v>482</v>
      </c>
      <c r="B6" s="17" t="s">
        <v>210</v>
      </c>
      <c r="C6" s="17">
        <f>'lokale energieproductie'!O92+'lokale energieproductie'!O61</f>
        <v>43200</v>
      </c>
      <c r="D6" s="310">
        <f>('lokale energieproductie'!P61+'lokale energieproductie'!P92)*(-1)</f>
        <v>-86400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6052.3590059999997</v>
      </c>
      <c r="C8" s="21">
        <f>C5+C6</f>
        <v>43200</v>
      </c>
      <c r="D8" s="21">
        <f>MAX((D5+D6),0)</f>
        <v>0</v>
      </c>
      <c r="E8" s="21">
        <f>MAX((E5+E6),0)</f>
        <v>188.89212875548012</v>
      </c>
      <c r="F8" s="21">
        <f>MAX((F5+F6),0)</f>
        <v>21389.707189448294</v>
      </c>
      <c r="G8" s="21"/>
      <c r="H8" s="21"/>
      <c r="I8" s="21"/>
      <c r="J8" s="21">
        <f>MAX((J5+J6),0)</f>
        <v>1667.46687889486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0.25602506722360235</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1549.5556213725251</v>
      </c>
      <c r="C12" s="23">
        <f ca="1">C8*C10</f>
        <v>10266.352941176476</v>
      </c>
      <c r="D12" s="23">
        <f>D8*D10</f>
        <v>0</v>
      </c>
      <c r="E12" s="23">
        <f>E8*E10</f>
        <v>42.87851322749399</v>
      </c>
      <c r="F12" s="23">
        <f>F8*F10</f>
        <v>5711.0518195826953</v>
      </c>
      <c r="G12" s="23"/>
      <c r="H12" s="23"/>
      <c r="I12" s="23"/>
      <c r="J12" s="23">
        <f>J8*J10</f>
        <v>590.28327512878036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0.89972655366100562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420.69765532126246</v>
      </c>
      <c r="C26" s="247">
        <f>B26*'GWP N2O_CH4'!B5</f>
        <v>8834.6507617465122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206.96020413924109</v>
      </c>
      <c r="C27" s="247">
        <f>B27*'GWP N2O_CH4'!B5</f>
        <v>4346.1642869240632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6.3253554770818745</v>
      </c>
      <c r="C28" s="247">
        <f>B28*'GWP N2O_CH4'!B4</f>
        <v>1960.8601978953811</v>
      </c>
      <c r="D28" s="50"/>
    </row>
    <row r="29" spans="1:4">
      <c r="A29" s="41" t="s">
        <v>276</v>
      </c>
      <c r="B29" s="247">
        <f>B34*'ha_N2O bodem landbouw'!B4</f>
        <v>24.526599104575293</v>
      </c>
      <c r="C29" s="247">
        <f>B29*'GWP N2O_CH4'!B4</f>
        <v>7603.2457224183408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5.3782415921455875E-3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3.4066735200000001E-4</v>
      </c>
      <c r="C5" s="463" t="s">
        <v>210</v>
      </c>
      <c r="D5" s="448">
        <f>SUM(D6:D11)</f>
        <v>1.5064899225952521E-3</v>
      </c>
      <c r="E5" s="448">
        <f>SUM(E6:E11)</f>
        <v>1.2683771214354999E-3</v>
      </c>
      <c r="F5" s="461" t="s">
        <v>210</v>
      </c>
      <c r="G5" s="448">
        <f>SUM(G6:G11)</f>
        <v>0.595168109445955</v>
      </c>
      <c r="H5" s="448">
        <f>SUM(H6:H11)</f>
        <v>0.11378383872346536</v>
      </c>
      <c r="I5" s="463" t="s">
        <v>210</v>
      </c>
      <c r="J5" s="463" t="s">
        <v>210</v>
      </c>
      <c r="K5" s="463" t="s">
        <v>210</v>
      </c>
      <c r="L5" s="463" t="s">
        <v>210</v>
      </c>
      <c r="M5" s="448">
        <f>SUM(M6:M11)</f>
        <v>4.1794686070516958E-2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5.8417605239999997E-5</v>
      </c>
      <c r="C6" s="449"/>
      <c r="D6" s="917">
        <f>vkm_2011_GW_PW*SUMIFS(TableVerdeelsleutelVkm[CNG],TableVerdeelsleutelVkm[Voertuigtype],"Lichte voertuigen")*SUMIFS(TableECFTransport[EnergieConsumptieFactor (PJ per km)],TableECFTransport[Index],CONCATENATE($A6,"_CNG_CNG"))</f>
        <v>2.0312796383510401E-4</v>
      </c>
      <c r="E6" s="917">
        <f>vkm_2011_GW_PW*SUMIFS(TableVerdeelsleutelVkm[LPG],TableVerdeelsleutelVkm[Voertuigtype],"Lichte voertuigen")*SUMIFS(TableECFTransport[EnergieConsumptieFactor (PJ per km)],TableECFTransport[Index],CONCATENATE($A6,"_LPG_LPG"))</f>
        <v>1.6003136911679999E-4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4.3562399428860567E-2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1.5243946453529495E-2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3.5140487848274817E-3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3.8968571400511798E-2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9.817438892468634E-6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2.2470495732487194E-3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1.10284355425E-4</v>
      </c>
      <c r="C8" s="449"/>
      <c r="D8" s="451">
        <f>vkm_2011_NGW_PW*SUMIFS(TableVerdeelsleutelVkm[CNG],TableVerdeelsleutelVkm[Voertuigtype],"Lichte voertuigen")*SUMIFS(TableECFTransport[EnergieConsumptieFactor (PJ per km)],TableECFTransport[Index],CONCATENATE($A8,"_CNG_CNG"))</f>
        <v>6.7865664053880009E-4</v>
      </c>
      <c r="E8" s="451">
        <f>vkm_2011_NGW_PW*SUMIFS(TableVerdeelsleutelVkm[LPG],TableVerdeelsleutelVkm[Voertuigtype],"Lichte voertuigen")*SUMIFS(TableECFTransport[EnergieConsumptieFactor (PJ per km)],TableECFTransport[Index],CONCATENATE($A8,"_LPG_LPG"))</f>
        <v>4.95671766200375E-4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0.12520871703663058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4.9627066171851517E-2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1.0482579247018366E-2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4.0234521008899099E-2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9.5642219960189494E-6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2.3200105437176906E-3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1.7196539133499999E-4</v>
      </c>
      <c r="C10" s="449"/>
      <c r="D10" s="451">
        <f>vkm_2011_SW_PW*SUMIFS(TableVerdeelsleutelVkm[CNG],TableVerdeelsleutelVkm[Voertuigtype],"Lichte voertuigen")*SUMIFS(TableECFTransport[EnergieConsumptieFactor (PJ per km)],TableECFTransport[Index],CONCATENATE($A10,"_CNG_CNG"))</f>
        <v>6.2470531822134807E-4</v>
      </c>
      <c r="E10" s="451">
        <f>vkm_2011_SW_PW*SUMIFS(TableVerdeelsleutelVkm[LPG],TableVerdeelsleutelVkm[Voertuigtype],"Lichte voertuigen")*SUMIFS(TableECFTransport[EnergieConsumptieFactor (PJ per km)],TableECFTransport[Index],CONCATENATE($A10,"_LPG_LPG"))</f>
        <v>6.1267398611832501E-4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0.14814783979247589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4.8839132203180681E-2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1.1753106124991029E-2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0.19904606077857709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5.4312234015189074E-5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1.1477891796713669E-2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94.629820000000009</v>
      </c>
      <c r="C14" s="21"/>
      <c r="D14" s="21">
        <f t="shared" ref="D14:M14" si="0">((D5)*10^9/3600)+D12</f>
        <v>418.46942294312555</v>
      </c>
      <c r="E14" s="21">
        <f t="shared" si="0"/>
        <v>352.32697817652775</v>
      </c>
      <c r="F14" s="21"/>
      <c r="G14" s="21">
        <f t="shared" si="0"/>
        <v>165324.47484609863</v>
      </c>
      <c r="H14" s="21">
        <f t="shared" si="0"/>
        <v>31606.621867629266</v>
      </c>
      <c r="I14" s="21"/>
      <c r="J14" s="21"/>
      <c r="K14" s="21"/>
      <c r="L14" s="21"/>
      <c r="M14" s="21">
        <f t="shared" si="0"/>
        <v>11609.635019588044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0.25602506722360235</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24.227606026857394</v>
      </c>
      <c r="C18" s="23"/>
      <c r="D18" s="23">
        <f t="shared" ref="D18:M18" si="1">D14*D16</f>
        <v>84.530823434511362</v>
      </c>
      <c r="E18" s="23">
        <f t="shared" si="1"/>
        <v>79.978224046071801</v>
      </c>
      <c r="F18" s="23"/>
      <c r="G18" s="23">
        <f t="shared" si="1"/>
        <v>44141.634783908339</v>
      </c>
      <c r="H18" s="23">
        <f t="shared" si="1"/>
        <v>7870.048845039687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6.2889899128350723E-3</v>
      </c>
      <c r="H50" s="321">
        <f t="shared" si="2"/>
        <v>0</v>
      </c>
      <c r="I50" s="321">
        <f t="shared" si="2"/>
        <v>0</v>
      </c>
      <c r="J50" s="321">
        <f t="shared" si="2"/>
        <v>0</v>
      </c>
      <c r="K50" s="321">
        <f t="shared" si="2"/>
        <v>0</v>
      </c>
      <c r="L50" s="321">
        <f t="shared" si="2"/>
        <v>0</v>
      </c>
      <c r="M50" s="321">
        <f t="shared" si="2"/>
        <v>3.4954275519388127E-4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6.2889899128350723E-3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3.4954275519388127E-4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1746.9416424541869</v>
      </c>
      <c r="H54" s="21">
        <f t="shared" si="3"/>
        <v>0</v>
      </c>
      <c r="I54" s="21">
        <f t="shared" si="3"/>
        <v>0</v>
      </c>
      <c r="J54" s="21">
        <f t="shared" si="3"/>
        <v>0</v>
      </c>
      <c r="K54" s="21">
        <f t="shared" si="3"/>
        <v>0</v>
      </c>
      <c r="L54" s="21">
        <f t="shared" si="3"/>
        <v>0</v>
      </c>
      <c r="M54" s="21">
        <f t="shared" si="3"/>
        <v>97.095209776078136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0.25602506722360235</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466.43341853526795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12836.810934000001</v>
      </c>
      <c r="D10" s="712">
        <f ca="1">tertiair!C16</f>
        <v>157.5</v>
      </c>
      <c r="E10" s="712">
        <f ca="1">tertiair!D16</f>
        <v>18770.107748981998</v>
      </c>
      <c r="F10" s="712">
        <f>tertiair!E16</f>
        <v>188.25728793013946</v>
      </c>
      <c r="G10" s="712">
        <f ca="1">tertiair!F16</f>
        <v>1299.0917749939258</v>
      </c>
      <c r="H10" s="712">
        <f>tertiair!G16</f>
        <v>0</v>
      </c>
      <c r="I10" s="712">
        <f>tertiair!H16</f>
        <v>0</v>
      </c>
      <c r="J10" s="712">
        <f>tertiair!I16</f>
        <v>0</v>
      </c>
      <c r="K10" s="712">
        <f>tertiair!J16</f>
        <v>1.6192963832786973E-2</v>
      </c>
      <c r="L10" s="712">
        <f>tertiair!K16</f>
        <v>0</v>
      </c>
      <c r="M10" s="712">
        <f ca="1">tertiair!L16</f>
        <v>0</v>
      </c>
      <c r="N10" s="712">
        <f>tertiair!M16</f>
        <v>0</v>
      </c>
      <c r="O10" s="712">
        <f ca="1">tertiair!N16</f>
        <v>638.94835168479813</v>
      </c>
      <c r="P10" s="712">
        <f>tertiair!O16</f>
        <v>4.8972607658411542</v>
      </c>
      <c r="Q10" s="713">
        <f>tertiair!P16</f>
        <v>105.07827661299004</v>
      </c>
      <c r="R10" s="715">
        <f ca="1">SUM(C10:Q10)</f>
        <v>34000.707827933533</v>
      </c>
      <c r="S10" s="67"/>
    </row>
    <row r="11" spans="1:19" s="474" customFormat="1">
      <c r="A11" s="834" t="s">
        <v>224</v>
      </c>
      <c r="B11" s="839"/>
      <c r="C11" s="712">
        <f>huishoudens!B8</f>
        <v>33438.711938087632</v>
      </c>
      <c r="D11" s="712">
        <f>huishoudens!C8</f>
        <v>0</v>
      </c>
      <c r="E11" s="712">
        <f>huishoudens!D8</f>
        <v>78737.556470518015</v>
      </c>
      <c r="F11" s="712">
        <f>huishoudens!E8</f>
        <v>11549.639560490499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24720.842297634805</v>
      </c>
      <c r="P11" s="712">
        <f>huishoudens!O8</f>
        <v>376.95206168353604</v>
      </c>
      <c r="Q11" s="713">
        <f>huishoudens!P8</f>
        <v>1063.9298900761873</v>
      </c>
      <c r="R11" s="715">
        <f>SUM(C11:Q11)</f>
        <v>149887.63221849067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7799.2870819999998</v>
      </c>
      <c r="D13" s="712">
        <f>industrie!C18</f>
        <v>0</v>
      </c>
      <c r="E13" s="712">
        <f>industrie!D18</f>
        <v>8366.9636403100012</v>
      </c>
      <c r="F13" s="712">
        <f>industrie!E18</f>
        <v>870.76768591687176</v>
      </c>
      <c r="G13" s="712">
        <f>industrie!F18</f>
        <v>2840.1489131363628</v>
      </c>
      <c r="H13" s="712">
        <f>industrie!G18</f>
        <v>0</v>
      </c>
      <c r="I13" s="712">
        <f>industrie!H18</f>
        <v>0</v>
      </c>
      <c r="J13" s="712">
        <f>industrie!I18</f>
        <v>0</v>
      </c>
      <c r="K13" s="712">
        <f>industrie!J18</f>
        <v>18.314043981282204</v>
      </c>
      <c r="L13" s="712">
        <f>industrie!K18</f>
        <v>0</v>
      </c>
      <c r="M13" s="712">
        <f>industrie!L18</f>
        <v>0</v>
      </c>
      <c r="N13" s="712">
        <f>industrie!M18</f>
        <v>0</v>
      </c>
      <c r="O13" s="712">
        <f>industrie!N18</f>
        <v>422.19484319179708</v>
      </c>
      <c r="P13" s="712">
        <f>industrie!O18</f>
        <v>0</v>
      </c>
      <c r="Q13" s="713">
        <f>industrie!P18</f>
        <v>0</v>
      </c>
      <c r="R13" s="715">
        <f>SUM(C13:Q13)</f>
        <v>20317.676208536312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54074.809954087636</v>
      </c>
      <c r="D16" s="748">
        <f t="shared" ref="D16:R16" ca="1" si="0">SUM(D9:D15)</f>
        <v>157.5</v>
      </c>
      <c r="E16" s="748">
        <f t="shared" ca="1" si="0"/>
        <v>105874.62785981002</v>
      </c>
      <c r="F16" s="748">
        <f t="shared" si="0"/>
        <v>12608.664534337509</v>
      </c>
      <c r="G16" s="748">
        <f t="shared" ca="1" si="0"/>
        <v>4139.2406881302886</v>
      </c>
      <c r="H16" s="748">
        <f t="shared" si="0"/>
        <v>0</v>
      </c>
      <c r="I16" s="748">
        <f t="shared" si="0"/>
        <v>0</v>
      </c>
      <c r="J16" s="748">
        <f t="shared" si="0"/>
        <v>0</v>
      </c>
      <c r="K16" s="748">
        <f t="shared" si="0"/>
        <v>18.33023694511499</v>
      </c>
      <c r="L16" s="748">
        <f t="shared" si="0"/>
        <v>0</v>
      </c>
      <c r="M16" s="748">
        <f t="shared" ca="1" si="0"/>
        <v>0</v>
      </c>
      <c r="N16" s="748">
        <f t="shared" si="0"/>
        <v>0</v>
      </c>
      <c r="O16" s="748">
        <f t="shared" ca="1" si="0"/>
        <v>25781.985492511398</v>
      </c>
      <c r="P16" s="748">
        <f t="shared" si="0"/>
        <v>381.84932244937721</v>
      </c>
      <c r="Q16" s="748">
        <f t="shared" si="0"/>
        <v>1169.0081666891774</v>
      </c>
      <c r="R16" s="748">
        <f t="shared" ca="1" si="0"/>
        <v>204206.01625496053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1746.9416424541869</v>
      </c>
      <c r="I19" s="712">
        <f>transport!H54</f>
        <v>0</v>
      </c>
      <c r="J19" s="712">
        <f>transport!I54</f>
        <v>0</v>
      </c>
      <c r="K19" s="712">
        <f>transport!J54</f>
        <v>0</v>
      </c>
      <c r="L19" s="712">
        <f>transport!K54</f>
        <v>0</v>
      </c>
      <c r="M19" s="712">
        <f>transport!L54</f>
        <v>0</v>
      </c>
      <c r="N19" s="712">
        <f>transport!M54</f>
        <v>97.095209776078136</v>
      </c>
      <c r="O19" s="712">
        <f>transport!N54</f>
        <v>0</v>
      </c>
      <c r="P19" s="712">
        <f>transport!O54</f>
        <v>0</v>
      </c>
      <c r="Q19" s="713">
        <f>transport!P54</f>
        <v>0</v>
      </c>
      <c r="R19" s="715">
        <f>SUM(C19:Q19)</f>
        <v>1844.0368522302649</v>
      </c>
      <c r="S19" s="67"/>
    </row>
    <row r="20" spans="1:19" s="474" customFormat="1">
      <c r="A20" s="834" t="s">
        <v>306</v>
      </c>
      <c r="B20" s="839"/>
      <c r="C20" s="712">
        <f>transport!B14</f>
        <v>94.629820000000009</v>
      </c>
      <c r="D20" s="712">
        <f>transport!C14</f>
        <v>0</v>
      </c>
      <c r="E20" s="712">
        <f>transport!D14</f>
        <v>418.46942294312555</v>
      </c>
      <c r="F20" s="712">
        <f>transport!E14</f>
        <v>352.32697817652775</v>
      </c>
      <c r="G20" s="712">
        <f>transport!F14</f>
        <v>0</v>
      </c>
      <c r="H20" s="712">
        <f>transport!G14</f>
        <v>165324.47484609863</v>
      </c>
      <c r="I20" s="712">
        <f>transport!H14</f>
        <v>31606.621867629266</v>
      </c>
      <c r="J20" s="712">
        <f>transport!I14</f>
        <v>0</v>
      </c>
      <c r="K20" s="712">
        <f>transport!J14</f>
        <v>0</v>
      </c>
      <c r="L20" s="712">
        <f>transport!K14</f>
        <v>0</v>
      </c>
      <c r="M20" s="712">
        <f>transport!L14</f>
        <v>0</v>
      </c>
      <c r="N20" s="712">
        <f>transport!M14</f>
        <v>11609.635019588044</v>
      </c>
      <c r="O20" s="712">
        <f>transport!N14</f>
        <v>0</v>
      </c>
      <c r="P20" s="712">
        <f>transport!O14</f>
        <v>0</v>
      </c>
      <c r="Q20" s="713">
        <f>transport!P14</f>
        <v>0</v>
      </c>
      <c r="R20" s="715">
        <f>SUM(C20:Q20)</f>
        <v>209406.15795443559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94.629820000000009</v>
      </c>
      <c r="D22" s="837">
        <f t="shared" ref="D22:R22" si="1">SUM(D18:D21)</f>
        <v>0</v>
      </c>
      <c r="E22" s="837">
        <f t="shared" si="1"/>
        <v>418.46942294312555</v>
      </c>
      <c r="F22" s="837">
        <f t="shared" si="1"/>
        <v>352.32697817652775</v>
      </c>
      <c r="G22" s="837">
        <f t="shared" si="1"/>
        <v>0</v>
      </c>
      <c r="H22" s="837">
        <f t="shared" si="1"/>
        <v>167071.41648855282</v>
      </c>
      <c r="I22" s="837">
        <f t="shared" si="1"/>
        <v>31606.621867629266</v>
      </c>
      <c r="J22" s="837">
        <f t="shared" si="1"/>
        <v>0</v>
      </c>
      <c r="K22" s="837">
        <f t="shared" si="1"/>
        <v>0</v>
      </c>
      <c r="L22" s="837">
        <f t="shared" si="1"/>
        <v>0</v>
      </c>
      <c r="M22" s="837">
        <f t="shared" si="1"/>
        <v>0</v>
      </c>
      <c r="N22" s="837">
        <f t="shared" si="1"/>
        <v>11706.730229364122</v>
      </c>
      <c r="O22" s="837">
        <f t="shared" si="1"/>
        <v>0</v>
      </c>
      <c r="P22" s="837">
        <f t="shared" si="1"/>
        <v>0</v>
      </c>
      <c r="Q22" s="837">
        <f t="shared" si="1"/>
        <v>0</v>
      </c>
      <c r="R22" s="837">
        <f t="shared" si="1"/>
        <v>211250.19480666585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6052.3590059999997</v>
      </c>
      <c r="D24" s="712">
        <f>+landbouw!C8</f>
        <v>43200</v>
      </c>
      <c r="E24" s="712">
        <f>+landbouw!D8</f>
        <v>0</v>
      </c>
      <c r="F24" s="712">
        <f>+landbouw!E8</f>
        <v>188.89212875548012</v>
      </c>
      <c r="G24" s="712">
        <f>+landbouw!F8</f>
        <v>21389.707189448294</v>
      </c>
      <c r="H24" s="712">
        <f>+landbouw!G8</f>
        <v>0</v>
      </c>
      <c r="I24" s="712">
        <f>+landbouw!H8</f>
        <v>0</v>
      </c>
      <c r="J24" s="712">
        <f>+landbouw!I8</f>
        <v>0</v>
      </c>
      <c r="K24" s="712">
        <f>+landbouw!J8</f>
        <v>1667.46687889486</v>
      </c>
      <c r="L24" s="712">
        <f>+landbouw!K8</f>
        <v>0</v>
      </c>
      <c r="M24" s="712">
        <f>+landbouw!L8</f>
        <v>0</v>
      </c>
      <c r="N24" s="712">
        <f>+landbouw!M8</f>
        <v>0</v>
      </c>
      <c r="O24" s="712">
        <f>+landbouw!N8</f>
        <v>0</v>
      </c>
      <c r="P24" s="712">
        <f>+landbouw!O8</f>
        <v>0</v>
      </c>
      <c r="Q24" s="713">
        <f>+landbouw!P8</f>
        <v>0</v>
      </c>
      <c r="R24" s="715">
        <f>SUM(C24:Q24)</f>
        <v>72498.425203098624</v>
      </c>
      <c r="S24" s="67"/>
    </row>
    <row r="25" spans="1:19" s="474" customFormat="1" ht="15" thickBot="1">
      <c r="A25" s="856" t="s">
        <v>734</v>
      </c>
      <c r="B25" s="982"/>
      <c r="C25" s="983">
        <f>IF(Onbekend_ele_kWh="---",0,Onbekend_ele_kWh)/1000+IF(REST_rest_ele_kWh="---",0,REST_rest_ele_kWh)/1000</f>
        <v>1557.44137</v>
      </c>
      <c r="D25" s="983"/>
      <c r="E25" s="983">
        <f>IF(onbekend_gas_kWh="---",0,onbekend_gas_kWh)/1000+IF(REST_rest_gas_kWh="---",0,REST_rest_gas_kWh)/1000</f>
        <v>3031.0406899999998</v>
      </c>
      <c r="F25" s="983"/>
      <c r="G25" s="983"/>
      <c r="H25" s="983"/>
      <c r="I25" s="983"/>
      <c r="J25" s="983"/>
      <c r="K25" s="983"/>
      <c r="L25" s="983"/>
      <c r="M25" s="983"/>
      <c r="N25" s="983"/>
      <c r="O25" s="983"/>
      <c r="P25" s="983"/>
      <c r="Q25" s="984"/>
      <c r="R25" s="715">
        <f>SUM(C25:Q25)</f>
        <v>4588.4820600000003</v>
      </c>
      <c r="S25" s="67"/>
    </row>
    <row r="26" spans="1:19" s="474" customFormat="1" ht="15.75" thickBot="1">
      <c r="A26" s="720" t="s">
        <v>735</v>
      </c>
      <c r="B26" s="842"/>
      <c r="C26" s="837">
        <f>SUM(C24:C25)</f>
        <v>7609.8003759999992</v>
      </c>
      <c r="D26" s="837">
        <f t="shared" ref="D26:R26" si="2">SUM(D24:D25)</f>
        <v>43200</v>
      </c>
      <c r="E26" s="837">
        <f t="shared" si="2"/>
        <v>3031.0406899999998</v>
      </c>
      <c r="F26" s="837">
        <f t="shared" si="2"/>
        <v>188.89212875548012</v>
      </c>
      <c r="G26" s="837">
        <f t="shared" si="2"/>
        <v>21389.707189448294</v>
      </c>
      <c r="H26" s="837">
        <f t="shared" si="2"/>
        <v>0</v>
      </c>
      <c r="I26" s="837">
        <f t="shared" si="2"/>
        <v>0</v>
      </c>
      <c r="J26" s="837">
        <f t="shared" si="2"/>
        <v>0</v>
      </c>
      <c r="K26" s="837">
        <f t="shared" si="2"/>
        <v>1667.46687889486</v>
      </c>
      <c r="L26" s="837">
        <f t="shared" si="2"/>
        <v>0</v>
      </c>
      <c r="M26" s="837">
        <f t="shared" si="2"/>
        <v>0</v>
      </c>
      <c r="N26" s="837">
        <f t="shared" si="2"/>
        <v>0</v>
      </c>
      <c r="O26" s="837">
        <f t="shared" si="2"/>
        <v>0</v>
      </c>
      <c r="P26" s="837">
        <f t="shared" si="2"/>
        <v>0</v>
      </c>
      <c r="Q26" s="837">
        <f t="shared" si="2"/>
        <v>0</v>
      </c>
      <c r="R26" s="837">
        <f t="shared" si="2"/>
        <v>77086.907263098619</v>
      </c>
      <c r="S26" s="67"/>
    </row>
    <row r="27" spans="1:19" s="474" customFormat="1" ht="17.25" thickTop="1" thickBot="1">
      <c r="A27" s="721" t="s">
        <v>115</v>
      </c>
      <c r="B27" s="829"/>
      <c r="C27" s="722">
        <f ca="1">C22+C16+C26</f>
        <v>61779.240150087637</v>
      </c>
      <c r="D27" s="722">
        <f t="shared" ref="D27:R27" ca="1" si="3">D22+D16+D26</f>
        <v>43357.5</v>
      </c>
      <c r="E27" s="722">
        <f t="shared" ca="1" si="3"/>
        <v>109324.13797275313</v>
      </c>
      <c r="F27" s="722">
        <f t="shared" si="3"/>
        <v>13149.883641269518</v>
      </c>
      <c r="G27" s="722">
        <f t="shared" ca="1" si="3"/>
        <v>25528.947877578583</v>
      </c>
      <c r="H27" s="722">
        <f t="shared" si="3"/>
        <v>167071.41648855282</v>
      </c>
      <c r="I27" s="722">
        <f t="shared" si="3"/>
        <v>31606.621867629266</v>
      </c>
      <c r="J27" s="722">
        <f t="shared" si="3"/>
        <v>0</v>
      </c>
      <c r="K27" s="722">
        <f t="shared" si="3"/>
        <v>1685.797115839975</v>
      </c>
      <c r="L27" s="722">
        <f t="shared" si="3"/>
        <v>0</v>
      </c>
      <c r="M27" s="722">
        <f t="shared" ca="1" si="3"/>
        <v>0</v>
      </c>
      <c r="N27" s="722">
        <f t="shared" si="3"/>
        <v>11706.730229364122</v>
      </c>
      <c r="O27" s="722">
        <f t="shared" ca="1" si="3"/>
        <v>25781.985492511398</v>
      </c>
      <c r="P27" s="722">
        <f t="shared" si="3"/>
        <v>381.84932244937721</v>
      </c>
      <c r="Q27" s="722">
        <f t="shared" si="3"/>
        <v>1169.0081666891774</v>
      </c>
      <c r="R27" s="722">
        <f t="shared" ca="1" si="3"/>
        <v>492543.11832472502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3286.5453823140238</v>
      </c>
      <c r="D40" s="712">
        <f ca="1">tertiair!C20</f>
        <v>37.429411764705904</v>
      </c>
      <c r="E40" s="712">
        <f ca="1">tertiair!D20</f>
        <v>3791.5617652943638</v>
      </c>
      <c r="F40" s="712">
        <f>tertiair!E20</f>
        <v>42.73440436014166</v>
      </c>
      <c r="G40" s="712">
        <f ca="1">tertiair!F20</f>
        <v>346.8575039233782</v>
      </c>
      <c r="H40" s="712">
        <f>tertiair!G20</f>
        <v>0</v>
      </c>
      <c r="I40" s="712">
        <f>tertiair!H20</f>
        <v>0</v>
      </c>
      <c r="J40" s="712">
        <f>tertiair!I20</f>
        <v>0</v>
      </c>
      <c r="K40" s="712">
        <f>tertiair!J20</f>
        <v>5.7323091968065881E-3</v>
      </c>
      <c r="L40" s="712">
        <f>tertiair!K20</f>
        <v>0</v>
      </c>
      <c r="M40" s="712">
        <f ca="1">tertiair!L20</f>
        <v>0</v>
      </c>
      <c r="N40" s="712">
        <f>tertiair!M20</f>
        <v>0</v>
      </c>
      <c r="O40" s="712">
        <f ca="1">tertiair!N20</f>
        <v>0</v>
      </c>
      <c r="P40" s="712">
        <f>tertiair!O20</f>
        <v>0</v>
      </c>
      <c r="Q40" s="795">
        <f>tertiair!P20</f>
        <v>0</v>
      </c>
      <c r="R40" s="875">
        <f t="shared" ca="1" si="4"/>
        <v>7505.1341999658098</v>
      </c>
    </row>
    <row r="41" spans="1:18">
      <c r="A41" s="847" t="s">
        <v>224</v>
      </c>
      <c r="B41" s="854"/>
      <c r="C41" s="712">
        <f ca="1">huishoudens!B12</f>
        <v>8561.1484718195607</v>
      </c>
      <c r="D41" s="712">
        <f ca="1">huishoudens!C12</f>
        <v>0</v>
      </c>
      <c r="E41" s="712">
        <f>huishoudens!D12</f>
        <v>15904.98640704464</v>
      </c>
      <c r="F41" s="712">
        <f>huishoudens!E12</f>
        <v>2621.7681802313432</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27087.903059095541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1996.8129994652234</v>
      </c>
      <c r="D43" s="712">
        <f ca="1">industrie!C22</f>
        <v>0</v>
      </c>
      <c r="E43" s="712">
        <f>industrie!D22</f>
        <v>1690.1266553426203</v>
      </c>
      <c r="F43" s="712">
        <f>industrie!E22</f>
        <v>197.6642647031299</v>
      </c>
      <c r="G43" s="712">
        <f>industrie!F22</f>
        <v>758.3197598074089</v>
      </c>
      <c r="H43" s="712">
        <f>industrie!G22</f>
        <v>0</v>
      </c>
      <c r="I43" s="712">
        <f>industrie!H22</f>
        <v>0</v>
      </c>
      <c r="J43" s="712">
        <f>industrie!I22</f>
        <v>0</v>
      </c>
      <c r="K43" s="712">
        <f>industrie!J22</f>
        <v>6.4831715693738996</v>
      </c>
      <c r="L43" s="712">
        <f>industrie!K22</f>
        <v>0</v>
      </c>
      <c r="M43" s="712">
        <f>industrie!L22</f>
        <v>0</v>
      </c>
      <c r="N43" s="712">
        <f>industrie!M22</f>
        <v>0</v>
      </c>
      <c r="O43" s="712">
        <f>industrie!N22</f>
        <v>0</v>
      </c>
      <c r="P43" s="712">
        <f>industrie!O22</f>
        <v>0</v>
      </c>
      <c r="Q43" s="795">
        <f>industrie!P22</f>
        <v>0</v>
      </c>
      <c r="R43" s="874">
        <f t="shared" ca="1" si="4"/>
        <v>4649.4068508877563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13844.506853598807</v>
      </c>
      <c r="D46" s="748">
        <f t="shared" ref="D46:Q46" ca="1" si="5">SUM(D39:D45)</f>
        <v>37.429411764705904</v>
      </c>
      <c r="E46" s="748">
        <f t="shared" ca="1" si="5"/>
        <v>21386.674827681625</v>
      </c>
      <c r="F46" s="748">
        <f t="shared" si="5"/>
        <v>2862.1668492946146</v>
      </c>
      <c r="G46" s="748">
        <f t="shared" ca="1" si="5"/>
        <v>1105.1772637307872</v>
      </c>
      <c r="H46" s="748">
        <f t="shared" si="5"/>
        <v>0</v>
      </c>
      <c r="I46" s="748">
        <f t="shared" si="5"/>
        <v>0</v>
      </c>
      <c r="J46" s="748">
        <f t="shared" si="5"/>
        <v>0</v>
      </c>
      <c r="K46" s="748">
        <f t="shared" si="5"/>
        <v>6.4889038785707065</v>
      </c>
      <c r="L46" s="748">
        <f t="shared" si="5"/>
        <v>0</v>
      </c>
      <c r="M46" s="748">
        <f t="shared" ca="1" si="5"/>
        <v>0</v>
      </c>
      <c r="N46" s="748">
        <f t="shared" si="5"/>
        <v>0</v>
      </c>
      <c r="O46" s="748">
        <f t="shared" ca="1" si="5"/>
        <v>0</v>
      </c>
      <c r="P46" s="748">
        <f t="shared" si="5"/>
        <v>0</v>
      </c>
      <c r="Q46" s="748">
        <f t="shared" si="5"/>
        <v>0</v>
      </c>
      <c r="R46" s="748">
        <f ca="1">SUM(R39:R45)</f>
        <v>39242.444109949101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466.43341853526795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466.43341853526795</v>
      </c>
    </row>
    <row r="50" spans="1:18">
      <c r="A50" s="850" t="s">
        <v>306</v>
      </c>
      <c r="B50" s="860"/>
      <c r="C50" s="718">
        <f ca="1">transport!B18</f>
        <v>24.227606026857394</v>
      </c>
      <c r="D50" s="718">
        <f>transport!C18</f>
        <v>0</v>
      </c>
      <c r="E50" s="718">
        <f>transport!D18</f>
        <v>84.530823434511362</v>
      </c>
      <c r="F50" s="718">
        <f>transport!E18</f>
        <v>79.978224046071801</v>
      </c>
      <c r="G50" s="718">
        <f>transport!F18</f>
        <v>0</v>
      </c>
      <c r="H50" s="718">
        <f>transport!G18</f>
        <v>44141.634783908339</v>
      </c>
      <c r="I50" s="718">
        <f>transport!H18</f>
        <v>7870.048845039687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52200.420282455467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24.227606026857394</v>
      </c>
      <c r="D52" s="748">
        <f t="shared" ref="D52:Q52" ca="1" si="6">SUM(D48:D51)</f>
        <v>0</v>
      </c>
      <c r="E52" s="748">
        <f t="shared" si="6"/>
        <v>84.530823434511362</v>
      </c>
      <c r="F52" s="748">
        <f t="shared" si="6"/>
        <v>79.978224046071801</v>
      </c>
      <c r="G52" s="748">
        <f t="shared" si="6"/>
        <v>0</v>
      </c>
      <c r="H52" s="748">
        <f t="shared" si="6"/>
        <v>44608.06820244361</v>
      </c>
      <c r="I52" s="748">
        <f t="shared" si="6"/>
        <v>7870.048845039687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52666.853700990738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1549.5556213725251</v>
      </c>
      <c r="D54" s="718">
        <f ca="1">+landbouw!C12</f>
        <v>10266.352941176476</v>
      </c>
      <c r="E54" s="718">
        <f>+landbouw!D12</f>
        <v>0</v>
      </c>
      <c r="F54" s="718">
        <f>+landbouw!E12</f>
        <v>42.87851322749399</v>
      </c>
      <c r="G54" s="718">
        <f>+landbouw!F12</f>
        <v>5711.0518195826953</v>
      </c>
      <c r="H54" s="718">
        <f>+landbouw!G12</f>
        <v>0</v>
      </c>
      <c r="I54" s="718">
        <f>+landbouw!H12</f>
        <v>0</v>
      </c>
      <c r="J54" s="718">
        <f>+landbouw!I12</f>
        <v>0</v>
      </c>
      <c r="K54" s="718">
        <f>+landbouw!J12</f>
        <v>590.28327512878036</v>
      </c>
      <c r="L54" s="718">
        <f>+landbouw!K12</f>
        <v>0</v>
      </c>
      <c r="M54" s="718">
        <f>+landbouw!L12</f>
        <v>0</v>
      </c>
      <c r="N54" s="718">
        <f>+landbouw!M12</f>
        <v>0</v>
      </c>
      <c r="O54" s="718">
        <f>+landbouw!N12</f>
        <v>0</v>
      </c>
      <c r="P54" s="718">
        <f>+landbouw!O12</f>
        <v>0</v>
      </c>
      <c r="Q54" s="719">
        <f>+landbouw!P12</f>
        <v>0</v>
      </c>
      <c r="R54" s="747">
        <f ca="1">SUM(C54:Q54)</f>
        <v>18160.122170487968</v>
      </c>
    </row>
    <row r="55" spans="1:18" ht="15" thickBot="1">
      <c r="A55" s="850" t="s">
        <v>734</v>
      </c>
      <c r="B55" s="860"/>
      <c r="C55" s="718">
        <f ca="1">C25*'EF ele_warmte'!B12</f>
        <v>398.74403145106936</v>
      </c>
      <c r="D55" s="718"/>
      <c r="E55" s="718">
        <f>E25*EF_CO2_aardgas</f>
        <v>612.27021937999996</v>
      </c>
      <c r="F55" s="718"/>
      <c r="G55" s="718"/>
      <c r="H55" s="718"/>
      <c r="I55" s="718"/>
      <c r="J55" s="718"/>
      <c r="K55" s="718"/>
      <c r="L55" s="718"/>
      <c r="M55" s="718"/>
      <c r="N55" s="718"/>
      <c r="O55" s="718"/>
      <c r="P55" s="718"/>
      <c r="Q55" s="719"/>
      <c r="R55" s="747">
        <f ca="1">SUM(C55:Q55)</f>
        <v>1011.0142508310694</v>
      </c>
    </row>
    <row r="56" spans="1:18" ht="15.75" thickBot="1">
      <c r="A56" s="848" t="s">
        <v>735</v>
      </c>
      <c r="B56" s="861"/>
      <c r="C56" s="748">
        <f ca="1">SUM(C54:C55)</f>
        <v>1948.2996528235944</v>
      </c>
      <c r="D56" s="748">
        <f t="shared" ref="D56:Q56" ca="1" si="7">SUM(D54:D55)</f>
        <v>10266.352941176476</v>
      </c>
      <c r="E56" s="748">
        <f t="shared" si="7"/>
        <v>612.27021937999996</v>
      </c>
      <c r="F56" s="748">
        <f t="shared" si="7"/>
        <v>42.87851322749399</v>
      </c>
      <c r="G56" s="748">
        <f t="shared" si="7"/>
        <v>5711.0518195826953</v>
      </c>
      <c r="H56" s="748">
        <f t="shared" si="7"/>
        <v>0</v>
      </c>
      <c r="I56" s="748">
        <f t="shared" si="7"/>
        <v>0</v>
      </c>
      <c r="J56" s="748">
        <f t="shared" si="7"/>
        <v>0</v>
      </c>
      <c r="K56" s="748">
        <f t="shared" si="7"/>
        <v>590.28327512878036</v>
      </c>
      <c r="L56" s="748">
        <f t="shared" si="7"/>
        <v>0</v>
      </c>
      <c r="M56" s="748">
        <f t="shared" si="7"/>
        <v>0</v>
      </c>
      <c r="N56" s="748">
        <f t="shared" si="7"/>
        <v>0</v>
      </c>
      <c r="O56" s="748">
        <f t="shared" si="7"/>
        <v>0</v>
      </c>
      <c r="P56" s="748">
        <f t="shared" si="7"/>
        <v>0</v>
      </c>
      <c r="Q56" s="749">
        <f t="shared" si="7"/>
        <v>0</v>
      </c>
      <c r="R56" s="750">
        <f ca="1">SUM(R54:R55)</f>
        <v>19171.136421319039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15817.034112449259</v>
      </c>
      <c r="D61" s="756">
        <f t="shared" ref="D61:Q61" ca="1" si="8">D46+D52+D56</f>
        <v>10303.782352941182</v>
      </c>
      <c r="E61" s="756">
        <f t="shared" ca="1" si="8"/>
        <v>22083.475870496135</v>
      </c>
      <c r="F61" s="756">
        <f t="shared" si="8"/>
        <v>2985.0235865681802</v>
      </c>
      <c r="G61" s="756">
        <f t="shared" ca="1" si="8"/>
        <v>6816.229083313483</v>
      </c>
      <c r="H61" s="756">
        <f t="shared" si="8"/>
        <v>44608.06820244361</v>
      </c>
      <c r="I61" s="756">
        <f t="shared" si="8"/>
        <v>7870.048845039687</v>
      </c>
      <c r="J61" s="756">
        <f t="shared" si="8"/>
        <v>0</v>
      </c>
      <c r="K61" s="756">
        <f t="shared" si="8"/>
        <v>596.77217900735104</v>
      </c>
      <c r="L61" s="756">
        <f t="shared" si="8"/>
        <v>0</v>
      </c>
      <c r="M61" s="756">
        <f t="shared" ca="1" si="8"/>
        <v>0</v>
      </c>
      <c r="N61" s="756">
        <f t="shared" si="8"/>
        <v>0</v>
      </c>
      <c r="O61" s="756">
        <f t="shared" ca="1" si="8"/>
        <v>0</v>
      </c>
      <c r="P61" s="756">
        <f t="shared" si="8"/>
        <v>0</v>
      </c>
      <c r="Q61" s="756">
        <f t="shared" si="8"/>
        <v>0</v>
      </c>
      <c r="R61" s="756">
        <f ca="1">R46+R52+R56</f>
        <v>111080.43423225888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0.2560250672236023</v>
      </c>
      <c r="D63" s="802">
        <f t="shared" ca="1" si="9"/>
        <v>0.23764705882352954</v>
      </c>
      <c r="E63" s="1008">
        <f t="shared" ca="1" si="9"/>
        <v>0.20200000000000001</v>
      </c>
      <c r="F63" s="802">
        <f t="shared" si="9"/>
        <v>0.22699999999999998</v>
      </c>
      <c r="G63" s="802">
        <f t="shared" ca="1" si="9"/>
        <v>0.26700000000000007</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14389.762934246915</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8455.6018068342128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30350.25</v>
      </c>
      <c r="D76" s="991">
        <f>'lokale energieproductie'!C8</f>
        <v>35706.176470588238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7212.6476470588241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22845.364741081128</v>
      </c>
      <c r="C78" s="774">
        <f>SUM(C72:C77)</f>
        <v>30350.25</v>
      </c>
      <c r="D78" s="775">
        <f t="shared" ref="D78:H78" si="10">SUM(D76:D77)</f>
        <v>35706.176470588238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7212.6476470588241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43357.500000000007</v>
      </c>
      <c r="D87" s="798">
        <f>'lokale energieproductie'!C17</f>
        <v>51008.823529411784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10303.782352941182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43357.500000000007</v>
      </c>
      <c r="D90" s="774">
        <f t="shared" ref="D90:H90" si="12">SUM(D87:D89)</f>
        <v>51008.823529411784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10303.782352941182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14389.762934246915</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8455.6018068342128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30350.25</v>
      </c>
      <c r="C8" s="574">
        <f>B101</f>
        <v>35706.176470588238</v>
      </c>
      <c r="D8" s="575"/>
      <c r="E8" s="575">
        <f>E101</f>
        <v>0</v>
      </c>
      <c r="F8" s="576"/>
      <c r="G8" s="577"/>
      <c r="H8" s="575">
        <f>I101</f>
        <v>0</v>
      </c>
      <c r="I8" s="575">
        <f>G101+F101</f>
        <v>0</v>
      </c>
      <c r="J8" s="575">
        <f>H101+D101+C101</f>
        <v>0</v>
      </c>
      <c r="K8" s="575"/>
      <c r="L8" s="575"/>
      <c r="M8" s="575"/>
      <c r="N8" s="578"/>
      <c r="O8" s="579">
        <f>C8*$C$12+D8*$D$12+E8*$E$12+F8*$F$12+G8*$G$12+H8*$H$12+I8*$I$12+J8*$J$12</f>
        <v>7212.6476470588241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53195.614741081125</v>
      </c>
      <c r="C10" s="589">
        <f t="shared" ref="C10:L10" si="0">SUM(C8:C9)</f>
        <v>35706.176470588238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7212.6476470588241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43357.500000000007</v>
      </c>
      <c r="C17" s="605">
        <f>B102</f>
        <v>51008.823529411784</v>
      </c>
      <c r="D17" s="606"/>
      <c r="E17" s="606">
        <f>E102</f>
        <v>0</v>
      </c>
      <c r="F17" s="607"/>
      <c r="G17" s="608"/>
      <c r="H17" s="605">
        <f>I102</f>
        <v>0</v>
      </c>
      <c r="I17" s="606">
        <f>G102+F102</f>
        <v>0</v>
      </c>
      <c r="J17" s="606">
        <f>H102+D102+C102</f>
        <v>0</v>
      </c>
      <c r="K17" s="606"/>
      <c r="L17" s="606"/>
      <c r="M17" s="606"/>
      <c r="N17" s="1005"/>
      <c r="O17" s="609">
        <f>C17*$C$22+E17*$E$22+H17*$H$22+I17*$I$22+J17*$J$22+D17*$D$22+F17*$F$22+G17*$G$22+K17*$K$22+L17*$L$22</f>
        <v>10303.782352941182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43357.500000000007</v>
      </c>
      <c r="C20" s="588">
        <f>SUM(C17:C19)</f>
        <v>51008.823529411784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10303.782352941182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46020</v>
      </c>
      <c r="C28" s="817">
        <v>9170</v>
      </c>
      <c r="D28" s="666" t="s">
        <v>882</v>
      </c>
      <c r="E28" s="665" t="s">
        <v>883</v>
      </c>
      <c r="F28" s="665" t="s">
        <v>884</v>
      </c>
      <c r="G28" s="665" t="s">
        <v>885</v>
      </c>
      <c r="H28" s="665" t="s">
        <v>886</v>
      </c>
      <c r="I28" s="665" t="s">
        <v>883</v>
      </c>
      <c r="J28" s="816">
        <v>40374</v>
      </c>
      <c r="K28" s="816">
        <v>40374</v>
      </c>
      <c r="L28" s="665" t="s">
        <v>887</v>
      </c>
      <c r="M28" s="665">
        <v>1600</v>
      </c>
      <c r="N28" s="665">
        <v>7200</v>
      </c>
      <c r="O28" s="665">
        <v>10285.714285714286</v>
      </c>
      <c r="P28" s="665">
        <v>20571.428571428572</v>
      </c>
      <c r="Q28" s="665">
        <v>0</v>
      </c>
      <c r="R28" s="665">
        <v>0</v>
      </c>
      <c r="S28" s="665">
        <v>0</v>
      </c>
      <c r="T28" s="665">
        <v>0</v>
      </c>
      <c r="U28" s="665">
        <v>0</v>
      </c>
      <c r="V28" s="665">
        <v>0</v>
      </c>
      <c r="W28" s="665">
        <v>0</v>
      </c>
      <c r="X28" s="665">
        <v>10</v>
      </c>
      <c r="Y28" s="665" t="s">
        <v>111</v>
      </c>
      <c r="Z28" s="667" t="s">
        <v>111</v>
      </c>
    </row>
    <row r="29" spans="1:26" s="619" customFormat="1" ht="25.5">
      <c r="A29" s="618"/>
      <c r="B29" s="817">
        <v>46020</v>
      </c>
      <c r="C29" s="817">
        <v>9170</v>
      </c>
      <c r="D29" s="666" t="s">
        <v>888</v>
      </c>
      <c r="E29" s="665" t="s">
        <v>889</v>
      </c>
      <c r="F29" s="665" t="s">
        <v>890</v>
      </c>
      <c r="G29" s="665" t="s">
        <v>885</v>
      </c>
      <c r="H29" s="665" t="s">
        <v>886</v>
      </c>
      <c r="I29" s="665" t="s">
        <v>889</v>
      </c>
      <c r="J29" s="816">
        <v>40590</v>
      </c>
      <c r="K29" s="816">
        <v>40590</v>
      </c>
      <c r="L29" s="665" t="s">
        <v>887</v>
      </c>
      <c r="M29" s="665">
        <v>5120</v>
      </c>
      <c r="N29" s="665">
        <v>23040</v>
      </c>
      <c r="O29" s="665">
        <v>32914.285714285717</v>
      </c>
      <c r="P29" s="665">
        <v>65828.571428571435</v>
      </c>
      <c r="Q29" s="665">
        <v>0</v>
      </c>
      <c r="R29" s="665">
        <v>0</v>
      </c>
      <c r="S29" s="665">
        <v>0</v>
      </c>
      <c r="T29" s="665">
        <v>0</v>
      </c>
      <c r="U29" s="665">
        <v>0</v>
      </c>
      <c r="V29" s="665">
        <v>0</v>
      </c>
      <c r="W29" s="665">
        <v>0</v>
      </c>
      <c r="X29" s="665">
        <v>10</v>
      </c>
      <c r="Y29" s="665" t="s">
        <v>111</v>
      </c>
      <c r="Z29" s="667" t="s">
        <v>111</v>
      </c>
    </row>
    <row r="30" spans="1:26" s="619" customFormat="1" ht="51">
      <c r="A30" s="618"/>
      <c r="B30" s="817">
        <v>46020</v>
      </c>
      <c r="C30" s="817">
        <v>9170</v>
      </c>
      <c r="D30" s="666" t="s">
        <v>891</v>
      </c>
      <c r="E30" s="665" t="s">
        <v>892</v>
      </c>
      <c r="F30" s="665" t="s">
        <v>893</v>
      </c>
      <c r="G30" s="665" t="s">
        <v>885</v>
      </c>
      <c r="H30" s="665" t="s">
        <v>886</v>
      </c>
      <c r="I30" s="665" t="s">
        <v>892</v>
      </c>
      <c r="J30" s="816">
        <v>41561</v>
      </c>
      <c r="K30" s="816">
        <v>41565</v>
      </c>
      <c r="L30" s="665" t="s">
        <v>887</v>
      </c>
      <c r="M30" s="665">
        <v>5.5</v>
      </c>
      <c r="N30" s="665">
        <v>24.75</v>
      </c>
      <c r="O30" s="665">
        <v>35.357142857142861</v>
      </c>
      <c r="P30" s="665">
        <v>70.714285714285722</v>
      </c>
      <c r="Q30" s="665">
        <v>0</v>
      </c>
      <c r="R30" s="665">
        <v>0</v>
      </c>
      <c r="S30" s="665">
        <v>0</v>
      </c>
      <c r="T30" s="665">
        <v>0</v>
      </c>
      <c r="U30" s="665">
        <v>0</v>
      </c>
      <c r="V30" s="665">
        <v>0</v>
      </c>
      <c r="W30" s="665">
        <v>0</v>
      </c>
      <c r="X30" s="665">
        <v>1500</v>
      </c>
      <c r="Y30" s="665" t="s">
        <v>50</v>
      </c>
      <c r="Z30" s="667" t="s">
        <v>155</v>
      </c>
    </row>
    <row r="31" spans="1:26" s="619" customFormat="1" ht="51">
      <c r="A31" s="618"/>
      <c r="B31" s="817">
        <v>46020</v>
      </c>
      <c r="C31" s="817">
        <v>9170</v>
      </c>
      <c r="D31" s="666" t="s">
        <v>891</v>
      </c>
      <c r="E31" s="665" t="s">
        <v>892</v>
      </c>
      <c r="F31" s="665" t="s">
        <v>894</v>
      </c>
      <c r="G31" s="665" t="s">
        <v>885</v>
      </c>
      <c r="H31" s="665" t="s">
        <v>886</v>
      </c>
      <c r="I31" s="665" t="s">
        <v>895</v>
      </c>
      <c r="J31" s="816">
        <v>41561</v>
      </c>
      <c r="K31" s="816">
        <v>41565</v>
      </c>
      <c r="L31" s="665" t="s">
        <v>887</v>
      </c>
      <c r="M31" s="665">
        <v>10</v>
      </c>
      <c r="N31" s="665">
        <v>45</v>
      </c>
      <c r="O31" s="665">
        <v>64.285714285714292</v>
      </c>
      <c r="P31" s="665">
        <v>128.57142857142858</v>
      </c>
      <c r="Q31" s="665">
        <v>0</v>
      </c>
      <c r="R31" s="665">
        <v>0</v>
      </c>
      <c r="S31" s="665">
        <v>0</v>
      </c>
      <c r="T31" s="665">
        <v>0</v>
      </c>
      <c r="U31" s="665">
        <v>0</v>
      </c>
      <c r="V31" s="665">
        <v>0</v>
      </c>
      <c r="W31" s="665">
        <v>0</v>
      </c>
      <c r="X31" s="665">
        <v>1500</v>
      </c>
      <c r="Y31" s="665" t="s">
        <v>50</v>
      </c>
      <c r="Z31" s="667" t="s">
        <v>155</v>
      </c>
    </row>
    <row r="32" spans="1:26" s="619" customFormat="1" ht="63.75">
      <c r="A32" s="618"/>
      <c r="B32" s="817">
        <v>46020</v>
      </c>
      <c r="C32" s="817">
        <v>9170</v>
      </c>
      <c r="D32" s="666" t="s">
        <v>896</v>
      </c>
      <c r="E32" s="665" t="s">
        <v>897</v>
      </c>
      <c r="F32" s="665" t="s">
        <v>898</v>
      </c>
      <c r="G32" s="665" t="s">
        <v>885</v>
      </c>
      <c r="H32" s="665" t="s">
        <v>886</v>
      </c>
      <c r="I32" s="665" t="s">
        <v>897</v>
      </c>
      <c r="J32" s="816">
        <v>41807</v>
      </c>
      <c r="K32" s="816">
        <v>41807</v>
      </c>
      <c r="L32" s="665" t="s">
        <v>887</v>
      </c>
      <c r="M32" s="665">
        <v>9</v>
      </c>
      <c r="N32" s="665">
        <v>40.5</v>
      </c>
      <c r="O32" s="665">
        <v>57.857142857142861</v>
      </c>
      <c r="P32" s="665">
        <v>115.71428571428572</v>
      </c>
      <c r="Q32" s="665">
        <v>0</v>
      </c>
      <c r="R32" s="665">
        <v>0</v>
      </c>
      <c r="S32" s="665">
        <v>0</v>
      </c>
      <c r="T32" s="665">
        <v>0</v>
      </c>
      <c r="U32" s="665">
        <v>0</v>
      </c>
      <c r="V32" s="665">
        <v>0</v>
      </c>
      <c r="W32" s="665">
        <v>0</v>
      </c>
      <c r="X32" s="665">
        <v>1600</v>
      </c>
      <c r="Y32" s="665" t="s">
        <v>49</v>
      </c>
      <c r="Z32" s="667" t="s">
        <v>155</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6744.5</v>
      </c>
      <c r="N58" s="623">
        <f>SUM(N28:N57)</f>
        <v>30350.25</v>
      </c>
      <c r="O58" s="623">
        <f t="shared" ref="O58:W58" si="2">SUM(O28:O57)</f>
        <v>43357.500000000007</v>
      </c>
      <c r="P58" s="623">
        <f t="shared" si="2"/>
        <v>86715.000000000015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24.5</v>
      </c>
      <c r="N60" s="623">
        <f ca="1">SUMIF($Z$28:AD57,"tertiair",N28:N57)</f>
        <v>110.25</v>
      </c>
      <c r="O60" s="623">
        <f ca="1">SUMIF($Z$28:AE57,"tertiair",O28:O57)</f>
        <v>157.5</v>
      </c>
      <c r="P60" s="623">
        <f ca="1">SUMIF($Z$28:AF57,"tertiair",P28:P57)</f>
        <v>315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6720</v>
      </c>
      <c r="N61" s="628">
        <f t="shared" si="4"/>
        <v>30240</v>
      </c>
      <c r="O61" s="628">
        <f t="shared" si="4"/>
        <v>43200</v>
      </c>
      <c r="P61" s="628">
        <f t="shared" si="4"/>
        <v>86400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35706.176470588238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51008.823529411784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33438.711938087632</v>
      </c>
      <c r="C4" s="478">
        <f>huishoudens!C8</f>
        <v>0</v>
      </c>
      <c r="D4" s="478">
        <f>huishoudens!D8</f>
        <v>78737.556470518015</v>
      </c>
      <c r="E4" s="478">
        <f>huishoudens!E8</f>
        <v>11549.639560490499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24720.842297634805</v>
      </c>
      <c r="O4" s="478">
        <f>huishoudens!O8</f>
        <v>376.95206168353604</v>
      </c>
      <c r="P4" s="479">
        <f>huishoudens!P8</f>
        <v>1063.9298900761873</v>
      </c>
      <c r="Q4" s="480">
        <f>SUM(B4:P4)</f>
        <v>149887.63221849067</v>
      </c>
    </row>
    <row r="5" spans="1:17">
      <c r="A5" s="477" t="s">
        <v>155</v>
      </c>
      <c r="B5" s="478">
        <f ca="1">tertiair!B16</f>
        <v>11747.889934000001</v>
      </c>
      <c r="C5" s="478">
        <f ca="1">tertiair!C16</f>
        <v>157.5</v>
      </c>
      <c r="D5" s="478">
        <f ca="1">tertiair!D16</f>
        <v>18770.107748981998</v>
      </c>
      <c r="E5" s="478">
        <f>tertiair!E16</f>
        <v>188.25728793013946</v>
      </c>
      <c r="F5" s="478">
        <f ca="1">tertiair!F16</f>
        <v>1299.0917749939258</v>
      </c>
      <c r="G5" s="478">
        <f>tertiair!G16</f>
        <v>0</v>
      </c>
      <c r="H5" s="478">
        <f>tertiair!H16</f>
        <v>0</v>
      </c>
      <c r="I5" s="478">
        <f>tertiair!I16</f>
        <v>0</v>
      </c>
      <c r="J5" s="478">
        <f>tertiair!J16</f>
        <v>1.6192963832786973E-2</v>
      </c>
      <c r="K5" s="478">
        <f>tertiair!K16</f>
        <v>0</v>
      </c>
      <c r="L5" s="478">
        <f ca="1">tertiair!L16</f>
        <v>0</v>
      </c>
      <c r="M5" s="478">
        <f>tertiair!M16</f>
        <v>0</v>
      </c>
      <c r="N5" s="478">
        <f ca="1">tertiair!N16</f>
        <v>638.94835168479813</v>
      </c>
      <c r="O5" s="478">
        <f>tertiair!O16</f>
        <v>4.8972607658411542</v>
      </c>
      <c r="P5" s="479">
        <f>tertiair!P16</f>
        <v>105.07827661299004</v>
      </c>
      <c r="Q5" s="477">
        <f t="shared" ref="Q5:Q14" ca="1" si="0">SUM(B5:P5)</f>
        <v>32911.786827933538</v>
      </c>
    </row>
    <row r="6" spans="1:17">
      <c r="A6" s="477" t="s">
        <v>193</v>
      </c>
      <c r="B6" s="478">
        <f>'openbare verlichting'!B8</f>
        <v>1088.921</v>
      </c>
      <c r="C6" s="478"/>
      <c r="D6" s="478"/>
      <c r="E6" s="478"/>
      <c r="F6" s="478"/>
      <c r="G6" s="478"/>
      <c r="H6" s="478"/>
      <c r="I6" s="478"/>
      <c r="J6" s="478"/>
      <c r="K6" s="478"/>
      <c r="L6" s="478"/>
      <c r="M6" s="478"/>
      <c r="N6" s="478"/>
      <c r="O6" s="478"/>
      <c r="P6" s="479"/>
      <c r="Q6" s="477">
        <f t="shared" si="0"/>
        <v>1088.921</v>
      </c>
    </row>
    <row r="7" spans="1:17">
      <c r="A7" s="477" t="s">
        <v>111</v>
      </c>
      <c r="B7" s="478">
        <f>landbouw!B8</f>
        <v>6052.3590059999997</v>
      </c>
      <c r="C7" s="478">
        <f>landbouw!C8</f>
        <v>43200</v>
      </c>
      <c r="D7" s="478">
        <f>landbouw!D8</f>
        <v>0</v>
      </c>
      <c r="E7" s="478">
        <f>landbouw!E8</f>
        <v>188.89212875548012</v>
      </c>
      <c r="F7" s="478">
        <f>landbouw!F8</f>
        <v>21389.707189448294</v>
      </c>
      <c r="G7" s="478">
        <f>landbouw!G8</f>
        <v>0</v>
      </c>
      <c r="H7" s="478">
        <f>landbouw!H8</f>
        <v>0</v>
      </c>
      <c r="I7" s="478">
        <f>landbouw!I8</f>
        <v>0</v>
      </c>
      <c r="J7" s="478">
        <f>landbouw!J8</f>
        <v>1667.46687889486</v>
      </c>
      <c r="K7" s="478">
        <f>landbouw!K8</f>
        <v>0</v>
      </c>
      <c r="L7" s="478">
        <f>landbouw!L8</f>
        <v>0</v>
      </c>
      <c r="M7" s="478">
        <f>landbouw!M8</f>
        <v>0</v>
      </c>
      <c r="N7" s="478">
        <f>landbouw!N8</f>
        <v>0</v>
      </c>
      <c r="O7" s="478">
        <f>landbouw!O8</f>
        <v>0</v>
      </c>
      <c r="P7" s="479">
        <f>landbouw!P8</f>
        <v>0</v>
      </c>
      <c r="Q7" s="477">
        <f t="shared" si="0"/>
        <v>72498.425203098624</v>
      </c>
    </row>
    <row r="8" spans="1:17">
      <c r="A8" s="477" t="s">
        <v>629</v>
      </c>
      <c r="B8" s="478">
        <f>industrie!B18</f>
        <v>7799.2870819999998</v>
      </c>
      <c r="C8" s="478">
        <f>industrie!C18</f>
        <v>0</v>
      </c>
      <c r="D8" s="478">
        <f>industrie!D18</f>
        <v>8366.9636403100012</v>
      </c>
      <c r="E8" s="478">
        <f>industrie!E18</f>
        <v>870.76768591687176</v>
      </c>
      <c r="F8" s="478">
        <f>industrie!F18</f>
        <v>2840.1489131363628</v>
      </c>
      <c r="G8" s="478">
        <f>industrie!G18</f>
        <v>0</v>
      </c>
      <c r="H8" s="478">
        <f>industrie!H18</f>
        <v>0</v>
      </c>
      <c r="I8" s="478">
        <f>industrie!I18</f>
        <v>0</v>
      </c>
      <c r="J8" s="478">
        <f>industrie!J18</f>
        <v>18.314043981282204</v>
      </c>
      <c r="K8" s="478">
        <f>industrie!K18</f>
        <v>0</v>
      </c>
      <c r="L8" s="478">
        <f>industrie!L18</f>
        <v>0</v>
      </c>
      <c r="M8" s="478">
        <f>industrie!M18</f>
        <v>0</v>
      </c>
      <c r="N8" s="478">
        <f>industrie!N18</f>
        <v>422.19484319179708</v>
      </c>
      <c r="O8" s="478">
        <f>industrie!O18</f>
        <v>0</v>
      </c>
      <c r="P8" s="479">
        <f>industrie!P18</f>
        <v>0</v>
      </c>
      <c r="Q8" s="477">
        <f t="shared" si="0"/>
        <v>20317.676208536312</v>
      </c>
    </row>
    <row r="9" spans="1:17" s="483" customFormat="1">
      <c r="A9" s="481" t="s">
        <v>555</v>
      </c>
      <c r="B9" s="482">
        <f>transport!B14</f>
        <v>94.629820000000009</v>
      </c>
      <c r="C9" s="482">
        <f>transport!C14</f>
        <v>0</v>
      </c>
      <c r="D9" s="482">
        <f>transport!D14</f>
        <v>418.46942294312555</v>
      </c>
      <c r="E9" s="482">
        <f>transport!E14</f>
        <v>352.32697817652775</v>
      </c>
      <c r="F9" s="482">
        <f>transport!F14</f>
        <v>0</v>
      </c>
      <c r="G9" s="482">
        <f>transport!G14</f>
        <v>165324.47484609863</v>
      </c>
      <c r="H9" s="482">
        <f>transport!H14</f>
        <v>31606.621867629266</v>
      </c>
      <c r="I9" s="482">
        <f>transport!I14</f>
        <v>0</v>
      </c>
      <c r="J9" s="482">
        <f>transport!J14</f>
        <v>0</v>
      </c>
      <c r="K9" s="482">
        <f>transport!K14</f>
        <v>0</v>
      </c>
      <c r="L9" s="482">
        <f>transport!L14</f>
        <v>0</v>
      </c>
      <c r="M9" s="482">
        <f>transport!M14</f>
        <v>11609.635019588044</v>
      </c>
      <c r="N9" s="482">
        <f>transport!N14</f>
        <v>0</v>
      </c>
      <c r="O9" s="482">
        <f>transport!O14</f>
        <v>0</v>
      </c>
      <c r="P9" s="482">
        <f>transport!P14</f>
        <v>0</v>
      </c>
      <c r="Q9" s="481">
        <f>SUM(B9:P9)</f>
        <v>209406.15795443559</v>
      </c>
    </row>
    <row r="10" spans="1:17">
      <c r="A10" s="477" t="s">
        <v>545</v>
      </c>
      <c r="B10" s="478">
        <f>transport!B54</f>
        <v>0</v>
      </c>
      <c r="C10" s="478">
        <f>transport!C54</f>
        <v>0</v>
      </c>
      <c r="D10" s="478">
        <f>transport!D54</f>
        <v>0</v>
      </c>
      <c r="E10" s="478">
        <f>transport!E54</f>
        <v>0</v>
      </c>
      <c r="F10" s="478">
        <f>transport!F54</f>
        <v>0</v>
      </c>
      <c r="G10" s="478">
        <f>transport!G54</f>
        <v>1746.9416424541869</v>
      </c>
      <c r="H10" s="478">
        <f>transport!H54</f>
        <v>0</v>
      </c>
      <c r="I10" s="478">
        <f>transport!I54</f>
        <v>0</v>
      </c>
      <c r="J10" s="478">
        <f>transport!J54</f>
        <v>0</v>
      </c>
      <c r="K10" s="478">
        <f>transport!K54</f>
        <v>0</v>
      </c>
      <c r="L10" s="478">
        <f>transport!L54</f>
        <v>0</v>
      </c>
      <c r="M10" s="478">
        <f>transport!M54</f>
        <v>97.095209776078136</v>
      </c>
      <c r="N10" s="478">
        <f>transport!N54</f>
        <v>0</v>
      </c>
      <c r="O10" s="478">
        <f>transport!O54</f>
        <v>0</v>
      </c>
      <c r="P10" s="479">
        <f>transport!P54</f>
        <v>0</v>
      </c>
      <c r="Q10" s="477">
        <f t="shared" si="0"/>
        <v>1844.0368522302649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1557.44137</v>
      </c>
      <c r="C14" s="485"/>
      <c r="D14" s="485">
        <f>'SEAP template'!E25</f>
        <v>3031.0406899999998</v>
      </c>
      <c r="E14" s="485"/>
      <c r="F14" s="485"/>
      <c r="G14" s="485"/>
      <c r="H14" s="485"/>
      <c r="I14" s="485"/>
      <c r="J14" s="485"/>
      <c r="K14" s="485"/>
      <c r="L14" s="485"/>
      <c r="M14" s="485"/>
      <c r="N14" s="485"/>
      <c r="O14" s="485"/>
      <c r="P14" s="486"/>
      <c r="Q14" s="477">
        <f t="shared" si="0"/>
        <v>4588.4820600000003</v>
      </c>
    </row>
    <row r="15" spans="1:17" s="489" customFormat="1">
      <c r="A15" s="487" t="s">
        <v>549</v>
      </c>
      <c r="B15" s="488">
        <f ca="1">SUM(B4:B14)</f>
        <v>61779.240150087637</v>
      </c>
      <c r="C15" s="488">
        <f t="shared" ref="C15:Q15" ca="1" si="1">SUM(C4:C14)</f>
        <v>43357.5</v>
      </c>
      <c r="D15" s="488">
        <f t="shared" ca="1" si="1"/>
        <v>109324.13797275313</v>
      </c>
      <c r="E15" s="488">
        <f t="shared" si="1"/>
        <v>13149.883641269518</v>
      </c>
      <c r="F15" s="488">
        <f t="shared" ca="1" si="1"/>
        <v>25528.947877578583</v>
      </c>
      <c r="G15" s="488">
        <f t="shared" si="1"/>
        <v>167071.41648855282</v>
      </c>
      <c r="H15" s="488">
        <f t="shared" si="1"/>
        <v>31606.621867629266</v>
      </c>
      <c r="I15" s="488">
        <f t="shared" si="1"/>
        <v>0</v>
      </c>
      <c r="J15" s="488">
        <f t="shared" si="1"/>
        <v>1685.7971158399748</v>
      </c>
      <c r="K15" s="488">
        <f t="shared" si="1"/>
        <v>0</v>
      </c>
      <c r="L15" s="488">
        <f t="shared" ca="1" si="1"/>
        <v>0</v>
      </c>
      <c r="M15" s="488">
        <f t="shared" si="1"/>
        <v>11706.730229364122</v>
      </c>
      <c r="N15" s="488">
        <f t="shared" ca="1" si="1"/>
        <v>25781.985492511398</v>
      </c>
      <c r="O15" s="488">
        <f t="shared" si="1"/>
        <v>381.84932244937721</v>
      </c>
      <c r="P15" s="488">
        <f t="shared" si="1"/>
        <v>1169.0081666891774</v>
      </c>
      <c r="Q15" s="488">
        <f t="shared" ca="1" si="1"/>
        <v>492543.11832472496</v>
      </c>
    </row>
    <row r="17" spans="1:17">
      <c r="A17" s="490" t="s">
        <v>550</v>
      </c>
      <c r="B17" s="807">
        <f ca="1">huishoudens!B10</f>
        <v>0.25602506722360235</v>
      </c>
      <c r="C17" s="807">
        <f ca="1">huishoudens!C10</f>
        <v>0.23764705882352954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8561.1484718195607</v>
      </c>
      <c r="C22" s="478">
        <f t="shared" ref="C22:C32" ca="1" si="3">C4*$C$17</f>
        <v>0</v>
      </c>
      <c r="D22" s="478">
        <f t="shared" ref="D22:D32" si="4">D4*$D$17</f>
        <v>15904.98640704464</v>
      </c>
      <c r="E22" s="478">
        <f t="shared" ref="E22:E32" si="5">E4*$E$17</f>
        <v>2621.7681802313432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27087.903059095541</v>
      </c>
    </row>
    <row r="23" spans="1:17">
      <c r="A23" s="477" t="s">
        <v>155</v>
      </c>
      <c r="B23" s="478">
        <f t="shared" ca="1" si="2"/>
        <v>3007.7543100878315</v>
      </c>
      <c r="C23" s="478">
        <f t="shared" ca="1" si="3"/>
        <v>37.429411764705904</v>
      </c>
      <c r="D23" s="478">
        <f t="shared" ca="1" si="4"/>
        <v>3791.5617652943638</v>
      </c>
      <c r="E23" s="478">
        <f t="shared" si="5"/>
        <v>42.73440436014166</v>
      </c>
      <c r="F23" s="478">
        <f t="shared" ca="1" si="6"/>
        <v>346.8575039233782</v>
      </c>
      <c r="G23" s="478">
        <f t="shared" si="7"/>
        <v>0</v>
      </c>
      <c r="H23" s="478">
        <f t="shared" si="8"/>
        <v>0</v>
      </c>
      <c r="I23" s="478">
        <f t="shared" si="9"/>
        <v>0</v>
      </c>
      <c r="J23" s="478">
        <f t="shared" si="10"/>
        <v>5.7323091968065881E-3</v>
      </c>
      <c r="K23" s="478">
        <f t="shared" si="11"/>
        <v>0</v>
      </c>
      <c r="L23" s="478">
        <f t="shared" ca="1" si="12"/>
        <v>0</v>
      </c>
      <c r="M23" s="478">
        <f t="shared" si="13"/>
        <v>0</v>
      </c>
      <c r="N23" s="478">
        <f t="shared" ca="1" si="14"/>
        <v>0</v>
      </c>
      <c r="O23" s="478">
        <f t="shared" si="15"/>
        <v>0</v>
      </c>
      <c r="P23" s="479">
        <f t="shared" si="16"/>
        <v>0</v>
      </c>
      <c r="Q23" s="477">
        <f t="shared" ref="Q23:Q31" ca="1" si="17">SUM(B23:P23)</f>
        <v>7226.3431277396185</v>
      </c>
    </row>
    <row r="24" spans="1:17">
      <c r="A24" s="477" t="s">
        <v>193</v>
      </c>
      <c r="B24" s="478">
        <f t="shared" ca="1" si="2"/>
        <v>278.79107222619228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278.79107222619228</v>
      </c>
    </row>
    <row r="25" spans="1:17">
      <c r="A25" s="477" t="s">
        <v>111</v>
      </c>
      <c r="B25" s="478">
        <f t="shared" ca="1" si="2"/>
        <v>1549.5556213725251</v>
      </c>
      <c r="C25" s="478">
        <f t="shared" ca="1" si="3"/>
        <v>10266.352941176476</v>
      </c>
      <c r="D25" s="478">
        <f t="shared" si="4"/>
        <v>0</v>
      </c>
      <c r="E25" s="478">
        <f t="shared" si="5"/>
        <v>42.87851322749399</v>
      </c>
      <c r="F25" s="478">
        <f t="shared" si="6"/>
        <v>5711.0518195826953</v>
      </c>
      <c r="G25" s="478">
        <f t="shared" si="7"/>
        <v>0</v>
      </c>
      <c r="H25" s="478">
        <f t="shared" si="8"/>
        <v>0</v>
      </c>
      <c r="I25" s="478">
        <f t="shared" si="9"/>
        <v>0</v>
      </c>
      <c r="J25" s="478">
        <f t="shared" si="10"/>
        <v>590.28327512878036</v>
      </c>
      <c r="K25" s="478">
        <f t="shared" si="11"/>
        <v>0</v>
      </c>
      <c r="L25" s="478">
        <f t="shared" si="12"/>
        <v>0</v>
      </c>
      <c r="M25" s="478">
        <f t="shared" si="13"/>
        <v>0</v>
      </c>
      <c r="N25" s="478">
        <f t="shared" si="14"/>
        <v>0</v>
      </c>
      <c r="O25" s="478">
        <f t="shared" si="15"/>
        <v>0</v>
      </c>
      <c r="P25" s="479">
        <f t="shared" si="16"/>
        <v>0</v>
      </c>
      <c r="Q25" s="477">
        <f t="shared" ca="1" si="17"/>
        <v>18160.122170487968</v>
      </c>
    </row>
    <row r="26" spans="1:17">
      <c r="A26" s="477" t="s">
        <v>629</v>
      </c>
      <c r="B26" s="478">
        <f t="shared" ca="1" si="2"/>
        <v>1996.8129994652234</v>
      </c>
      <c r="C26" s="478">
        <f t="shared" ca="1" si="3"/>
        <v>0</v>
      </c>
      <c r="D26" s="478">
        <f t="shared" si="4"/>
        <v>1690.1266553426203</v>
      </c>
      <c r="E26" s="478">
        <f t="shared" si="5"/>
        <v>197.6642647031299</v>
      </c>
      <c r="F26" s="478">
        <f t="shared" si="6"/>
        <v>758.3197598074089</v>
      </c>
      <c r="G26" s="478">
        <f t="shared" si="7"/>
        <v>0</v>
      </c>
      <c r="H26" s="478">
        <f t="shared" si="8"/>
        <v>0</v>
      </c>
      <c r="I26" s="478">
        <f t="shared" si="9"/>
        <v>0</v>
      </c>
      <c r="J26" s="478">
        <f t="shared" si="10"/>
        <v>6.4831715693738996</v>
      </c>
      <c r="K26" s="478">
        <f t="shared" si="11"/>
        <v>0</v>
      </c>
      <c r="L26" s="478">
        <f t="shared" si="12"/>
        <v>0</v>
      </c>
      <c r="M26" s="478">
        <f t="shared" si="13"/>
        <v>0</v>
      </c>
      <c r="N26" s="478">
        <f t="shared" si="14"/>
        <v>0</v>
      </c>
      <c r="O26" s="478">
        <f t="shared" si="15"/>
        <v>0</v>
      </c>
      <c r="P26" s="479">
        <f t="shared" si="16"/>
        <v>0</v>
      </c>
      <c r="Q26" s="477">
        <f t="shared" ca="1" si="17"/>
        <v>4649.4068508877563</v>
      </c>
    </row>
    <row r="27" spans="1:17" s="483" customFormat="1">
      <c r="A27" s="481" t="s">
        <v>555</v>
      </c>
      <c r="B27" s="801">
        <f t="shared" ca="1" si="2"/>
        <v>24.227606026857394</v>
      </c>
      <c r="C27" s="482">
        <f t="shared" ca="1" si="3"/>
        <v>0</v>
      </c>
      <c r="D27" s="482">
        <f t="shared" si="4"/>
        <v>84.530823434511362</v>
      </c>
      <c r="E27" s="482">
        <f t="shared" si="5"/>
        <v>79.978224046071801</v>
      </c>
      <c r="F27" s="482">
        <f t="shared" si="6"/>
        <v>0</v>
      </c>
      <c r="G27" s="482">
        <f t="shared" si="7"/>
        <v>44141.634783908339</v>
      </c>
      <c r="H27" s="482">
        <f t="shared" si="8"/>
        <v>7870.048845039687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52200.420282455467</v>
      </c>
    </row>
    <row r="28" spans="1:17" ht="16.5" customHeight="1">
      <c r="A28" s="477" t="s">
        <v>545</v>
      </c>
      <c r="B28" s="478">
        <f t="shared" ca="1" si="2"/>
        <v>0</v>
      </c>
      <c r="C28" s="478">
        <f t="shared" ca="1" si="3"/>
        <v>0</v>
      </c>
      <c r="D28" s="478">
        <f t="shared" si="4"/>
        <v>0</v>
      </c>
      <c r="E28" s="478">
        <f t="shared" si="5"/>
        <v>0</v>
      </c>
      <c r="F28" s="478">
        <f t="shared" si="6"/>
        <v>0</v>
      </c>
      <c r="G28" s="478">
        <f t="shared" si="7"/>
        <v>466.43341853526795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466.43341853526795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398.74403145106936</v>
      </c>
      <c r="C32" s="478">
        <f t="shared" ca="1" si="3"/>
        <v>0</v>
      </c>
      <c r="D32" s="478">
        <f t="shared" si="4"/>
        <v>612.27021937999996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1011.0142508310694</v>
      </c>
    </row>
    <row r="33" spans="1:17" s="489" customFormat="1">
      <c r="A33" s="487" t="s">
        <v>549</v>
      </c>
      <c r="B33" s="488">
        <f ca="1">SUM(B22:B32)</f>
        <v>15817.034112449261</v>
      </c>
      <c r="C33" s="488">
        <f t="shared" ref="C33:Q33" ca="1" si="19">SUM(C22:C32)</f>
        <v>10303.782352941182</v>
      </c>
      <c r="D33" s="488">
        <f t="shared" ca="1" si="19"/>
        <v>22083.475870496135</v>
      </c>
      <c r="E33" s="488">
        <f t="shared" si="19"/>
        <v>2985.0235865681802</v>
      </c>
      <c r="F33" s="488">
        <f t="shared" ca="1" si="19"/>
        <v>6816.229083313483</v>
      </c>
      <c r="G33" s="488">
        <f t="shared" si="19"/>
        <v>44608.06820244361</v>
      </c>
      <c r="H33" s="488">
        <f t="shared" si="19"/>
        <v>7870.048845039687</v>
      </c>
      <c r="I33" s="488">
        <f t="shared" si="19"/>
        <v>0</v>
      </c>
      <c r="J33" s="488">
        <f t="shared" si="19"/>
        <v>596.77217900735104</v>
      </c>
      <c r="K33" s="488">
        <f t="shared" si="19"/>
        <v>0</v>
      </c>
      <c r="L33" s="488">
        <f t="shared" ca="1" si="19"/>
        <v>0</v>
      </c>
      <c r="M33" s="488">
        <f t="shared" si="19"/>
        <v>0</v>
      </c>
      <c r="N33" s="488">
        <f t="shared" ca="1" si="19"/>
        <v>0</v>
      </c>
      <c r="O33" s="488">
        <f t="shared" si="19"/>
        <v>0</v>
      </c>
      <c r="P33" s="488">
        <f t="shared" si="19"/>
        <v>0</v>
      </c>
      <c r="Q33" s="488">
        <f t="shared" ca="1" si="19"/>
        <v>111080.43423225888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14389.762934246915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8455.6018068342128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30350.25</v>
      </c>
      <c r="D8" s="1062">
        <f>'SEAP template'!D76</f>
        <v>35706.176470588238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7212.6476470588241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22845.364741081128</v>
      </c>
      <c r="C10" s="1064">
        <f>SUM(C4:C9)</f>
        <v>30350.25</v>
      </c>
      <c r="D10" s="1064">
        <f t="shared" ref="D10:H10" si="0">SUM(D8:D9)</f>
        <v>35706.176470588238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7212.6476470588241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0.25602506722360235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43357.500000000007</v>
      </c>
      <c r="D17" s="1063">
        <f>'SEAP template'!D87</f>
        <v>51008.823529411784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10303.782352941182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43357.500000000007</v>
      </c>
      <c r="D20" s="1064">
        <f t="shared" ref="D20:H20" si="2">SUM(D17:D19)</f>
        <v>51008.823529411784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10303.782352941182</v>
      </c>
    </row>
    <row r="21" spans="1:16">
      <c r="B21" s="913"/>
    </row>
    <row r="22" spans="1:16">
      <c r="A22" s="490" t="s">
        <v>815</v>
      </c>
      <c r="B22" s="807" t="s">
        <v>813</v>
      </c>
      <c r="C22" s="807">
        <f ca="1">'EF ele_warmte'!B22</f>
        <v>0.23764705882352954</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0.25602506722360235</v>
      </c>
      <c r="C17" s="527">
        <f ca="1">'EF ele_warmte'!B22</f>
        <v>0.23764705882352954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2019-06-29T17:11:24Z</dcterms:modified>
</cp:coreProperties>
</file>