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E20"/>
  <c r="B13" i="15"/>
  <c r="F6" i="17"/>
  <c r="D16" i="16"/>
  <c r="J30" i="48"/>
  <c r="J32"/>
  <c r="F30"/>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E78" i="14"/>
  <c r="E9" i="59"/>
  <c r="E10" s="1"/>
  <c r="H90" i="14"/>
  <c r="H18" i="59"/>
  <c r="H20" s="1"/>
  <c r="K15" i="48"/>
  <c r="I33"/>
  <c r="J16" i="14"/>
  <c r="J27" s="1"/>
  <c r="J7" i="48"/>
  <c r="J25" s="1"/>
  <c r="K33"/>
  <c r="H78" i="14"/>
  <c r="H9" i="59"/>
  <c r="H10" s="1"/>
  <c r="M24" i="48"/>
  <c r="M32"/>
  <c r="O78" i="14"/>
  <c r="O9" i="59"/>
  <c r="O10" s="1"/>
  <c r="G78" i="14"/>
  <c r="G9" i="59"/>
  <c r="G10" s="1"/>
  <c r="I15" i="48"/>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J90" i="14"/>
  <c r="J17" i="59"/>
  <c r="J20" s="1"/>
  <c r="Q90" i="14"/>
  <c r="B17" i="6" s="1"/>
  <c r="B22" s="1"/>
  <c r="P17" i="59"/>
  <c r="P20" s="1"/>
  <c r="G33" i="48"/>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6" i="22" l="1"/>
  <c r="C22" i="59"/>
  <c r="C29" i="20"/>
  <c r="C20" i="16"/>
  <c r="C22" s="1"/>
  <c r="D43" i="14" s="1"/>
  <c r="C56" i="22"/>
  <c r="C58" s="1"/>
  <c r="D49" i="14" s="1"/>
  <c r="D52" s="1"/>
  <c r="C17" i="19"/>
  <c r="C19" s="1"/>
  <c r="D39" i="14" s="1"/>
  <c r="C18" i="15"/>
  <c r="C20" s="1"/>
  <c r="D40" i="14" s="1"/>
  <c r="C10" i="13"/>
  <c r="C12" s="1"/>
  <c r="C17" i="49"/>
  <c r="C10" i="17"/>
  <c r="C12" s="1"/>
  <c r="D54" i="14" s="1"/>
  <c r="D56" s="1"/>
  <c r="C90"/>
  <c r="C17" i="59"/>
  <c r="C20" s="1"/>
  <c r="F26" i="48"/>
  <c r="F33"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<sst xmlns="http://schemas.openxmlformats.org/spreadsheetml/2006/main" count="2411" uniqueCount="903">
  <si>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</si>
  <si>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</si>
  <si>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</si>
  <si>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</si>
  <si>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</si>
  <si>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</si>
  <si>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</si>
  <si>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</si>
  <si>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</si>
  <si>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</si>
  <si>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</si>
  <si>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</si>
  <si>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</si>
  <si>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</si>
  <si>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</si>
  <si>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</si>
  <si>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</si>
  <si>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</si>
  <si>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</si>
  <si>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</si>
  <si>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</si>
  <si>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</si>
  <si>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</si>
  <si>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</si>
  <si>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</si>
  <si>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</si>
  <si>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</si>
  <si>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</si>
  <si>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</si>
  <si>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</si>
  <si>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</si>
  <si>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</si>
  <si>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</si>
  <si>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</si>
  <si>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</si>
  <si>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</si>
  <si>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</si>
  <si>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</si>
  <si>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</si>
  <si>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</si>
  <si>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</si>
  <si>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</si>
  <si>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</si>
  <si>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</si>
  <si>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</si>
  <si>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</si>
  <si>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</si>
  <si>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</si>
  <si>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</si>
  <si>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</si>
  <si>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</si>
  <si>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</si>
  <si>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</si>
  <si>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</si>
  <si>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</si>
  <si>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</si>
  <si>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</si>
  <si>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</si>
  <si>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</si>
  <si>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</si>
  <si>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</si>
  <si>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</si>
  <si>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</si>
  <si>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</si>
  <si>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</si>
  <si>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</si>
  <si>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</si>
  <si>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</si>
  <si>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</si>
  <si>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</si>
  <si>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</si>
  <si>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</si>
  <si>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</si>
  <si>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</si>
  <si>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</si>
  <si>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</si>
  <si>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</si>
  <si>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</si>
  <si>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</si>
  <si>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</si>
  <si>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</si>
  <si>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</si>
  <si>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</si>
  <si>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</si>
  <si>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</si>
  <si>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</si>
  <si>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</si>
  <si>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</si>
  <si>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</si>
  <si>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</si>
  <si>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</si>
  <si>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</si>
  <si>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</si>
  <si>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</si>
  <si>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</si>
  <si>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</si>
  <si>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</si>
  <si>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</si>
  <si>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</si>
  <si>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</si>
  <si>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</si>
  <si>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</si>
  <si>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</si>
  <si>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</si>
  <si>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</si>
  <si>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</si>
  <si>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</si>
  <si>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</si>
  <si>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</si>
  <si>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</si>
  <si>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</si>
  <si>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</si>
  <si>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</si>
  <si>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</si>
  <si>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</si>
  <si>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</si>
  <si>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</si>
  <si>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</si>
  <si>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</si>
  <si>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</si>
  <si>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</si>
  <si>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</si>
  <si>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</si>
  <si>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</si>
  <si>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</si>
  <si>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</si>
  <si>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</si>
  <si>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</si>
  <si>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</si>
  <si>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</si>
  <si>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</si>
  <si>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</si>
  <si>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</si>
  <si>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</si>
  <si>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</si>
  <si>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</si>
  <si>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</si>
  <si>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</si>
  <si>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</si>
  <si>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</si>
  <si>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</si>
  <si>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</si>
  <si>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</si>
  <si>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</si>
  <si>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</si>
  <si>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</si>
  <si>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</si>
  <si>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</si>
  <si>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</si>
  <si>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</si>
  <si>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</si>
  <si>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</si>
  <si>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</si>
  <si>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</si>
  <si>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</si>
  <si>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</si>
  <si>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</si>
  <si>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</si>
  <si>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</si>
  <si>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</si>
  <si>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</si>
  <si>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</si>
  <si>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</si>
  <si>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</si>
  <si>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</si>
  <si>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</si>
  <si>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</si>
  <si>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</si>
  <si>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</si>
  <si>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</si>
  <si>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</si>
  <si>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</si>
  <si>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</si>
  <si>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</si>
  <si>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</si>
  <si>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</si>
  <si>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</si>
  <si>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</si>
  <si>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</si>
  <si>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</si>
  <si>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</si>
  <si>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</si>
  <si>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</si>
  <si>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</si>
  <si>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</si>
  <si>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</si>
  <si>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</si>
  <si>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</si>
  <si>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</si>
  <si>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</si>
  <si>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</si>
  <si>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</si>
  <si>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</si>
  <si>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</si>
  <si>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</si>
  <si>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</si>
  <si>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</si>
  <si>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</si>
  <si>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</si>
  <si>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</si>
  <si>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</si>
  <si>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</si>
  <si>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</si>
  <si>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</si>
  <si>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</si>
  <si>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</si>
  <si>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</si>
  <si>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</si>
  <si>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</si>
  <si>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</si>
  <si>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</si>
  <si>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</si>
  <si>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</si>
  <si>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</si>
  <si>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</si>
  <si>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</si>
  <si>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</si>
  <si>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</si>
  <si>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</si>
  <si>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</si>
  <si>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</si>
  <si>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</si>
  <si>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</si>
  <si>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</si>
  <si>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</si>
  <si>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</si>
  <si>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</si>
  <si>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</si>
  <si>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</si>
  <si>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</si>
  <si>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</si>
  <si>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</si>
  <si>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</si>
  <si>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</si>
  <si>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</si>
  <si>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</si>
  <si>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</si>
  <si>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</si>
  <si>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</si>
  <si>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</si>
  <si>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</si>
  <si>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</si>
  <si>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</si>
  <si>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</si>
  <si>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</si>
  <si>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</si>
  <si>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</si>
  <si>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</si>
  <si>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</si>
  <si>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</si>
  <si>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</si>
  <si>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</si>
  <si>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</si>
  <si>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</si>
  <si>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</si>
  <si>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</si>
  <si>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</si>
  <si>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</si>
  <si>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</si>
  <si>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</si>
  <si>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</si>
  <si>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</si>
  <si>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</si>
  <si>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</si>
  <si>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</si>
  <si>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</si>
  <si>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</si>
  <si>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</si>
  <si>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</si>
  <si>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</si>
  <si>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</si>
  <si>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</si>
  <si>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</si>
  <si>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</si>
  <si>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</si>
  <si>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</si>
  <si>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</si>
  <si>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</si>
  <si>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</si>
  <si>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</si>
  <si>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</si>
  <si>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</si>
  <si>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</si>
  <si>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</si>
  <si>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</si>
  <si>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</si>
  <si>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</si>
  <si>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</si>
  <si>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</si>
  <si>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</si>
  <si>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</si>
  <si>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</si>
  <si>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</si>
  <si>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</si>
  <si>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</si>
  <si>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</si>
  <si>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</si>
  <si>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</si>
  <si>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</si>
  <si>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</si>
  <si>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</si>
  <si>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</si>
  <si>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</si>
  <si>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</si>
  <si>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</si>
  <si>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</si>
  <si>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</si>
  <si>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</si>
  <si>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</si>
  <si>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</si>
  <si>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</si>
  <si>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</si>
  <si>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</si>
  <si>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</si>
  <si>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</si>
  <si>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</si>
  <si>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</si>
  <si>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</si>
  <si>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</si>
  <si>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</si>
  <si>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</si>
  <si>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</si>
  <si>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</si>
  <si>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</si>
  <si>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</si>
  <si>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</si>
  <si>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</si>
  <si>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</si>
  <si>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</si>
  <si>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</si>
  <si>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</si>
  <si>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</si>
  <si>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</si>
  <si>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</si>
  <si>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</si>
  <si>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</si>
  <si>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</si>
  <si>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</si>
  <si>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</si>
  <si>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</si>
  <si>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</si>
  <si>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</si>
  <si>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</si>
  <si>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</si>
  <si>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</si>
  <si>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</si>
  <si>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</si>
  <si>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</si>
  <si>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</si>
  <si>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</si>
  <si>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</si>
  <si>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</si>
  <si>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</si>
  <si>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</si>
  <si>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</si>
  <si>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</si>
  <si>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</si>
  <si>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</si>
  <si>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</si>
  <si>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</si>
  <si>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</si>
  <si>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</si>
  <si>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</si>
  <si>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</si>
  <si>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</si>
  <si>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</si>
  <si>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</si>
  <si>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</si>
  <si>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</si>
  <si>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</si>
  <si>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</si>
  <si>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</si>
  <si>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</si>
  <si>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</si>
  <si>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</si>
  <si>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</si>
  <si>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</si>
  <si>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</si>
  <si>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</si>
  <si>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</si>
  <si>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</si>
  <si>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</si>
  <si>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</si>
  <si>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</si>
  <si>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</si>
  <si>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</si>
  <si>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</si>
  <si>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</si>
  <si>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</si>
  <si>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</si>
  <si>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</si>
  <si>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</si>
  <si>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</si>
  <si>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</si>
  <si>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</si>
  <si>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</si>
  <si>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</si>
  <si>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</si>
  <si>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</si>
  <si>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</si>
  <si>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</si>
  <si>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</si>
  <si>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</si>
  <si>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</si>
  <si>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</si>
  <si>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</si>
  <si>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</si>
  <si>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</si>
  <si>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</si>
  <si>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</si>
  <si>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</si>
  <si>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</si>
  <si>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</si>
  <si>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</si>
  <si>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</si>
  <si>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</si>
  <si>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</si>
  <si>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</si>
  <si>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</si>
  <si>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</si>
  <si>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</si>
  <si>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</si>
  <si>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</si>
  <si>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</si>
  <si>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</si>
  <si>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</si>
  <si>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</si>
  <si>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</si>
  <si>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</si>
  <si>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</si>
  <si>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</si>
  <si>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</si>
  <si>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</si>
  <si>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</si>
  <si>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</si>
  <si>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</si>
  <si>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</si>
  <si>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</si>
  <si>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</si>
  <si>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</si>
  <si>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</si>
  <si>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</si>
  <si>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</si>
  <si>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</si>
  <si>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</si>
  <si>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</si>
  <si>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</si>
  <si>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</si>
  <si>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</si>
  <si>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</si>
  <si>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</si>
  <si>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</si>
  <si>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</si>
  <si>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</si>
  <si>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</si>
  <si>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</si>
  <si>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</si>
  <si>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</si>
  <si>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</si>
  <si>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</si>
  <si>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</si>
  <si>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</si>
  <si>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</si>
  <si>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</si>
  <si>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</si>
  <si>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</si>
  <si>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</si>
  <si>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</si>
  <si>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</si>
  <si>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</si>
  <si>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</si>
  <si>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</si>
  <si>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</si>
  <si>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</si>
  <si>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</si>
  <si>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</si>
  <si>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</si>
  <si>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</si>
  <si>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</si>
  <si>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</si>
  <si>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</si>
  <si>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</si>
  <si>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</si>
  <si>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</si>
  <si>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</si>
  <si>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</si>
  <si>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</si>
  <si>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</si>
  <si>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</si>
  <si>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</si>
  <si>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</si>
  <si>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</si>
  <si>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</si>
  <si>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</si>
  <si>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</si>
  <si>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</si>
  <si>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</si>
  <si>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</si>
  <si>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</si>
  <si>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</si>
  <si>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</si>
  <si>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</si>
  <si>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</si>
  <si>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</si>
  <si>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</si>
  <si>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</si>
  <si>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</si>
  <si>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</si>
  <si>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</si>
  <si>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</si>
  <si>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</si>
  <si>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</si>
  <si>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</si>
  <si>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</si>
  <si>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</si>
  <si>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</si>
  <si>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</si>
  <si>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</si>
  <si>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</si>
  <si>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</si>
  <si>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</si>
  <si>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</si>
  <si>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</si>
  <si>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</si>
  <si>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</si>
  <si>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</si>
  <si>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</si>
  <si>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</si>
  <si>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</si>
  <si>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</si>
  <si>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</si>
  <si>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</si>
  <si>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</si>
  <si>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</si>
  <si>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</si>
  <si>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</si>
  <si>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</si>
  <si>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</si>
  <si>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</si>
  <si>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</si>
  <si>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</si>
  <si>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</si>
  <si>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</si>
  <si>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</si>
  <si>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</si>
  <si>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</si>
  <si>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</si>
  <si>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</si>
  <si>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</si>
  <si>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</si>
  <si>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</si>
  <si>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</si>
  <si>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</si>
  <si>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</si>
  <si>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</si>
  <si>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</si>
  <si>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</si>
  <si>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</si>
  <si>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</si>
  <si>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</si>
  <si>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</si>
  <si>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</si>
  <si>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</si>
  <si>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</si>
  <si>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</si>
  <si>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</si>
  <si>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</si>
  <si>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</si>
  <si>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</si>
  <si>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</si>
  <si>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</si>
  <si>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</si>
  <si>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</si>
  <si>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</si>
  <si>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</si>
  <si>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</si>
  <si>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</si>
  <si>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</si>
  <si>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</si>
  <si>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</si>
  <si>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</si>
  <si>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</si>
  <si>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</si>
  <si>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</si>
  <si>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</si>
  <si>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</si>
  <si>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</si>
  <si>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</si>
  <si>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</si>
  <si>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</si>
  <si>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</si>
  <si>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</si>
  <si>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</si>
  <si>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</si>
  <si>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</si>
  <si>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</si>
  <si>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</si>
  <si>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</si>
  <si>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</si>
  <si>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</si>
  <si>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</si>
  <si>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</si>
  <si>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</si>
  <si>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</si>
  <si>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</si>
  <si>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</si>
  <si>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</si>
  <si>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</si>
  <si>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</si>
  <si>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</si>
  <si>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</si>
  <si>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</si>
  <si>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</si>
  <si>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</si>
  <si>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</si>
  <si>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</si>
  <si>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</si>
  <si>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</si>
  <si>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</si>
  <si>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</si>
  <si>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</si>
  <si>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</si>
  <si>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</si>
  <si>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</si>
  <si>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</si>
  <si>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</si>
  <si>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</si>
  <si>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</si>
  <si>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</si>
  <si>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</si>
  <si>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</si>
  <si>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</si>
  <si>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</si>
  <si>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</si>
  <si>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</si>
  <si>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</si>
  <si>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</si>
  <si>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</si>
  <si>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</si>
  <si>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</si>
  <si>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</si>
  <si>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</si>
  <si>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</si>
  <si>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</si>
  <si>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</si>
  <si>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</si>
  <si>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</si>
  <si>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</si>
  <si>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</si>
  <si>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</si>
  <si>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</si>
  <si>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</si>
  <si>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</si>
  <si>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</si>
  <si>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</si>
  <si>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</si>
  <si>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</si>
  <si>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</si>
  <si>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</si>
  <si>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</si>
  <si>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</si>
  <si>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</si>
  <si>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</si>
  <si>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</si>
  <si>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</si>
  <si>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</si>
  <si>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</si>
  <si>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</si>
  <si>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</si>
  <si>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</si>
  <si>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</si>
  <si>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</si>
  <si>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</si>
  <si>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</si>
  <si>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</si>
  <si>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</si>
  <si>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</si>
  <si>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</si>
  <si>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</si>
  <si>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</si>
  <si>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</si>
  <si>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</si>
  <si>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</si>
  <si>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</si>
  <si>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</si>
  <si>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</si>
  <si>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</si>
  <si>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</si>
  <si>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</si>
  <si>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</si>
  <si>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</si>
  <si>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</si>
  <si>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</si>
  <si>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</si>
  <si>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</si>
  <si>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</si>
  <si>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</si>
  <si>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</si>
  <si>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</si>
  <si>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</si>
  <si>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</si>
  <si>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</si>
  <si>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</si>
  <si>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</si>
  <si>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</si>
  <si>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</si>
  <si>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</si>
  <si>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</si>
  <si>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</si>
  <si>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</si>
  <si>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</si>
  <si>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</si>
  <si>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</si>
  <si>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</si>
  <si>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</si>
  <si>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</si>
  <si>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</si>
  <si>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</si>
  <si>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</si>
  <si>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</si>
  <si>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</si>
  <si>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</si>
  <si>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</si>
  <si>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</si>
  <si>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</si>
  <si>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</si>
  <si>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</si>
  <si>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</si>
  <si>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</si>
  <si>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</si>
  <si>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</si>
  <si>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</si>
  <si>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</si>
  <si>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</si>
  <si>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</si>
  <si>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</si>
  <si>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</si>
  <si>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</si>
  <si>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</si>
  <si>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</si>
  <si>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</si>
  <si>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</si>
  <si>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</si>
  <si>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</si>
  <si>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</si>
  <si>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</si>
  <si>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</si>
  <si>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</si>
  <si>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</si>
  <si>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</si>
  <si>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</si>
  <si>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</si>
  <si>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</si>
  <si>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</si>
  <si>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</si>
  <si>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</si>
  <si>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</si>
  <si>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</si>
  <si>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</si>
  <si>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</si>
  <si>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</si>
  <si>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</si>
  <si>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</si>
  <si>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</si>
  <si>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</si>
  <si>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</si>
  <si>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</si>
  <si>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</si>
  <si>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</si>
  <si>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</si>
  <si>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</si>
  <si>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</si>
  <si>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</si>
  <si>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</si>
  <si>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</si>
  <si>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</si>
  <si>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</si>
  <si>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</si>
  <si>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</si>
  <si>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</si>
  <si>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</si>
  <si>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</si>
  <si>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</si>
  <si>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</si>
  <si>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</si>
  <si>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</si>
  <si>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</si>
  <si>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</si>
  <si>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</si>
  <si>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</si>
  <si>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</si>
  <si>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</si>
  <si>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</si>
  <si>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</si>
  <si>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</si>
  <si>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</si>
  <si>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</si>
  <si>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</si>
  <si>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</si>
  <si>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</si>
  <si>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</si>
  <si>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</si>
  <si>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</si>
  <si>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</si>
  <si>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</si>
  <si>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</si>
  <si>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</si>
  <si>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</si>
  <si>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</si>
  <si>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</si>
  <si>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</si>
  <si>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</si>
  <si>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</si>
  <si>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</si>
  <si>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</si>
  <si>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</si>
  <si>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</si>
  <si>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</si>
  <si>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</si>
  <si>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</si>
  <si>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</si>
  <si>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</si>
  <si>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</si>
  <si>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</si>
  <si>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</si>
  <si>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</si>
  <si>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</si>
  <si>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</si>
  <si>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</si>
  <si>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</si>
  <si>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</si>
  <si>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</si>
  <si>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</si>
  <si>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</si>
  <si>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</si>
  <si>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</si>
  <si>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</si>
  <si>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</si>
  <si>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</si>
  <si>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</si>
  <si>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</si>
  <si>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</si>
  <si>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</si>
  <si>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</si>
  <si>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</si>
  <si>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</si>
  <si>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</si>
  <si>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</si>
  <si>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</si>
  <si>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</si>
  <si>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</si>
  <si>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</si>
  <si>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</si>
  <si>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</si>
  <si>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</si>
  <si>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</si>
  <si>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</si>
  <si>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</si>
  <si>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</si>
  <si>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</si>
  <si>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</si>
  <si>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</si>
  <si>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</si>
  <si>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</si>
  <si>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</si>
  <si>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</si>
  <si>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</si>
  <si>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</si>
  <si>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</si>
  <si>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</si>
  <si>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</si>
  <si>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</si>
  <si>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</si>
  <si>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</si>
  <si>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44034</t>
  </si>
  <si>
    <t>LOCHRISTI</t>
  </si>
  <si>
    <t>Mestbank (maart 2019)</t>
  </si>
  <si>
    <t>Fluvius (februari 2019)</t>
  </si>
  <si>
    <t>referentietaak LNE (2017); Jaarverslag De Lijn (2018)</t>
  </si>
  <si>
    <t>VEA (30 april 2019)</t>
  </si>
  <si>
    <t>VEA (mei 2018)</t>
  </si>
  <si>
    <t>VEA (mei 2019)</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</si>
  <si>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</si>
  <si>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</si>
  <si>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</si>
  <si>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</si>
  <si>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</si>
  <si>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</si>
  <si>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</si>
  <si>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</si>
  <si>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</si>
  <si>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</si>
  <si>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ID’Flor bvba</t>
  </si>
  <si>
    <t>Stationsstraat 111 , 9080 Lochristi</t>
  </si>
  <si>
    <t>WKK-0484 Floré</t>
  </si>
  <si>
    <t>Biolectric nv</t>
  </si>
  <si>
    <t>Jan de Malschelaan 4 B, 9140 Temse</t>
  </si>
  <si>
    <t>WKK-0503 Kris De Mol</t>
  </si>
  <si>
    <t>Kapelstraat 30 , 9080 Zaffelare</t>
  </si>
  <si>
    <t>Floreac II</t>
  </si>
  <si>
    <t>WKK-0685 Floreac II</t>
  </si>
  <si>
    <t>Lichtelarestraat 87, 9080 Lochristi, BE</t>
  </si>
  <si>
    <t>IMEWO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</si>
</sst>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155239.7833409856</c:v>
                </c:pt>
                <c:pt idx="1">
                  <c:v>64356.446140134169</c:v>
                </c:pt>
                <c:pt idx="2">
                  <c:v>1647.5350000000001</c:v>
                </c:pt>
                <c:pt idx="3">
                  <c:v>103586.4451875519</c:v>
                </c:pt>
                <c:pt idx="4">
                  <c:v>44049.258012486745</c:v>
                </c:pt>
                <c:pt idx="5">
                  <c:v>292354.08366265375</c:v>
                </c:pt>
                <c:pt idx="6">
                  <c:v>2215.4200581222717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16448"/>
        <c:axId val="76617984"/>
      </c:barChart>
      <c:catAx>
        <c:axId val="76616448"/>
        <c:scaling>
          <c:orientation val="minMax"/>
        </c:scaling>
        <c:axPos val="b"/>
        <c:numFmt formatCode="General" sourceLinked="0"/>
        <c:tickLblPos val="nextTo"/>
        <c:crossAx val="76617984"/>
        <c:crosses val="autoZero"/>
        <c:auto val="1"/>
        <c:lblAlgn val="ctr"/>
        <c:lblOffset val="100"/>
      </c:catAx>
      <c:valAx>
        <c:axId val="76617984"/>
        <c:scaling>
          <c:orientation val="minMax"/>
        </c:scaling>
        <c:axPos val="l"/>
        <c:majorGridlines/>
        <c:numFmt formatCode="#,##0" sourceLinked="1"/>
        <c:tickLblPos val="nextTo"/>
        <c:crossAx val="76616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155239.7833409856</c:v>
                </c:pt>
                <c:pt idx="1">
                  <c:v>64356.446140134169</c:v>
                </c:pt>
                <c:pt idx="2">
                  <c:v>1647.5350000000001</c:v>
                </c:pt>
                <c:pt idx="3">
                  <c:v>103586.4451875519</c:v>
                </c:pt>
                <c:pt idx="4">
                  <c:v>44049.258012486745</c:v>
                </c:pt>
                <c:pt idx="5">
                  <c:v>292354.08366265375</c:v>
                </c:pt>
                <c:pt idx="6">
                  <c:v>2215.4200581222717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27876.854997363083</c:v>
                </c:pt>
                <c:pt idx="1">
                  <c:v>12674.270594809599</c:v>
                </c:pt>
                <c:pt idx="2">
                  <c:v>328.37193513281159</c:v>
                </c:pt>
                <c:pt idx="3">
                  <c:v>24532.358889420564</c:v>
                </c:pt>
                <c:pt idx="4">
                  <c:v>9048.0989398461552</c:v>
                </c:pt>
                <c:pt idx="5">
                  <c:v>72947.998554921811</c:v>
                </c:pt>
                <c:pt idx="6">
                  <c:v>560.37163788337307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2128"/>
        <c:axId val="76842112"/>
      </c:barChart>
      <c:catAx>
        <c:axId val="76832128"/>
        <c:scaling>
          <c:orientation val="minMax"/>
        </c:scaling>
        <c:axPos val="b"/>
        <c:numFmt formatCode="General" sourceLinked="0"/>
        <c:tickLblPos val="nextTo"/>
        <c:crossAx val="76842112"/>
        <c:crosses val="autoZero"/>
        <c:auto val="1"/>
        <c:lblAlgn val="ctr"/>
        <c:lblOffset val="100"/>
      </c:catAx>
      <c:valAx>
        <c:axId val="76842112"/>
        <c:scaling>
          <c:orientation val="minMax"/>
        </c:scaling>
        <c:axPos val="l"/>
        <c:majorGridlines/>
        <c:numFmt formatCode="#,##0" sourceLinked="1"/>
        <c:tickLblPos val="nextTo"/>
        <c:crossAx val="76832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27876.854997363083</c:v>
                </c:pt>
                <c:pt idx="1">
                  <c:v>12674.270594809599</c:v>
                </c:pt>
                <c:pt idx="2">
                  <c:v>328.37193513281159</c:v>
                </c:pt>
                <c:pt idx="3">
                  <c:v>24532.358889420564</c:v>
                </c:pt>
                <c:pt idx="4">
                  <c:v>9048.0989398461552</c:v>
                </c:pt>
                <c:pt idx="5">
                  <c:v>72947.998554921811</c:v>
                </c:pt>
                <c:pt idx="6">
                  <c:v>560.37163788337307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44034</v>
      </c>
      <c r="B6" s="415"/>
      <c r="C6" s="416"/>
    </row>
    <row r="7" spans="1:7" s="413" customFormat="1" ht="15.75" customHeight="1">
      <c r="A7" s="417" t="str">
        <f>txtMunicipality</f>
        <v>LOCHRISTI</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0.19931105265309179</v>
      </c>
      <c r="C17" s="527">
        <f ca="1">'EF ele_warmte'!B22</f>
        <v>0.23652419832006455</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0.19931105265309179</v>
      </c>
      <c r="C29" s="528">
        <f ca="1">'EF ele_warmte'!B22</f>
        <v>0.23652419832006455</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8847</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3503.28</v>
      </c>
    </row>
    <row r="15" spans="1:6">
      <c r="A15" s="348" t="s">
        <v>183</v>
      </c>
      <c r="B15" s="334">
        <v>59</v>
      </c>
    </row>
    <row r="16" spans="1:6">
      <c r="A16" s="348" t="s">
        <v>6</v>
      </c>
      <c r="B16" s="334">
        <v>2115</v>
      </c>
    </row>
    <row r="17" spans="1:6">
      <c r="A17" s="348" t="s">
        <v>7</v>
      </c>
      <c r="B17" s="334">
        <v>1492</v>
      </c>
    </row>
    <row r="18" spans="1:6">
      <c r="A18" s="348" t="s">
        <v>8</v>
      </c>
      <c r="B18" s="334">
        <v>2523</v>
      </c>
    </row>
    <row r="19" spans="1:6">
      <c r="A19" s="348" t="s">
        <v>9</v>
      </c>
      <c r="B19" s="334">
        <v>2823</v>
      </c>
    </row>
    <row r="20" spans="1:6">
      <c r="A20" s="348" t="s">
        <v>10</v>
      </c>
      <c r="B20" s="334">
        <v>1781</v>
      </c>
    </row>
    <row r="21" spans="1:6">
      <c r="A21" s="348" t="s">
        <v>11</v>
      </c>
      <c r="B21" s="334">
        <v>13053</v>
      </c>
    </row>
    <row r="22" spans="1:6">
      <c r="A22" s="348" t="s">
        <v>12</v>
      </c>
      <c r="B22" s="334">
        <v>10699</v>
      </c>
    </row>
    <row r="23" spans="1:6">
      <c r="A23" s="348" t="s">
        <v>13</v>
      </c>
      <c r="B23" s="334">
        <v>311</v>
      </c>
    </row>
    <row r="24" spans="1:6">
      <c r="A24" s="348" t="s">
        <v>14</v>
      </c>
      <c r="B24" s="334">
        <v>20</v>
      </c>
    </row>
    <row r="25" spans="1:6">
      <c r="A25" s="348" t="s">
        <v>15</v>
      </c>
      <c r="B25" s="334">
        <v>3286</v>
      </c>
    </row>
    <row r="26" spans="1:6">
      <c r="A26" s="348" t="s">
        <v>16</v>
      </c>
      <c r="B26" s="334">
        <v>614</v>
      </c>
    </row>
    <row r="27" spans="1:6">
      <c r="A27" s="348" t="s">
        <v>17</v>
      </c>
      <c r="B27" s="334">
        <v>926</v>
      </c>
    </row>
    <row r="28" spans="1:6" s="356" customFormat="1">
      <c r="A28" s="355" t="s">
        <v>18</v>
      </c>
      <c r="B28" s="355">
        <v>45510</v>
      </c>
    </row>
    <row r="29" spans="1:6">
      <c r="A29" s="355" t="s">
        <v>713</v>
      </c>
      <c r="B29" s="355">
        <v>178</v>
      </c>
      <c r="C29" s="356"/>
      <c r="D29" s="356"/>
      <c r="E29" s="356"/>
      <c r="F29" s="356"/>
    </row>
    <row r="30" spans="1:6">
      <c r="A30" s="341" t="s">
        <v>714</v>
      </c>
      <c r="B30" s="341">
        <v>73</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218498.36799999999</v>
      </c>
      <c r="E38" s="334">
        <v>6</v>
      </c>
      <c r="F38" s="334">
        <v>162090.68799999999</v>
      </c>
    </row>
    <row r="39" spans="1:6">
      <c r="A39" s="348" t="s">
        <v>29</v>
      </c>
      <c r="B39" s="348" t="s">
        <v>30</v>
      </c>
      <c r="C39" s="334">
        <v>5321</v>
      </c>
      <c r="D39" s="334">
        <v>81830987.120000005</v>
      </c>
      <c r="E39" s="334">
        <v>8281</v>
      </c>
      <c r="F39" s="334">
        <v>34424314.950000003</v>
      </c>
    </row>
    <row r="40" spans="1:6">
      <c r="A40" s="348" t="s">
        <v>29</v>
      </c>
      <c r="B40" s="348" t="s">
        <v>28</v>
      </c>
      <c r="C40" s="334">
        <v>0</v>
      </c>
      <c r="D40" s="334">
        <v>0</v>
      </c>
      <c r="E40" s="334">
        <v>0</v>
      </c>
      <c r="F40" s="334">
        <v>0</v>
      </c>
    </row>
    <row r="41" spans="1:6">
      <c r="A41" s="348" t="s">
        <v>31</v>
      </c>
      <c r="B41" s="348" t="s">
        <v>32</v>
      </c>
      <c r="C41" s="334">
        <v>112</v>
      </c>
      <c r="D41" s="334">
        <v>2080907.159</v>
      </c>
      <c r="E41" s="334">
        <v>230</v>
      </c>
      <c r="F41" s="334">
        <v>3410009.389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6</v>
      </c>
      <c r="D44" s="334">
        <v>139936.55300000001</v>
      </c>
      <c r="E44" s="334">
        <v>27</v>
      </c>
      <c r="F44" s="334">
        <v>360366.93699999998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7</v>
      </c>
      <c r="D47" s="334">
        <v>137787.59</v>
      </c>
      <c r="E47" s="334">
        <v>8</v>
      </c>
      <c r="F47" s="334">
        <v>66689.702999999994</v>
      </c>
    </row>
    <row r="48" spans="1:6">
      <c r="A48" s="348" t="s">
        <v>31</v>
      </c>
      <c r="B48" s="348" t="s">
        <v>28</v>
      </c>
      <c r="C48" s="334">
        <v>22</v>
      </c>
      <c r="D48" s="334">
        <v>31093765.23</v>
      </c>
      <c r="E48" s="334">
        <v>26</v>
      </c>
      <c r="F48" s="334">
        <v>3453982.3110000002</v>
      </c>
    </row>
    <row r="49" spans="1:6">
      <c r="A49" s="348" t="s">
        <v>31</v>
      </c>
      <c r="B49" s="348" t="s">
        <v>39</v>
      </c>
      <c r="C49" s="334">
        <v>0</v>
      </c>
      <c r="D49" s="334">
        <v>0</v>
      </c>
      <c r="E49" s="334">
        <v>0</v>
      </c>
      <c r="F49" s="334">
        <v>0</v>
      </c>
    </row>
    <row r="50" spans="1:6">
      <c r="A50" s="348" t="s">
        <v>31</v>
      </c>
      <c r="B50" s="348" t="s">
        <v>40</v>
      </c>
      <c r="C50" s="334">
        <v>10</v>
      </c>
      <c r="D50" s="334">
        <v>446811.24400000001</v>
      </c>
      <c r="E50" s="334">
        <v>17</v>
      </c>
      <c r="F50" s="334">
        <v>1053098.2390000001</v>
      </c>
    </row>
    <row r="51" spans="1:6">
      <c r="A51" s="348" t="s">
        <v>41</v>
      </c>
      <c r="B51" s="348" t="s">
        <v>42</v>
      </c>
      <c r="C51" s="334">
        <v>95</v>
      </c>
      <c r="D51" s="334">
        <v>66020194.009999998</v>
      </c>
      <c r="E51" s="334">
        <v>381</v>
      </c>
      <c r="F51" s="334">
        <v>11621701.439999999</v>
      </c>
    </row>
    <row r="52" spans="1:6">
      <c r="A52" s="348" t="s">
        <v>41</v>
      </c>
      <c r="B52" s="348" t="s">
        <v>28</v>
      </c>
      <c r="C52" s="334">
        <v>9</v>
      </c>
      <c r="D52" s="334">
        <v>237134.848</v>
      </c>
      <c r="E52" s="334">
        <v>8</v>
      </c>
      <c r="F52" s="334">
        <v>91647.202000000005</v>
      </c>
    </row>
    <row r="53" spans="1:6">
      <c r="A53" s="348" t="s">
        <v>43</v>
      </c>
      <c r="B53" s="348" t="s">
        <v>44</v>
      </c>
      <c r="C53" s="334">
        <v>124</v>
      </c>
      <c r="D53" s="334">
        <v>1879941.3629999999</v>
      </c>
      <c r="E53" s="334">
        <v>305</v>
      </c>
      <c r="F53" s="334">
        <v>1184390.365</v>
      </c>
    </row>
    <row r="54" spans="1:6">
      <c r="A54" s="348" t="s">
        <v>45</v>
      </c>
      <c r="B54" s="348" t="s">
        <v>46</v>
      </c>
      <c r="C54" s="334">
        <v>0</v>
      </c>
      <c r="D54" s="334">
        <v>0</v>
      </c>
      <c r="E54" s="334">
        <v>2</v>
      </c>
      <c r="F54" s="334">
        <v>1647535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83</v>
      </c>
      <c r="D57" s="334">
        <v>8209166.1009999998</v>
      </c>
      <c r="E57" s="334">
        <v>180</v>
      </c>
      <c r="F57" s="334">
        <v>3041087.9</v>
      </c>
    </row>
    <row r="58" spans="1:6">
      <c r="A58" s="348" t="s">
        <v>48</v>
      </c>
      <c r="B58" s="348" t="s">
        <v>50</v>
      </c>
      <c r="C58" s="334">
        <v>43</v>
      </c>
      <c r="D58" s="334">
        <v>1366874.0660000001</v>
      </c>
      <c r="E58" s="334">
        <v>57</v>
      </c>
      <c r="F58" s="334">
        <v>434071.42700000003</v>
      </c>
    </row>
    <row r="59" spans="1:6">
      <c r="A59" s="348" t="s">
        <v>48</v>
      </c>
      <c r="B59" s="348" t="s">
        <v>51</v>
      </c>
      <c r="C59" s="334">
        <v>142</v>
      </c>
      <c r="D59" s="334">
        <v>8619778.4149999991</v>
      </c>
      <c r="E59" s="334">
        <v>301</v>
      </c>
      <c r="F59" s="334">
        <v>12128724.67</v>
      </c>
    </row>
    <row r="60" spans="1:6">
      <c r="A60" s="348" t="s">
        <v>48</v>
      </c>
      <c r="B60" s="348" t="s">
        <v>52</v>
      </c>
      <c r="C60" s="334">
        <v>89</v>
      </c>
      <c r="D60" s="334">
        <v>5292876.9160000002</v>
      </c>
      <c r="E60" s="334">
        <v>116</v>
      </c>
      <c r="F60" s="334">
        <v>3812909.9950000001</v>
      </c>
    </row>
    <row r="61" spans="1:6">
      <c r="A61" s="348" t="s">
        <v>48</v>
      </c>
      <c r="B61" s="348" t="s">
        <v>53</v>
      </c>
      <c r="C61" s="334">
        <v>191</v>
      </c>
      <c r="D61" s="334">
        <v>4548674.21</v>
      </c>
      <c r="E61" s="334">
        <v>379</v>
      </c>
      <c r="F61" s="334">
        <v>5596950.4369999999</v>
      </c>
    </row>
    <row r="62" spans="1:6">
      <c r="A62" s="348" t="s">
        <v>48</v>
      </c>
      <c r="B62" s="348" t="s">
        <v>54</v>
      </c>
      <c r="C62" s="334">
        <v>5</v>
      </c>
      <c r="D62" s="334">
        <v>166702.342</v>
      </c>
      <c r="E62" s="334">
        <v>12</v>
      </c>
      <c r="F62" s="334">
        <v>101531.3</v>
      </c>
    </row>
    <row r="63" spans="1:6">
      <c r="A63" s="348" t="s">
        <v>48</v>
      </c>
      <c r="B63" s="348" t="s">
        <v>28</v>
      </c>
      <c r="C63" s="334">
        <v>106</v>
      </c>
      <c r="D63" s="334">
        <v>5836650.3289999999</v>
      </c>
      <c r="E63" s="334">
        <v>97</v>
      </c>
      <c r="F63" s="334">
        <v>2675881.335</v>
      </c>
    </row>
    <row r="64" spans="1:6">
      <c r="A64" s="348" t="s">
        <v>55</v>
      </c>
      <c r="B64" s="348" t="s">
        <v>56</v>
      </c>
      <c r="C64" s="334">
        <v>0</v>
      </c>
      <c r="D64" s="334">
        <v>0</v>
      </c>
      <c r="E64" s="334">
        <v>0</v>
      </c>
      <c r="F64" s="334">
        <v>0</v>
      </c>
    </row>
    <row r="65" spans="1:6">
      <c r="A65" s="348" t="s">
        <v>55</v>
      </c>
      <c r="B65" s="348" t="s">
        <v>28</v>
      </c>
      <c r="C65" s="334">
        <v>3</v>
      </c>
      <c r="D65" s="334">
        <v>74527.326000000001</v>
      </c>
      <c r="E65" s="334">
        <v>3</v>
      </c>
      <c r="F65" s="334">
        <v>1954.566</v>
      </c>
    </row>
    <row r="66" spans="1:6">
      <c r="A66" s="348" t="s">
        <v>55</v>
      </c>
      <c r="B66" s="348" t="s">
        <v>57</v>
      </c>
      <c r="C66" s="334">
        <v>0</v>
      </c>
      <c r="D66" s="334">
        <v>0</v>
      </c>
      <c r="E66" s="334">
        <v>11</v>
      </c>
      <c r="F66" s="334">
        <v>425728.12699999998</v>
      </c>
    </row>
    <row r="67" spans="1:6">
      <c r="A67" s="355" t="s">
        <v>55</v>
      </c>
      <c r="B67" s="355" t="s">
        <v>58</v>
      </c>
      <c r="C67" s="334">
        <v>0</v>
      </c>
      <c r="D67" s="334">
        <v>0</v>
      </c>
      <c r="E67" s="334">
        <v>0</v>
      </c>
      <c r="F67" s="334">
        <v>0</v>
      </c>
    </row>
    <row r="68" spans="1:6">
      <c r="A68" s="341" t="s">
        <v>55</v>
      </c>
      <c r="B68" s="341" t="s">
        <v>59</v>
      </c>
      <c r="C68" s="334">
        <v>8</v>
      </c>
      <c r="D68" s="334">
        <v>217185.473</v>
      </c>
      <c r="E68" s="334">
        <v>23</v>
      </c>
      <c r="F68" s="334">
        <v>216845.889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66384647</v>
      </c>
      <c r="E73" s="476"/>
    </row>
    <row r="74" spans="1:6">
      <c r="A74" s="348" t="s">
        <v>63</v>
      </c>
      <c r="B74" s="348" t="s">
        <v>651</v>
      </c>
      <c r="C74" s="1307" t="s">
        <v>653</v>
      </c>
      <c r="D74" s="476">
        <v>8124191</v>
      </c>
      <c r="E74" s="476"/>
    </row>
    <row r="75" spans="1:6">
      <c r="A75" s="348" t="s">
        <v>64</v>
      </c>
      <c r="B75" s="348" t="s">
        <v>650</v>
      </c>
      <c r="C75" s="1307" t="s">
        <v>654</v>
      </c>
      <c r="D75" s="476">
        <v>30794973</v>
      </c>
      <c r="E75" s="476"/>
    </row>
    <row r="76" spans="1:6">
      <c r="A76" s="348" t="s">
        <v>64</v>
      </c>
      <c r="B76" s="348" t="s">
        <v>651</v>
      </c>
      <c r="C76" s="1307" t="s">
        <v>655</v>
      </c>
      <c r="D76" s="476">
        <v>1496798</v>
      </c>
      <c r="E76" s="476"/>
    </row>
    <row r="77" spans="1:6">
      <c r="A77" s="348" t="s">
        <v>65</v>
      </c>
      <c r="B77" s="348" t="s">
        <v>650</v>
      </c>
      <c r="C77" s="1307" t="s">
        <v>656</v>
      </c>
      <c r="D77" s="476">
        <v>151970177</v>
      </c>
      <c r="E77" s="476"/>
    </row>
    <row r="78" spans="1:6">
      <c r="A78" s="341" t="s">
        <v>65</v>
      </c>
      <c r="B78" s="341" t="s">
        <v>651</v>
      </c>
      <c r="C78" s="341" t="s">
        <v>657</v>
      </c>
      <c r="D78" s="1308">
        <v>36558240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615472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11318.776942182023</v>
      </c>
    </row>
    <row r="91" spans="1:6">
      <c r="A91" s="348" t="s">
        <v>67</v>
      </c>
      <c r="B91" s="334">
        <v>6929.2516252849236</v>
      </c>
    </row>
    <row r="92" spans="1:6">
      <c r="A92" s="341" t="s">
        <v>68</v>
      </c>
      <c r="B92" s="342">
        <v>654.30272771842317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1839</v>
      </c>
    </row>
    <row r="98" spans="1:6">
      <c r="A98" s="348" t="s">
        <v>71</v>
      </c>
      <c r="B98" s="334">
        <v>1</v>
      </c>
    </row>
    <row r="99" spans="1:6">
      <c r="A99" s="348" t="s">
        <v>72</v>
      </c>
      <c r="B99" s="334">
        <v>88</v>
      </c>
    </row>
    <row r="100" spans="1:6">
      <c r="A100" s="348" t="s">
        <v>73</v>
      </c>
      <c r="B100" s="334">
        <v>900</v>
      </c>
    </row>
    <row r="101" spans="1:6">
      <c r="A101" s="348" t="s">
        <v>74</v>
      </c>
      <c r="B101" s="334">
        <v>104</v>
      </c>
    </row>
    <row r="102" spans="1:6">
      <c r="A102" s="348" t="s">
        <v>75</v>
      </c>
      <c r="B102" s="334">
        <v>110</v>
      </c>
    </row>
    <row r="103" spans="1:6">
      <c r="A103" s="348" t="s">
        <v>76</v>
      </c>
      <c r="B103" s="334">
        <v>301</v>
      </c>
    </row>
    <row r="104" spans="1:6">
      <c r="A104" s="348" t="s">
        <v>77</v>
      </c>
      <c r="B104" s="334">
        <v>3609</v>
      </c>
    </row>
    <row r="105" spans="1:6">
      <c r="A105" s="341" t="s">
        <v>78</v>
      </c>
      <c r="B105" s="341">
        <v>12</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1</v>
      </c>
      <c r="C122" s="334">
        <v>0</v>
      </c>
    </row>
    <row r="123" spans="1:6">
      <c r="A123" s="348" t="s">
        <v>87</v>
      </c>
      <c r="B123" s="334">
        <v>92</v>
      </c>
      <c r="C123" s="334">
        <v>101</v>
      </c>
    </row>
    <row r="124" spans="1:6">
      <c r="A124" s="341" t="s">
        <v>88</v>
      </c>
      <c r="B124" s="334">
        <v>6</v>
      </c>
      <c r="C124" s="334">
        <v>3</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268</v>
      </c>
    </row>
    <row r="130" spans="1:6">
      <c r="A130" s="348" t="s">
        <v>294</v>
      </c>
      <c r="B130" s="334">
        <v>1</v>
      </c>
    </row>
    <row r="131" spans="1:6">
      <c r="A131" s="348" t="s">
        <v>295</v>
      </c>
      <c r="B131" s="334">
        <v>1</v>
      </c>
    </row>
    <row r="132" spans="1:6">
      <c r="A132" s="341" t="s">
        <v>296</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92304.446406711315</v>
      </c>
      <c r="C3" s="43" t="s">
        <v>169</v>
      </c>
      <c r="D3" s="43"/>
      <c r="E3" s="154"/>
      <c r="F3" s="43"/>
      <c r="G3" s="43"/>
      <c r="H3" s="43"/>
      <c r="I3" s="43"/>
      <c r="J3" s="43"/>
      <c r="K3" s="96"/>
    </row>
    <row r="4" spans="1:11">
      <c r="A4" s="383" t="s">
        <v>170</v>
      </c>
      <c r="B4" s="49">
        <f>IF(ISERROR('SEAP template'!B78),0,'SEAP template'!B78)</f>
        <v>18945.981295185371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2185.0755882352946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0.19931105265309179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3121.5365546218491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13197.535714285714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0.23652419832006455</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1647.5350000000001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1647.5350000000001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0.19931105265309179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328.37193513281159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34424.31495</v>
      </c>
      <c r="C5" s="17">
        <f>IF(ISERROR('Eigen informatie GS &amp; warmtenet'!B59),0,'Eigen informatie GS &amp; warmtenet'!B59)</f>
        <v>0</v>
      </c>
      <c r="D5" s="30">
        <f>(SUM(HH_hh_gas_kWh,HH_rest_gas_kWh)/1000)*0.902</f>
        <v>73811.550382240006</v>
      </c>
      <c r="E5" s="17">
        <f>B46*B57</f>
        <v>9192.2513211604746</v>
      </c>
      <c r="F5" s="17">
        <f>B51*B62</f>
        <v>9880.3666111139355</v>
      </c>
      <c r="G5" s="18"/>
      <c r="H5" s="17"/>
      <c r="I5" s="17"/>
      <c r="J5" s="17">
        <f>B50*B61+C50*C61</f>
        <v>0</v>
      </c>
      <c r="K5" s="17"/>
      <c r="L5" s="17"/>
      <c r="M5" s="17"/>
      <c r="N5" s="17">
        <f>B48*B59+C48*C59</f>
        <v>18799.795649806038</v>
      </c>
      <c r="O5" s="17">
        <f>B69*B70*B71</f>
        <v>738.03245761197581</v>
      </c>
      <c r="P5" s="17">
        <f>B77*B78*B79/1000-B77*B78*B79/1000/B80</f>
        <v>1464.2203437682183</v>
      </c>
    </row>
    <row r="6" spans="1:16">
      <c r="A6" s="16" t="s">
        <v>615</v>
      </c>
      <c r="B6" s="809">
        <f>kWh_PV_kleiner_dan_10kW</f>
        <v>6929.2516252849236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41353.566575284924</v>
      </c>
      <c r="C8" s="21">
        <f>C5</f>
        <v>0</v>
      </c>
      <c r="D8" s="21">
        <f>D5</f>
        <v>73811.550382240006</v>
      </c>
      <c r="E8" s="21">
        <f>E5</f>
        <v>9192.2513211604746</v>
      </c>
      <c r="F8" s="21">
        <f>F5</f>
        <v>9880.3666111139355</v>
      </c>
      <c r="G8" s="21"/>
      <c r="H8" s="21"/>
      <c r="I8" s="21"/>
      <c r="J8" s="21">
        <f>J5</f>
        <v>0</v>
      </c>
      <c r="K8" s="21"/>
      <c r="L8" s="21">
        <f>L5</f>
        <v>0</v>
      </c>
      <c r="M8" s="21">
        <f>M5</f>
        <v>0</v>
      </c>
      <c r="N8" s="21">
        <f>N5</f>
        <v>18799.795649806038</v>
      </c>
      <c r="O8" s="21">
        <f>O5</f>
        <v>738.03245761197581</v>
      </c>
      <c r="P8" s="21">
        <f>P5</f>
        <v>1464.2203437682183</v>
      </c>
    </row>
    <row r="9" spans="1:16">
      <c r="B9" s="19"/>
      <c r="C9" s="19"/>
      <c r="D9" s="258"/>
      <c r="E9" s="19"/>
      <c r="F9" s="19"/>
      <c r="G9" s="19"/>
      <c r="H9" s="19"/>
      <c r="I9" s="19"/>
      <c r="J9" s="19"/>
      <c r="K9" s="19"/>
      <c r="L9" s="19"/>
      <c r="M9" s="19"/>
      <c r="N9" s="19"/>
      <c r="O9" s="19"/>
      <c r="P9" s="19"/>
    </row>
    <row r="10" spans="1:16">
      <c r="A10" s="24" t="s">
        <v>213</v>
      </c>
      <c r="B10" s="25">
        <f ca="1">'EF ele_warmte'!B12</f>
        <v>0.19931105265309179</v>
      </c>
      <c r="C10" s="25">
        <f ca="1">'EF ele_warmte'!B22</f>
        <v>0.23652419832006455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8242.222885079751</v>
      </c>
      <c r="C12" s="23">
        <f ca="1">C10*C8</f>
        <v>0</v>
      </c>
      <c r="D12" s="23">
        <f>D8*D10</f>
        <v>14909.933177212482</v>
      </c>
      <c r="E12" s="23">
        <f>E10*E8</f>
        <v>2086.6410499034278</v>
      </c>
      <c r="F12" s="23">
        <f>F10*F8</f>
        <v>2638.0578851674209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1839</v>
      </c>
      <c r="C18" s="166" t="s">
        <v>110</v>
      </c>
      <c r="D18" s="228"/>
      <c r="E18" s="15"/>
    </row>
    <row r="19" spans="1:7">
      <c r="A19" s="171" t="s">
        <v>71</v>
      </c>
      <c r="B19" s="37">
        <f>aantalw2001_ander</f>
        <v>1</v>
      </c>
      <c r="C19" s="166" t="s">
        <v>110</v>
      </c>
      <c r="D19" s="229"/>
      <c r="E19" s="15"/>
    </row>
    <row r="20" spans="1:7">
      <c r="A20" s="171" t="s">
        <v>72</v>
      </c>
      <c r="B20" s="37">
        <f>aantalw2001_propaan</f>
        <v>88</v>
      </c>
      <c r="C20" s="167">
        <f>IF(ISERROR(B20/SUM($B$20,$B$21,$B$22)*100),0,B20/SUM($B$20,$B$21,$B$22)*100)</f>
        <v>8.0586080586080584</v>
      </c>
      <c r="D20" s="229"/>
      <c r="E20" s="15"/>
    </row>
    <row r="21" spans="1:7">
      <c r="A21" s="171" t="s">
        <v>73</v>
      </c>
      <c r="B21" s="37">
        <f>aantalw2001_elektriciteit</f>
        <v>900</v>
      </c>
      <c r="C21" s="167">
        <f>IF(ISERROR(B21/SUM($B$20,$B$21,$B$22)*100),0,B21/SUM($B$20,$B$21,$B$22)*100)</f>
        <v>82.417582417582409</v>
      </c>
      <c r="D21" s="229"/>
      <c r="E21" s="15"/>
    </row>
    <row r="22" spans="1:7">
      <c r="A22" s="171" t="s">
        <v>74</v>
      </c>
      <c r="B22" s="37">
        <f>aantalw2001_hout</f>
        <v>104</v>
      </c>
      <c r="C22" s="167">
        <f>IF(ISERROR(B22/SUM($B$20,$B$21,$B$22)*100),0,B22/SUM($B$20,$B$21,$B$22)*100)</f>
        <v>9.5238095238095237</v>
      </c>
      <c r="D22" s="229"/>
      <c r="E22" s="15"/>
    </row>
    <row r="23" spans="1:7">
      <c r="A23" s="171" t="s">
        <v>75</v>
      </c>
      <c r="B23" s="37">
        <f>aantalw2001_niet_gespec</f>
        <v>110</v>
      </c>
      <c r="C23" s="166" t="s">
        <v>110</v>
      </c>
      <c r="D23" s="228"/>
      <c r="E23" s="15"/>
    </row>
    <row r="24" spans="1:7">
      <c r="A24" s="171" t="s">
        <v>76</v>
      </c>
      <c r="B24" s="37">
        <f>aantalw2001_steenkool</f>
        <v>301</v>
      </c>
      <c r="C24" s="166" t="s">
        <v>110</v>
      </c>
      <c r="D24" s="229"/>
      <c r="E24" s="15"/>
    </row>
    <row r="25" spans="1:7">
      <c r="A25" s="171" t="s">
        <v>77</v>
      </c>
      <c r="B25" s="37">
        <f>aantalw2001_stookolie</f>
        <v>3609</v>
      </c>
      <c r="C25" s="166" t="s">
        <v>110</v>
      </c>
      <c r="D25" s="228"/>
      <c r="E25" s="52"/>
    </row>
    <row r="26" spans="1:7">
      <c r="A26" s="171" t="s">
        <v>78</v>
      </c>
      <c r="B26" s="37">
        <f>aantalw2001_WP</f>
        <v>12</v>
      </c>
      <c r="C26" s="166" t="s">
        <v>110</v>
      </c>
      <c r="D26" s="228"/>
      <c r="E26" s="15"/>
    </row>
    <row r="27" spans="1:7" s="15" customFormat="1">
      <c r="A27" s="171"/>
      <c r="B27" s="29"/>
      <c r="C27" s="36"/>
      <c r="D27" s="228"/>
    </row>
    <row r="28" spans="1:7" s="15" customFormat="1">
      <c r="A28" s="230" t="s">
        <v>837</v>
      </c>
      <c r="B28" s="37">
        <f>aantalHuishoudens2011</f>
        <v>8847</v>
      </c>
      <c r="C28" s="36"/>
      <c r="D28" s="228"/>
    </row>
    <row r="29" spans="1:7" s="15" customFormat="1">
      <c r="A29" s="230" t="s">
        <v>838</v>
      </c>
      <c r="B29" s="37">
        <f>SUM(HH_hh_gas_aantal,HH_rest_gas_aantal)</f>
        <v>5321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5321</v>
      </c>
      <c r="C32" s="167">
        <f>IF(ISERROR(B32/SUM($B$32,$B$34,$B$35,$B$36,$B$38,$B$39)*100),0,B32/SUM($B$32,$B$34,$B$35,$B$36,$B$38,$B$39)*100)</f>
        <v>61.104731281580158</v>
      </c>
      <c r="D32" s="233"/>
      <c r="G32" s="15"/>
    </row>
    <row r="33" spans="1:7">
      <c r="A33" s="171" t="s">
        <v>71</v>
      </c>
      <c r="B33" s="34" t="s">
        <v>110</v>
      </c>
      <c r="C33" s="167"/>
      <c r="D33" s="233"/>
      <c r="G33" s="15"/>
    </row>
    <row r="34" spans="1:7">
      <c r="A34" s="171" t="s">
        <v>72</v>
      </c>
      <c r="B34" s="33">
        <f>IF((($B$28-$B$32-$B$39-$B$77-$B$38)*C20/100)&lt;0,0,($B$28-$B$32-$B$39-$B$77-$B$38)*C20/100)</f>
        <v>234.65054945054945</v>
      </c>
      <c r="C34" s="167">
        <f>IF(ISERROR(B34/SUM($B$32,$B$34,$B$35,$B$36,$B$38,$B$39)*100),0,B34/SUM($B$32,$B$34,$B$35,$B$36,$B$38,$B$39)*100)</f>
        <v>2.694654908710949</v>
      </c>
      <c r="D34" s="233"/>
      <c r="G34" s="15"/>
    </row>
    <row r="35" spans="1:7">
      <c r="A35" s="171" t="s">
        <v>73</v>
      </c>
      <c r="B35" s="33">
        <f>IF((($B$28-$B$32-$B$39-$B$77-$B$38)*C21/100)&lt;0,0,($B$28-$B$32-$B$39-$B$77-$B$38)*C21/100)</f>
        <v>2399.8351648351645</v>
      </c>
      <c r="C35" s="167">
        <f>IF(ISERROR(B35/SUM($B$32,$B$34,$B$35,$B$36,$B$38,$B$39)*100),0,B35/SUM($B$32,$B$34,$B$35,$B$36,$B$38,$B$39)*100)</f>
        <v>27.558970657271065</v>
      </c>
      <c r="D35" s="233"/>
      <c r="G35" s="15"/>
    </row>
    <row r="36" spans="1:7">
      <c r="A36" s="171" t="s">
        <v>74</v>
      </c>
      <c r="B36" s="33">
        <f>IF((($B$28-$B$32-$B$39-$B$77-$B$38)*C22/100)&lt;0,0,($B$28-$B$32-$B$39-$B$77-$B$38)*C22/100)</f>
        <v>277.31428571428575</v>
      </c>
      <c r="C36" s="167">
        <f>IF(ISERROR(B36/SUM($B$32,$B$34,$B$35,$B$36,$B$38,$B$39)*100),0,B36/SUM($B$32,$B$34,$B$35,$B$36,$B$38,$B$39)*100)</f>
        <v>3.1845921648402129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475.19999999999982</v>
      </c>
      <c r="C39" s="167">
        <f>IF(ISERROR(B39/SUM($B$32,$B$34,$B$35,$B$36,$B$38,$B$39)*100),0,B39/SUM($B$32,$B$34,$B$35,$B$36,$B$38,$B$39)*100)</f>
        <v>5.4570509875976096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5321</v>
      </c>
      <c r="C44" s="34" t="s">
        <v>110</v>
      </c>
      <c r="D44" s="174"/>
    </row>
    <row r="45" spans="1:7">
      <c r="A45" s="171" t="s">
        <v>71</v>
      </c>
      <c r="B45" s="33" t="str">
        <f t="shared" si="0"/>
        <v>-</v>
      </c>
      <c r="C45" s="34" t="s">
        <v>110</v>
      </c>
      <c r="D45" s="174"/>
    </row>
    <row r="46" spans="1:7">
      <c r="A46" s="171" t="s">
        <v>72</v>
      </c>
      <c r="B46" s="33">
        <f t="shared" si="0"/>
        <v>234.65054945054945</v>
      </c>
      <c r="C46" s="34" t="s">
        <v>110</v>
      </c>
      <c r="D46" s="174"/>
    </row>
    <row r="47" spans="1:7">
      <c r="A47" s="171" t="s">
        <v>73</v>
      </c>
      <c r="B47" s="33">
        <f t="shared" si="0"/>
        <v>2399.8351648351645</v>
      </c>
      <c r="C47" s="34" t="s">
        <v>110</v>
      </c>
      <c r="D47" s="174"/>
    </row>
    <row r="48" spans="1:7">
      <c r="A48" s="171" t="s">
        <v>74</v>
      </c>
      <c r="B48" s="33">
        <f t="shared" si="0"/>
        <v>277.31428571428575</v>
      </c>
      <c r="C48" s="33">
        <f>B48*10</f>
        <v>2773.1428571428573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475.19999999999982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372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139</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27791.157063999992</v>
      </c>
      <c r="C5" s="17">
        <f>IF(ISERROR('Eigen informatie GS &amp; warmtenet'!B60),0,'Eigen informatie GS &amp; warmtenet'!B60)</f>
        <v>0</v>
      </c>
      <c r="D5" s="30">
        <f>SUM(D6:D12)</f>
        <v>30704.731585858</v>
      </c>
      <c r="E5" s="17">
        <f>SUM(E6:E12)</f>
        <v>454.10850908057142</v>
      </c>
      <c r="F5" s="17">
        <f>SUM(F6:F12)</f>
        <v>3127.7873995021887</v>
      </c>
      <c r="G5" s="18"/>
      <c r="H5" s="17"/>
      <c r="I5" s="17"/>
      <c r="J5" s="17">
        <f>SUM(J6:J12)</f>
        <v>5.675385931107782E-2</v>
      </c>
      <c r="K5" s="17"/>
      <c r="L5" s="17"/>
      <c r="M5" s="17"/>
      <c r="N5" s="17">
        <f>SUM(N6:N12)</f>
        <v>2226.4864333124115</v>
      </c>
      <c r="O5" s="17">
        <f>B38*B39*B40</f>
        <v>4.8972607658411542</v>
      </c>
      <c r="P5" s="17">
        <f>B46*B47*B48/1000-B46*B47*B48/1000/B49</f>
        <v>105.07827661299004</v>
      </c>
      <c r="R5" s="32"/>
    </row>
    <row r="6" spans="1:18">
      <c r="A6" s="32" t="s">
        <v>53</v>
      </c>
      <c r="B6" s="37">
        <f>B26</f>
        <v>5596.9504369999995</v>
      </c>
      <c r="C6" s="33"/>
      <c r="D6" s="37">
        <f>IF(ISERROR(TER_kantoor_gas_kWh/1000),0,TER_kantoor_gas_kWh/1000)*0.902</f>
        <v>4102.9041374200006</v>
      </c>
      <c r="E6" s="33">
        <f>$C$26*'E Balans VL '!I12/100/3.6*1000000</f>
        <v>45.036865642852021</v>
      </c>
      <c r="F6" s="33">
        <f>$C$26*('E Balans VL '!L12+'E Balans VL '!N12)/100/3.6*1000000</f>
        <v>684.28606895682833</v>
      </c>
      <c r="G6" s="34"/>
      <c r="H6" s="33"/>
      <c r="I6" s="33"/>
      <c r="J6" s="33">
        <f>$C$26*('E Balans VL '!D12+'E Balans VL '!E12)/100/3.6*1000000</f>
        <v>0</v>
      </c>
      <c r="K6" s="33"/>
      <c r="L6" s="33"/>
      <c r="M6" s="33"/>
      <c r="N6" s="33">
        <f>$C$26*'E Balans VL '!Y12/100/3.6*1000000</f>
        <v>3.0080852399100673</v>
      </c>
      <c r="O6" s="33"/>
      <c r="P6" s="33"/>
      <c r="R6" s="32"/>
    </row>
    <row r="7" spans="1:18">
      <c r="A7" s="32" t="s">
        <v>52</v>
      </c>
      <c r="B7" s="37">
        <f t="shared" ref="B7:B12" si="0">B27</f>
        <v>3812.909995</v>
      </c>
      <c r="C7" s="33"/>
      <c r="D7" s="37">
        <f>IF(ISERROR(TER_horeca_gas_kWh/1000),0,TER_horeca_gas_kWh/1000)*0.902</f>
        <v>4774.1749782320003</v>
      </c>
      <c r="E7" s="33">
        <f>$C$27*'E Balans VL '!I9/100/3.6*1000000</f>
        <v>40.941290476246635</v>
      </c>
      <c r="F7" s="33">
        <f>$C$27*('E Balans VL '!L9+'E Balans VL '!N9)/100/3.6*1000000</f>
        <v>458.60061431571773</v>
      </c>
      <c r="G7" s="34"/>
      <c r="H7" s="33"/>
      <c r="I7" s="33"/>
      <c r="J7" s="33">
        <f>$C$27*('E Balans VL '!D9+'E Balans VL '!E9)/100/3.6*1000000</f>
        <v>0</v>
      </c>
      <c r="K7" s="33"/>
      <c r="L7" s="33"/>
      <c r="M7" s="33"/>
      <c r="N7" s="33">
        <f>$C$27*'E Balans VL '!Y9/100/3.6*1000000</f>
        <v>0.57163248696415325</v>
      </c>
      <c r="O7" s="33"/>
      <c r="P7" s="33"/>
      <c r="R7" s="32"/>
    </row>
    <row r="8" spans="1:18">
      <c r="A8" s="6" t="s">
        <v>51</v>
      </c>
      <c r="B8" s="37">
        <f t="shared" si="0"/>
        <v>12128.72467</v>
      </c>
      <c r="C8" s="33"/>
      <c r="D8" s="37">
        <f>IF(ISERROR(TER_handel_gas_kWh/1000),0,TER_handel_gas_kWh/1000)*0.902</f>
        <v>7775.0401303299996</v>
      </c>
      <c r="E8" s="33">
        <f>$C$28*'E Balans VL '!I13/100/3.6*1000000</f>
        <v>325.4978384124301</v>
      </c>
      <c r="F8" s="33">
        <f>$C$28*('E Balans VL '!L13+'E Balans VL '!N13)/100/3.6*1000000</f>
        <v>1157.4541504511069</v>
      </c>
      <c r="G8" s="34"/>
      <c r="H8" s="33"/>
      <c r="I8" s="33"/>
      <c r="J8" s="33">
        <f>$C$28*('E Balans VL '!D13+'E Balans VL '!E13)/100/3.6*1000000</f>
        <v>0</v>
      </c>
      <c r="K8" s="33"/>
      <c r="L8" s="33"/>
      <c r="M8" s="33"/>
      <c r="N8" s="33">
        <f>$C$28*'E Balans VL '!Y13/100/3.6*1000000</f>
        <v>4.8079643674628869</v>
      </c>
      <c r="O8" s="33"/>
      <c r="P8" s="33"/>
      <c r="R8" s="32"/>
    </row>
    <row r="9" spans="1:18">
      <c r="A9" s="32" t="s">
        <v>50</v>
      </c>
      <c r="B9" s="37">
        <f t="shared" si="0"/>
        <v>434.07142700000003</v>
      </c>
      <c r="C9" s="33"/>
      <c r="D9" s="37">
        <f>IF(ISERROR(TER_gezond_gas_kWh/1000),0,TER_gezond_gas_kWh/1000)*0.902</f>
        <v>1232.9204075320001</v>
      </c>
      <c r="E9" s="33">
        <f>$C$29*'E Balans VL '!I10/100/3.6*1000000</f>
        <v>0.81359119399214175</v>
      </c>
      <c r="F9" s="33">
        <f>$C$29*('E Balans VL '!L10+'E Balans VL '!N10)/100/3.6*1000000</f>
        <v>35.684631895994279</v>
      </c>
      <c r="G9" s="34"/>
      <c r="H9" s="33"/>
      <c r="I9" s="33"/>
      <c r="J9" s="33">
        <f>$C$29*('E Balans VL '!D10+'E Balans VL '!E10)/100/3.6*1000000</f>
        <v>0</v>
      </c>
      <c r="K9" s="33"/>
      <c r="L9" s="33"/>
      <c r="M9" s="33"/>
      <c r="N9" s="33">
        <f>$C$29*'E Balans VL '!Y10/100/3.6*1000000</f>
        <v>3.3773995658795473</v>
      </c>
      <c r="O9" s="33"/>
      <c r="P9" s="33"/>
      <c r="R9" s="32"/>
    </row>
    <row r="10" spans="1:18">
      <c r="A10" s="32" t="s">
        <v>49</v>
      </c>
      <c r="B10" s="37">
        <f t="shared" si="0"/>
        <v>3041.0879</v>
      </c>
      <c r="C10" s="33"/>
      <c r="D10" s="37">
        <f>IF(ISERROR(TER_ander_gas_kWh/1000),0,TER_ander_gas_kWh/1000)*0.902</f>
        <v>7404.6678231019996</v>
      </c>
      <c r="E10" s="33">
        <f>$C$30*'E Balans VL '!I14/100/3.6*1000000</f>
        <v>4.6878678127175615</v>
      </c>
      <c r="F10" s="33">
        <f>$C$30*('E Balans VL '!L14+'E Balans VL '!N14)/100/3.6*1000000</f>
        <v>472.1297360134717</v>
      </c>
      <c r="G10" s="34"/>
      <c r="H10" s="33"/>
      <c r="I10" s="33"/>
      <c r="J10" s="33">
        <f>$C$30*('E Balans VL '!D14+'E Balans VL '!E14)/100/3.6*1000000</f>
        <v>5.1625674309217814E-2</v>
      </c>
      <c r="K10" s="33"/>
      <c r="L10" s="33"/>
      <c r="M10" s="33"/>
      <c r="N10" s="33">
        <f>$C$30*'E Balans VL '!Y14/100/3.6*1000000</f>
        <v>2011.8862885044223</v>
      </c>
      <c r="O10" s="33"/>
      <c r="P10" s="33"/>
      <c r="R10" s="32"/>
    </row>
    <row r="11" spans="1:18">
      <c r="A11" s="32" t="s">
        <v>54</v>
      </c>
      <c r="B11" s="37">
        <f t="shared" si="0"/>
        <v>101.5313</v>
      </c>
      <c r="C11" s="33"/>
      <c r="D11" s="37">
        <f>IF(ISERROR(TER_onderwijs_gas_kWh/1000),0,TER_onderwijs_gas_kWh/1000)*0.902</f>
        <v>150.36551248400002</v>
      </c>
      <c r="E11" s="33">
        <f>$C$31*'E Balans VL '!I11/100/3.6*1000000</f>
        <v>2.5897416145087511</v>
      </c>
      <c r="F11" s="33">
        <f>$C$31*('E Balans VL '!L11+'E Balans VL '!N11)/100/3.6*1000000</f>
        <v>12.21009447398799</v>
      </c>
      <c r="G11" s="34"/>
      <c r="H11" s="33"/>
      <c r="I11" s="33"/>
      <c r="J11" s="33">
        <f>$C$31*('E Balans VL '!D11+'E Balans VL '!E11)/100/3.6*1000000</f>
        <v>0</v>
      </c>
      <c r="K11" s="33"/>
      <c r="L11" s="33"/>
      <c r="M11" s="33"/>
      <c r="N11" s="33">
        <f>$C$31*'E Balans VL '!Y11/100/3.6*1000000</f>
        <v>0.22580313381493322</v>
      </c>
      <c r="O11" s="33"/>
      <c r="P11" s="33"/>
      <c r="R11" s="32"/>
    </row>
    <row r="12" spans="1:18">
      <c r="A12" s="32" t="s">
        <v>259</v>
      </c>
      <c r="B12" s="37">
        <f t="shared" si="0"/>
        <v>2675.881335</v>
      </c>
      <c r="C12" s="33"/>
      <c r="D12" s="37">
        <f>IF(ISERROR(TER_rest_gas_kWh/1000),0,TER_rest_gas_kWh/1000)*0.902</f>
        <v>5264.6585967580004</v>
      </c>
      <c r="E12" s="33">
        <f>$C$32*'E Balans VL '!I8/100/3.6*1000000</f>
        <v>34.541313927824248</v>
      </c>
      <c r="F12" s="33">
        <f>$C$32*('E Balans VL '!L8+'E Balans VL '!N8)/100/3.6*1000000</f>
        <v>307.42210339508136</v>
      </c>
      <c r="G12" s="34"/>
      <c r="H12" s="33"/>
      <c r="I12" s="33"/>
      <c r="J12" s="33">
        <f>$C$32*('E Balans VL '!D8+'E Balans VL '!E8)/100/3.6*1000000</f>
        <v>5.1281850018600073E-3</v>
      </c>
      <c r="K12" s="33"/>
      <c r="L12" s="33"/>
      <c r="M12" s="33"/>
      <c r="N12" s="33">
        <f>$C$32*'E Balans VL '!Y8/100/3.6*1000000</f>
        <v>202.60926001395754</v>
      </c>
      <c r="O12" s="33"/>
      <c r="P12" s="33"/>
      <c r="R12" s="32"/>
    </row>
    <row r="13" spans="1:18">
      <c r="A13" s="16" t="s">
        <v>482</v>
      </c>
      <c r="B13" s="247">
        <f ca="1">'lokale energieproductie'!N91+'lokale energieproductie'!N60</f>
        <v>135</v>
      </c>
      <c r="C13" s="247">
        <f ca="1">'lokale energieproductie'!O91+'lokale energieproductie'!O60</f>
        <v>192.85714285714286</v>
      </c>
      <c r="D13" s="310">
        <f ca="1">('lokale energieproductie'!P60+'lokale energieproductie'!P91)*(-1)</f>
        <v>-385.71428571428572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27926.157063999992</v>
      </c>
      <c r="C16" s="21">
        <f t="shared" ca="1" si="1"/>
        <v>192.85714285714286</v>
      </c>
      <c r="D16" s="21">
        <f t="shared" ca="1" si="1"/>
        <v>30319.017300143714</v>
      </c>
      <c r="E16" s="21">
        <f t="shared" si="1"/>
        <v>454.10850908057142</v>
      </c>
      <c r="F16" s="21">
        <f t="shared" ca="1" si="1"/>
        <v>3127.7873995021887</v>
      </c>
      <c r="G16" s="21">
        <f t="shared" si="1"/>
        <v>0</v>
      </c>
      <c r="H16" s="21">
        <f t="shared" si="1"/>
        <v>0</v>
      </c>
      <c r="I16" s="21">
        <f t="shared" si="1"/>
        <v>0</v>
      </c>
      <c r="J16" s="21">
        <f t="shared" si="1"/>
        <v>5.675385931107782E-2</v>
      </c>
      <c r="K16" s="21">
        <f t="shared" si="1"/>
        <v>0</v>
      </c>
      <c r="L16" s="21">
        <f t="shared" ca="1" si="1"/>
        <v>0</v>
      </c>
      <c r="M16" s="21">
        <f t="shared" si="1"/>
        <v>0</v>
      </c>
      <c r="N16" s="21">
        <f t="shared" ca="1" si="1"/>
        <v>2226.4864333124115</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0.19931105265309179</v>
      </c>
      <c r="C18" s="25">
        <f ca="1">'EF ele_warmte'!B22</f>
        <v>0.23652419832006455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5565.9917609814138</v>
      </c>
      <c r="C20" s="23">
        <f t="shared" ref="C20:P20" ca="1" si="2">C16*C18</f>
        <v>45.615381104583875</v>
      </c>
      <c r="D20" s="23">
        <f t="shared" ca="1" si="2"/>
        <v>6124.4414946290308</v>
      </c>
      <c r="E20" s="23">
        <f t="shared" si="2"/>
        <v>103.08263156128972</v>
      </c>
      <c r="F20" s="23">
        <f t="shared" ca="1" si="2"/>
        <v>835.11923566708447</v>
      </c>
      <c r="G20" s="23">
        <f t="shared" si="2"/>
        <v>0</v>
      </c>
      <c r="H20" s="23">
        <f t="shared" si="2"/>
        <v>0</v>
      </c>
      <c r="I20" s="23">
        <f t="shared" si="2"/>
        <v>0</v>
      </c>
      <c r="J20" s="23">
        <f t="shared" si="2"/>
        <v>2.0090866196121548E-2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5596.9504369999995</v>
      </c>
      <c r="C26" s="39">
        <f>IF(ISERROR(B26*3.6/1000000/'E Balans VL '!Z12*100),0,B26*3.6/1000000/'E Balans VL '!Z12*100)</f>
        <v>0.1187341828993249</v>
      </c>
      <c r="D26" s="237" t="s">
        <v>716</v>
      </c>
      <c r="F26" s="6"/>
    </row>
    <row r="27" spans="1:18">
      <c r="A27" s="231" t="s">
        <v>52</v>
      </c>
      <c r="B27" s="33">
        <f>IF(ISERROR(TER_horeca_ele_kWh/1000),0,TER_horeca_ele_kWh/1000)</f>
        <v>3812.909995</v>
      </c>
      <c r="C27" s="39">
        <f>IF(ISERROR(B27*3.6/1000000/'E Balans VL '!Z9*100),0,B27*3.6/1000000/'E Balans VL '!Z9*100)</f>
        <v>0.28714589931169421</v>
      </c>
      <c r="D27" s="237" t="s">
        <v>716</v>
      </c>
      <c r="F27" s="6"/>
    </row>
    <row r="28" spans="1:18">
      <c r="A28" s="171" t="s">
        <v>51</v>
      </c>
      <c r="B28" s="33">
        <f>IF(ISERROR(TER_handel_ele_kWh/1000),0,TER_handel_ele_kWh/1000)</f>
        <v>12128.72467</v>
      </c>
      <c r="C28" s="39">
        <f>IF(ISERROR(B28*3.6/1000000/'E Balans VL '!Z13*100),0,B28*3.6/1000000/'E Balans VL '!Z13*100)</f>
        <v>0.3520539017455741</v>
      </c>
      <c r="D28" s="237" t="s">
        <v>716</v>
      </c>
      <c r="F28" s="6"/>
    </row>
    <row r="29" spans="1:18">
      <c r="A29" s="231" t="s">
        <v>50</v>
      </c>
      <c r="B29" s="33">
        <f>IF(ISERROR(TER_gezond_ele_kWh/1000),0,TER_gezond_ele_kWh/1000)</f>
        <v>434.07142700000003</v>
      </c>
      <c r="C29" s="39">
        <f>IF(ISERROR(B29*3.6/1000000/'E Balans VL '!Z10*100),0,B29*3.6/1000000/'E Balans VL '!Z10*100)</f>
        <v>4.3776621064210174E-2</v>
      </c>
      <c r="D29" s="237" t="s">
        <v>716</v>
      </c>
      <c r="F29" s="6"/>
    </row>
    <row r="30" spans="1:18">
      <c r="A30" s="231" t="s">
        <v>49</v>
      </c>
      <c r="B30" s="33">
        <f>IF(ISERROR(TER_ander_ele_kWh/1000),0,TER_ander_ele_kWh/1000)</f>
        <v>3041.0879</v>
      </c>
      <c r="C30" s="39">
        <f>IF(ISERROR(B30*3.6/1000000/'E Balans VL '!Z14*100),0,B30*3.6/1000000/'E Balans VL '!Z14*100)</f>
        <v>0.22067241519100017</v>
      </c>
      <c r="D30" s="237" t="s">
        <v>716</v>
      </c>
      <c r="F30" s="6"/>
    </row>
    <row r="31" spans="1:18">
      <c r="A31" s="231" t="s">
        <v>54</v>
      </c>
      <c r="B31" s="33">
        <f>IF(ISERROR(TER_onderwijs_ele_kWh/1000),0,TER_onderwijs_ele_kWh/1000)</f>
        <v>101.5313</v>
      </c>
      <c r="C31" s="39">
        <f>IF(ISERROR(B31*3.6/1000000/'E Balans VL '!Z11*100),0,B31*3.6/1000000/'E Balans VL '!Z11*100)</f>
        <v>2.8940555047055505E-2</v>
      </c>
      <c r="D31" s="237" t="s">
        <v>716</v>
      </c>
    </row>
    <row r="32" spans="1:18">
      <c r="A32" s="231" t="s">
        <v>259</v>
      </c>
      <c r="B32" s="33">
        <f>IF(ISERROR(TER_rest_ele_kWh/1000),0,TER_rest_ele_kWh/1000)</f>
        <v>2675.881335</v>
      </c>
      <c r="C32" s="39">
        <f>IF(ISERROR(B32*3.6/1000000/'E Balans VL '!Z8*100),0,B32*3.6/1000000/'E Balans VL '!Z8*100)</f>
        <v>2.1920274844810201E-2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8344.1465790000002</v>
      </c>
      <c r="C5" s="17">
        <f>IF(ISERROR('Eigen informatie GS &amp; warmtenet'!B61),0,'Eigen informatie GS &amp; warmtenet'!B61)</f>
        <v>0</v>
      </c>
      <c r="D5" s="30">
        <f>SUM(D6:D15)</f>
        <v>30577.085413952002</v>
      </c>
      <c r="E5" s="17">
        <f>SUM(E6:E15)</f>
        <v>1112.7586665195092</v>
      </c>
      <c r="F5" s="17">
        <f>SUM(F6:F15)</f>
        <v>3531.9797359699223</v>
      </c>
      <c r="G5" s="18"/>
      <c r="H5" s="17"/>
      <c r="I5" s="17"/>
      <c r="J5" s="17">
        <f>SUM(J6:J15)</f>
        <v>36.192771954147709</v>
      </c>
      <c r="K5" s="17"/>
      <c r="L5" s="17"/>
      <c r="M5" s="17"/>
      <c r="N5" s="17">
        <f>SUM(N6:N15)</f>
        <v>447.09484509116311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360.36693699999995</v>
      </c>
      <c r="C8" s="33"/>
      <c r="D8" s="37">
        <f>IF( ISERROR(IND_metaal_Gas_kWH/1000),0,IND_metaal_Gas_kWH/1000)*0.902</f>
        <v>126.222770806</v>
      </c>
      <c r="E8" s="33">
        <f>C30*'E Balans VL '!I18/100/3.6*1000000</f>
        <v>2.5997945212999642</v>
      </c>
      <c r="F8" s="33">
        <f>C30*'E Balans VL '!L18/100/3.6*1000000+C30*'E Balans VL '!N18/100/3.6*1000000</f>
        <v>34.084067539344417</v>
      </c>
      <c r="G8" s="34"/>
      <c r="H8" s="33"/>
      <c r="I8" s="33"/>
      <c r="J8" s="40">
        <f>C30*'E Balans VL '!D18/100/3.6*1000000+C30*'E Balans VL '!E18/100/3.6*1000000</f>
        <v>0.36245915939826562</v>
      </c>
      <c r="K8" s="33"/>
      <c r="L8" s="33"/>
      <c r="M8" s="33"/>
      <c r="N8" s="33">
        <f>C30*'E Balans VL '!Y18/100/3.6*1000000</f>
        <v>4.5559915204658701</v>
      </c>
      <c r="O8" s="33"/>
      <c r="P8" s="33"/>
      <c r="R8" s="32"/>
    </row>
    <row r="9" spans="1:18">
      <c r="A9" s="6" t="s">
        <v>32</v>
      </c>
      <c r="B9" s="37">
        <f t="shared" si="0"/>
        <v>3410.0093889999998</v>
      </c>
      <c r="C9" s="33"/>
      <c r="D9" s="37">
        <f>IF( ISERROR(IND_andere_gas_kWh/1000),0,IND_andere_gas_kWh/1000)*0.902</f>
        <v>1876.9782574179999</v>
      </c>
      <c r="E9" s="33">
        <f>C31*'E Balans VL '!I19/100/3.6*1000000</f>
        <v>944.95919922999224</v>
      </c>
      <c r="F9" s="33">
        <f>C31*'E Balans VL '!L19/100/3.6*1000000+C31*'E Balans VL '!N19/100/3.6*1000000</f>
        <v>2826.2231506902835</v>
      </c>
      <c r="G9" s="34"/>
      <c r="H9" s="33"/>
      <c r="I9" s="33"/>
      <c r="J9" s="40">
        <f>C31*'E Balans VL '!D19/100/3.6*1000000+C31*'E Balans VL '!E19/100/3.6*1000000</f>
        <v>0</v>
      </c>
      <c r="K9" s="33"/>
      <c r="L9" s="33"/>
      <c r="M9" s="33"/>
      <c r="N9" s="33">
        <f>C31*'E Balans VL '!Y19/100/3.6*1000000</f>
        <v>247.52497271123616</v>
      </c>
      <c r="O9" s="33"/>
      <c r="P9" s="33"/>
      <c r="R9" s="32"/>
    </row>
    <row r="10" spans="1:18">
      <c r="A10" s="6" t="s">
        <v>40</v>
      </c>
      <c r="B10" s="37">
        <f t="shared" si="0"/>
        <v>1053.0982390000001</v>
      </c>
      <c r="C10" s="33"/>
      <c r="D10" s="37">
        <f>IF( ISERROR(IND_voed_gas_kWh/1000),0,IND_voed_gas_kWh/1000)*0.902</f>
        <v>403.02374208800001</v>
      </c>
      <c r="E10" s="33">
        <f>C32*'E Balans VL '!I20/100/3.6*1000000</f>
        <v>1.8643405902730725</v>
      </c>
      <c r="F10" s="33">
        <f>C32*'E Balans VL '!L20/100/3.6*1000000+C32*'E Balans VL '!N20/100/3.6*1000000</f>
        <v>56.876638431969155</v>
      </c>
      <c r="G10" s="34"/>
      <c r="H10" s="33"/>
      <c r="I10" s="33"/>
      <c r="J10" s="40">
        <f>C32*'E Balans VL '!D20/100/3.6*1000000+C32*'E Balans VL '!E20/100/3.6*1000000</f>
        <v>0</v>
      </c>
      <c r="K10" s="33"/>
      <c r="L10" s="33"/>
      <c r="M10" s="33"/>
      <c r="N10" s="33">
        <f>C32*'E Balans VL '!Y20/100/3.6*1000000</f>
        <v>61.193050297369332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66.689702999999994</v>
      </c>
      <c r="C13" s="33"/>
      <c r="D13" s="37">
        <f>IF( ISERROR(IND_papier_gas_kWh/1000),0,IND_papier_gas_kWh/1000)*0.902</f>
        <v>124.28440618</v>
      </c>
      <c r="E13" s="33">
        <f>C35*'E Balans VL '!I23/100/3.6*1000000</f>
        <v>9.8123453034959118E-2</v>
      </c>
      <c r="F13" s="33">
        <f>C35*'E Balans VL '!L23/100/3.6*1000000+C35*'E Balans VL '!N23/100/3.6*1000000</f>
        <v>0.71406709225245613</v>
      </c>
      <c r="G13" s="34"/>
      <c r="H13" s="33"/>
      <c r="I13" s="33"/>
      <c r="J13" s="40">
        <f>C35*'E Balans VL '!D23/100/3.6*1000000+C35*'E Balans VL '!E23/100/3.6*1000000</f>
        <v>7.2962274844845574</v>
      </c>
      <c r="K13" s="33"/>
      <c r="L13" s="33"/>
      <c r="M13" s="33"/>
      <c r="N13" s="33">
        <f>C35*'E Balans VL '!Y23/100/3.6*1000000</f>
        <v>-0.60415156492880684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3453.9823110000002</v>
      </c>
      <c r="C15" s="33"/>
      <c r="D15" s="37">
        <f>IF( ISERROR(IND_rest_gas_kWh/1000),0,IND_rest_gas_kWh/1000)*0.902</f>
        <v>28046.576237460002</v>
      </c>
      <c r="E15" s="33">
        <f>C37*'E Balans VL '!I15/100/3.6*1000000</f>
        <v>163.23720872490907</v>
      </c>
      <c r="F15" s="33">
        <f>C37*'E Balans VL '!L15/100/3.6*1000000+C37*'E Balans VL '!N15/100/3.6*1000000</f>
        <v>614.08181221607242</v>
      </c>
      <c r="G15" s="34"/>
      <c r="H15" s="33"/>
      <c r="I15" s="33"/>
      <c r="J15" s="40">
        <f>C37*'E Balans VL '!D15/100/3.6*1000000+C37*'E Balans VL '!E15/100/3.6*1000000</f>
        <v>28.534085310264885</v>
      </c>
      <c r="K15" s="33"/>
      <c r="L15" s="33"/>
      <c r="M15" s="33"/>
      <c r="N15" s="33">
        <f>C37*'E Balans VL '!Y15/100/3.6*1000000</f>
        <v>134.42498212702054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8344.1465790000002</v>
      </c>
      <c r="C18" s="21">
        <f>C5+C16</f>
        <v>0</v>
      </c>
      <c r="D18" s="21">
        <f>MAX((D5+D16),0)</f>
        <v>30577.085413952002</v>
      </c>
      <c r="E18" s="21">
        <f>MAX((E5+E16),0)</f>
        <v>1112.7586665195092</v>
      </c>
      <c r="F18" s="21">
        <f>MAX((F5+F16),0)</f>
        <v>3531.9797359699223</v>
      </c>
      <c r="G18" s="21"/>
      <c r="H18" s="21"/>
      <c r="I18" s="21"/>
      <c r="J18" s="21">
        <f>MAX((J5+J16),0)</f>
        <v>36.192771954147709</v>
      </c>
      <c r="K18" s="21"/>
      <c r="L18" s="21">
        <f>MAX((L5+L16),0)</f>
        <v>0</v>
      </c>
      <c r="M18" s="21"/>
      <c r="N18" s="21">
        <f>MAX((N5+N16),0)</f>
        <v>447.09484509116311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0.19931105265309179</v>
      </c>
      <c r="C20" s="25">
        <f ca="1">'EF ele_warmte'!B22</f>
        <v>0.23652419832006455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1663.0806381521847</v>
      </c>
      <c r="C22" s="23">
        <f ca="1">C18*C20</f>
        <v>0</v>
      </c>
      <c r="D22" s="23">
        <f>D18*D20</f>
        <v>6176.5712536183046</v>
      </c>
      <c r="E22" s="23">
        <f>E18*E20</f>
        <v>252.59621729992861</v>
      </c>
      <c r="F22" s="23">
        <f>F18*F20</f>
        <v>943.03858950396932</v>
      </c>
      <c r="G22" s="23"/>
      <c r="H22" s="23"/>
      <c r="I22" s="23"/>
      <c r="J22" s="23">
        <f>J18*J20</f>
        <v>12.812241271768288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360.36693699999995</v>
      </c>
      <c r="C30" s="39">
        <f>IF(ISERROR(B30*3.6/1000000/'E Balans VL '!Z18*100),0,B30*3.6/1000000/'E Balans VL '!Z18*100)</f>
        <v>2.0803420975300295E-2</v>
      </c>
      <c r="D30" s="237" t="s">
        <v>716</v>
      </c>
    </row>
    <row r="31" spans="1:18">
      <c r="A31" s="6" t="s">
        <v>32</v>
      </c>
      <c r="B31" s="37">
        <f>IF( ISERROR(IND_ander_ele_kWh/1000),0,IND_ander_ele_kWh/1000)</f>
        <v>3410.0093889999998</v>
      </c>
      <c r="C31" s="39">
        <f>IF(ISERROR(B31*3.6/1000000/'E Balans VL '!Z19*100),0,B31*3.6/1000000/'E Balans VL '!Z19*100)</f>
        <v>0.17151241914925305</v>
      </c>
      <c r="D31" s="237" t="s">
        <v>716</v>
      </c>
    </row>
    <row r="32" spans="1:18">
      <c r="A32" s="171" t="s">
        <v>40</v>
      </c>
      <c r="B32" s="37">
        <f>IF( ISERROR(IND_voed_ele_kWh/1000),0,IND_voed_ele_kWh/1000)</f>
        <v>1053.0982390000001</v>
      </c>
      <c r="C32" s="39">
        <f>IF(ISERROR(B32*3.6/1000000/'E Balans VL '!Z20*100),0,B32*3.6/1000000/'E Balans VL '!Z20*100)</f>
        <v>3.507442491730145E-2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66.689702999999994</v>
      </c>
      <c r="C35" s="39">
        <f>IF(ISERROR(B35*3.6/1000000/'E Balans VL '!Z22*100),0,B35*3.6/1000000/'E Balans VL '!Z22*100)</f>
        <v>1.2439882144801644E-2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3453.9823110000002</v>
      </c>
      <c r="C37" s="39">
        <f>IF(ISERROR(B37*3.6/1000000/'E Balans VL '!Z15*100),0,B37*3.6/1000000/'E Balans VL '!Z15*100)</f>
        <v>2.6950507393568118E-2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11713.348641999999</v>
      </c>
      <c r="C5" s="17">
        <f>'Eigen informatie GS &amp; warmtenet'!B62</f>
        <v>0</v>
      </c>
      <c r="D5" s="30">
        <f>IF(ISERROR(SUM(LB_lb_gas_kWh,LB_rest_gas_kWh)/1000),0,SUM(LB_lb_gas_kWh,LB_rest_gas_kWh)/1000)*0.902</f>
        <v>59764.110629915995</v>
      </c>
      <c r="E5" s="17">
        <f>B17*'E Balans VL '!I25/3.6*1000000/100</f>
        <v>365.56974853095693</v>
      </c>
      <c r="F5" s="17">
        <f>B17*('E Balans VL '!L25/3.6*1000000+'E Balans VL '!N25/3.6*1000000)/100</f>
        <v>41396.271670587317</v>
      </c>
      <c r="G5" s="18"/>
      <c r="H5" s="17"/>
      <c r="I5" s="17"/>
      <c r="J5" s="17">
        <f>('E Balans VL '!D25+'E Balans VL '!E25)/3.6*1000000*landbouw!B17/100</f>
        <v>3227.1087822319255</v>
      </c>
      <c r="K5" s="17"/>
      <c r="L5" s="17">
        <f>L6*(-1)</f>
        <v>0</v>
      </c>
      <c r="M5" s="17"/>
      <c r="N5" s="17">
        <f>N6*(-1)</f>
        <v>124.71428571428569</v>
      </c>
      <c r="O5" s="17"/>
      <c r="P5" s="17"/>
      <c r="R5" s="32"/>
    </row>
    <row r="6" spans="1:18">
      <c r="A6" s="16" t="s">
        <v>482</v>
      </c>
      <c r="B6" s="17" t="s">
        <v>210</v>
      </c>
      <c r="C6" s="17">
        <f>'lokale energieproductie'!O92+'lokale energieproductie'!O61</f>
        <v>13004.678571428571</v>
      </c>
      <c r="D6" s="310">
        <f>('lokale energieproductie'!P61+'lokale energieproductie'!P92)*(-1)</f>
        <v>-25884.642857142859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11713.348641999999</v>
      </c>
      <c r="C8" s="21">
        <f>C5+C6</f>
        <v>13004.678571428571</v>
      </c>
      <c r="D8" s="21">
        <f>MAX((D5+D6),0)</f>
        <v>33879.467772773132</v>
      </c>
      <c r="E8" s="21">
        <f>MAX((E5+E6),0)</f>
        <v>365.56974853095693</v>
      </c>
      <c r="F8" s="21">
        <f>MAX((F5+F6),0)</f>
        <v>41396.271670587317</v>
      </c>
      <c r="G8" s="21"/>
      <c r="H8" s="21"/>
      <c r="I8" s="21"/>
      <c r="J8" s="21">
        <f>MAX((J5+J6),0)</f>
        <v>3227.1087822319255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0.19931105265309179</v>
      </c>
      <c r="C10" s="31">
        <f ca="1">'EF ele_warmte'!B22</f>
        <v>0.23652419832006455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2334.5998479296832</v>
      </c>
      <c r="C12" s="23">
        <f ca="1">C8*C10</f>
        <v>3075.9211735172648</v>
      </c>
      <c r="D12" s="23">
        <f>D8*D10</f>
        <v>6843.6524901001731</v>
      </c>
      <c r="E12" s="23">
        <f>E8*E10</f>
        <v>82.984332916527222</v>
      </c>
      <c r="F12" s="23">
        <f>F8*F10</f>
        <v>11052.804536046815</v>
      </c>
      <c r="G12" s="23"/>
      <c r="H12" s="23"/>
      <c r="I12" s="23"/>
      <c r="J12" s="23">
        <f>J8*J10</f>
        <v>1142.3965089101016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1.7412732448701145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824.11116145347728</v>
      </c>
      <c r="C26" s="247">
        <f>B26*'GWP N2O_CH4'!B5</f>
        <v>17306.334390523021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226.71080264557494</v>
      </c>
      <c r="C27" s="247">
        <f>B27*'GWP N2O_CH4'!B5</f>
        <v>4760.9268555570734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10.725693812877971</v>
      </c>
      <c r="C28" s="247">
        <f>B28*'GWP N2O_CH4'!B4</f>
        <v>3324.9650819921708</v>
      </c>
      <c r="D28" s="50"/>
    </row>
    <row r="29" spans="1:4">
      <c r="A29" s="41" t="s">
        <v>276</v>
      </c>
      <c r="B29" s="247">
        <f>B34*'ha_N2O bodem landbouw'!B4</f>
        <v>23.653651302267136</v>
      </c>
      <c r="C29" s="247">
        <f>B29*'GWP N2O_CH4'!B4</f>
        <v>7332.6319037028125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5.1868198561711935E-3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4.8708785313500002E-4</v>
      </c>
      <c r="C5" s="463" t="s">
        <v>210</v>
      </c>
      <c r="D5" s="448">
        <f>SUM(D6:D11)</f>
        <v>1.9010451792443441E-3</v>
      </c>
      <c r="E5" s="448">
        <f>SUM(E6:E11)</f>
        <v>1.6846230507014499E-3</v>
      </c>
      <c r="F5" s="461" t="s">
        <v>210</v>
      </c>
      <c r="G5" s="448">
        <f>SUM(G6:G11)</f>
        <v>0.84469042051266685</v>
      </c>
      <c r="H5" s="448">
        <f>SUM(H6:H11)</f>
        <v>0.14544959827059045</v>
      </c>
      <c r="I5" s="463" t="s">
        <v>210</v>
      </c>
      <c r="J5" s="463" t="s">
        <v>210</v>
      </c>
      <c r="K5" s="463" t="s">
        <v>210</v>
      </c>
      <c r="L5" s="463" t="s">
        <v>210</v>
      </c>
      <c r="M5" s="448">
        <f>SUM(M6:M11)</f>
        <v>5.8261926319215319E-2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1.2978198488499998E-4</v>
      </c>
      <c r="C6" s="449"/>
      <c r="D6" s="917">
        <f>vkm_2011_GW_PW*SUMIFS(TableVerdeelsleutelVkm[CNG],TableVerdeelsleutelVkm[Voertuigtype],"Lichte voertuigen")*SUMIFS(TableECFTransport[EnergieConsumptieFactor (PJ per km)],TableECFTransport[Index],CONCATENATE($A6,"_CNG_CNG"))</f>
        <v>4.5127406753259604E-4</v>
      </c>
      <c r="E6" s="917">
        <f>vkm_2011_GW_PW*SUMIFS(TableVerdeelsleutelVkm[LPG],TableVerdeelsleutelVkm[Voertuigtype],"Lichte voertuigen")*SUMIFS(TableECFTransport[EnergieConsumptieFactor (PJ per km)],TableECFTransport[Index],CONCATENATE($A6,"_LPG_LPG"))</f>
        <v>3.5552961547319996E-4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9.6779295231355061E-2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3.386632540125184E-2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7.8068969860023802E-3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7.6856074571857932E-2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1.9362521860740268E-5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4.4317613749113973E-3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6.0204172215E-5</v>
      </c>
      <c r="C8" s="449"/>
      <c r="D8" s="451">
        <f>vkm_2011_NGW_PW*SUMIFS(TableVerdeelsleutelVkm[CNG],TableVerdeelsleutelVkm[Voertuigtype],"Lichte voertuigen")*SUMIFS(TableECFTransport[EnergieConsumptieFactor (PJ per km)],TableECFTransport[Index],CONCATENATE($A8,"_CNG_CNG"))</f>
        <v>3.7047830677704001E-4</v>
      </c>
      <c r="E8" s="451">
        <f>vkm_2011_NGW_PW*SUMIFS(TableVerdeelsleutelVkm[LPG],TableVerdeelsleutelVkm[Voertuigtype],"Lichte voertuigen")*SUMIFS(TableECFTransport[EnergieConsumptieFactor (PJ per km)],TableECFTransport[Index],CONCATENATE($A8,"_LPG_LPG"))</f>
        <v>2.7058695913342499E-4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6.835137344950859E-2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2.7091389588500641E-2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5.7224345539568511E-3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1.8115295583275414E-2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4.3062202342020206E-6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1.0445675927511543E-3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2.9710169603500001E-4</v>
      </c>
      <c r="C10" s="449"/>
      <c r="D10" s="451">
        <f>vkm_2011_SW_PW*SUMIFS(TableVerdeelsleutelVkm[CNG],TableVerdeelsleutelVkm[Voertuigtype],"Lichte voertuigen")*SUMIFS(TableECFTransport[EnergieConsumptieFactor (PJ per km)],TableECFTransport[Index],CONCATENATE($A10,"_CNG_CNG"))</f>
        <v>1.079292804934708E-3</v>
      </c>
      <c r="E10" s="451">
        <f>vkm_2011_SW_PW*SUMIFS(TableVerdeelsleutelVkm[LPG],TableVerdeelsleutelVkm[Voertuigtype],"Lichte voertuigen")*SUMIFS(TableECFTransport[EnergieConsumptieFactor (PJ per km)],TableECFTransport[Index],CONCATENATE($A10,"_LPG_LPG"))</f>
        <v>1.0585064760948249E-3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0.25595251535538305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8.4378542088016747E-2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2.0305642526709293E-2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0.32863586632128683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8.9672450726275128E-5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1.8950623284884248E-2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135.3021814263889</v>
      </c>
      <c r="C14" s="21"/>
      <c r="D14" s="21">
        <f t="shared" ref="D14:M14" si="0">((D5)*10^9/3600)+D12</f>
        <v>528.06810534565113</v>
      </c>
      <c r="E14" s="21">
        <f t="shared" si="0"/>
        <v>467.95084741706938</v>
      </c>
      <c r="F14" s="21"/>
      <c r="G14" s="21">
        <f t="shared" si="0"/>
        <v>234636.22792018522</v>
      </c>
      <c r="H14" s="21">
        <f t="shared" si="0"/>
        <v>40402.666186275128</v>
      </c>
      <c r="I14" s="21"/>
      <c r="J14" s="21"/>
      <c r="K14" s="21"/>
      <c r="L14" s="21"/>
      <c r="M14" s="21">
        <f t="shared" si="0"/>
        <v>16183.868422004256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0.19931105265309179</v>
      </c>
      <c r="C16" s="56">
        <f ca="1">'EF ele_warmte'!B22</f>
        <v>0.23652419832006455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26.967220206353176</v>
      </c>
      <c r="C18" s="23"/>
      <c r="D18" s="23">
        <f t="shared" ref="D18:M18" si="1">D14*D16</f>
        <v>106.66975727982154</v>
      </c>
      <c r="E18" s="23">
        <f t="shared" si="1"/>
        <v>106.22484236367475</v>
      </c>
      <c r="F18" s="23"/>
      <c r="G18" s="23">
        <f t="shared" si="1"/>
        <v>62647.872854689456</v>
      </c>
      <c r="H18" s="23">
        <f t="shared" si="1"/>
        <v>10060.263880382507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7.5555726456185135E-3</v>
      </c>
      <c r="H50" s="321">
        <f t="shared" si="2"/>
        <v>0</v>
      </c>
      <c r="I50" s="321">
        <f t="shared" si="2"/>
        <v>0</v>
      </c>
      <c r="J50" s="321">
        <f t="shared" si="2"/>
        <v>0</v>
      </c>
      <c r="K50" s="321">
        <f t="shared" si="2"/>
        <v>0</v>
      </c>
      <c r="L50" s="321">
        <f t="shared" si="2"/>
        <v>0</v>
      </c>
      <c r="M50" s="321">
        <f t="shared" si="2"/>
        <v>4.199395636216657E-4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7.5555726456185135E-3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4.199395636216657E-4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2098.7701793384758</v>
      </c>
      <c r="H54" s="21">
        <f t="shared" si="3"/>
        <v>0</v>
      </c>
      <c r="I54" s="21">
        <f t="shared" si="3"/>
        <v>0</v>
      </c>
      <c r="J54" s="21">
        <f t="shared" si="3"/>
        <v>0</v>
      </c>
      <c r="K54" s="21">
        <f t="shared" si="3"/>
        <v>0</v>
      </c>
      <c r="L54" s="21">
        <f t="shared" si="3"/>
        <v>0</v>
      </c>
      <c r="M54" s="21">
        <f t="shared" si="3"/>
        <v>116.64987878379603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0.19931105265309179</v>
      </c>
      <c r="C56" s="56">
        <f ca="1">'EF ele_warmte'!B22</f>
        <v>0.23652419832006455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560.37163788337307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29573.692063999992</v>
      </c>
      <c r="D10" s="712">
        <f ca="1">tertiair!C16</f>
        <v>192.85714285714286</v>
      </c>
      <c r="E10" s="712">
        <f ca="1">tertiair!D16</f>
        <v>30319.017300143714</v>
      </c>
      <c r="F10" s="712">
        <f>tertiair!E16</f>
        <v>454.10850908057142</v>
      </c>
      <c r="G10" s="712">
        <f ca="1">tertiair!F16</f>
        <v>3127.7873995021887</v>
      </c>
      <c r="H10" s="712">
        <f>tertiair!G16</f>
        <v>0</v>
      </c>
      <c r="I10" s="712">
        <f>tertiair!H16</f>
        <v>0</v>
      </c>
      <c r="J10" s="712">
        <f>tertiair!I16</f>
        <v>0</v>
      </c>
      <c r="K10" s="712">
        <f>tertiair!J16</f>
        <v>5.675385931107782E-2</v>
      </c>
      <c r="L10" s="712">
        <f>tertiair!K16</f>
        <v>0</v>
      </c>
      <c r="M10" s="712">
        <f ca="1">tertiair!L16</f>
        <v>0</v>
      </c>
      <c r="N10" s="712">
        <f>tertiair!M16</f>
        <v>0</v>
      </c>
      <c r="O10" s="712">
        <f ca="1">tertiair!N16</f>
        <v>2226.4864333124115</v>
      </c>
      <c r="P10" s="712">
        <f>tertiair!O16</f>
        <v>4.8972607658411542</v>
      </c>
      <c r="Q10" s="713">
        <f>tertiair!P16</f>
        <v>105.07827661299004</v>
      </c>
      <c r="R10" s="715">
        <f ca="1">SUM(C10:Q10)</f>
        <v>66003.981140134143</v>
      </c>
      <c r="S10" s="67"/>
    </row>
    <row r="11" spans="1:19" s="474" customFormat="1">
      <c r="A11" s="834" t="s">
        <v>224</v>
      </c>
      <c r="B11" s="839"/>
      <c r="C11" s="712">
        <f>huishoudens!B8</f>
        <v>41353.566575284924</v>
      </c>
      <c r="D11" s="712">
        <f>huishoudens!C8</f>
        <v>0</v>
      </c>
      <c r="E11" s="712">
        <f>huishoudens!D8</f>
        <v>73811.550382240006</v>
      </c>
      <c r="F11" s="712">
        <f>huishoudens!E8</f>
        <v>9192.2513211604746</v>
      </c>
      <c r="G11" s="712">
        <f>huishoudens!F8</f>
        <v>9880.3666111139355</v>
      </c>
      <c r="H11" s="712">
        <f>huishoudens!G8</f>
        <v>0</v>
      </c>
      <c r="I11" s="712">
        <f>huishoudens!H8</f>
        <v>0</v>
      </c>
      <c r="J11" s="712">
        <f>huishoudens!I8</f>
        <v>0</v>
      </c>
      <c r="K11" s="712">
        <f>huishoudens!J8</f>
        <v>0</v>
      </c>
      <c r="L11" s="712">
        <f>huishoudens!K8</f>
        <v>0</v>
      </c>
      <c r="M11" s="712">
        <f>huishoudens!L8</f>
        <v>0</v>
      </c>
      <c r="N11" s="712">
        <f>huishoudens!M8</f>
        <v>0</v>
      </c>
      <c r="O11" s="712">
        <f>huishoudens!N8</f>
        <v>18799.795649806038</v>
      </c>
      <c r="P11" s="712">
        <f>huishoudens!O8</f>
        <v>738.03245761197581</v>
      </c>
      <c r="Q11" s="713">
        <f>huishoudens!P8</f>
        <v>1464.2203437682183</v>
      </c>
      <c r="R11" s="715">
        <f>SUM(C11:Q11)</f>
        <v>155239.7833409856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8344.1465790000002</v>
      </c>
      <c r="D13" s="712">
        <f>industrie!C18</f>
        <v>0</v>
      </c>
      <c r="E13" s="712">
        <f>industrie!D18</f>
        <v>30577.085413952002</v>
      </c>
      <c r="F13" s="712">
        <f>industrie!E18</f>
        <v>1112.7586665195092</v>
      </c>
      <c r="G13" s="712">
        <f>industrie!F18</f>
        <v>3531.9797359699223</v>
      </c>
      <c r="H13" s="712">
        <f>industrie!G18</f>
        <v>0</v>
      </c>
      <c r="I13" s="712">
        <f>industrie!H18</f>
        <v>0</v>
      </c>
      <c r="J13" s="712">
        <f>industrie!I18</f>
        <v>0</v>
      </c>
      <c r="K13" s="712">
        <f>industrie!J18</f>
        <v>36.192771954147709</v>
      </c>
      <c r="L13" s="712">
        <f>industrie!K18</f>
        <v>0</v>
      </c>
      <c r="M13" s="712">
        <f>industrie!L18</f>
        <v>0</v>
      </c>
      <c r="N13" s="712">
        <f>industrie!M18</f>
        <v>0</v>
      </c>
      <c r="O13" s="712">
        <f>industrie!N18</f>
        <v>447.09484509116311</v>
      </c>
      <c r="P13" s="712">
        <f>industrie!O18</f>
        <v>0</v>
      </c>
      <c r="Q13" s="713">
        <f>industrie!P18</f>
        <v>0</v>
      </c>
      <c r="R13" s="715">
        <f>SUM(C13:Q13)</f>
        <v>44049.258012486745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79271.405218284926</v>
      </c>
      <c r="D16" s="748">
        <f t="shared" ref="D16:R16" ca="1" si="0">SUM(D9:D15)</f>
        <v>192.85714285714286</v>
      </c>
      <c r="E16" s="748">
        <f t="shared" ca="1" si="0"/>
        <v>134707.65309633574</v>
      </c>
      <c r="F16" s="748">
        <f t="shared" si="0"/>
        <v>10759.118496760555</v>
      </c>
      <c r="G16" s="748">
        <f t="shared" ca="1" si="0"/>
        <v>16540.133746586049</v>
      </c>
      <c r="H16" s="748">
        <f t="shared" si="0"/>
        <v>0</v>
      </c>
      <c r="I16" s="748">
        <f t="shared" si="0"/>
        <v>0</v>
      </c>
      <c r="J16" s="748">
        <f t="shared" si="0"/>
        <v>0</v>
      </c>
      <c r="K16" s="748">
        <f t="shared" si="0"/>
        <v>36.249525813458789</v>
      </c>
      <c r="L16" s="748">
        <f t="shared" si="0"/>
        <v>0</v>
      </c>
      <c r="M16" s="748">
        <f t="shared" ca="1" si="0"/>
        <v>0</v>
      </c>
      <c r="N16" s="748">
        <f t="shared" si="0"/>
        <v>0</v>
      </c>
      <c r="O16" s="748">
        <f t="shared" ca="1" si="0"/>
        <v>21473.376928209615</v>
      </c>
      <c r="P16" s="748">
        <f t="shared" si="0"/>
        <v>742.92971837781693</v>
      </c>
      <c r="Q16" s="748">
        <f t="shared" si="0"/>
        <v>1569.2986203812084</v>
      </c>
      <c r="R16" s="748">
        <f t="shared" ca="1" si="0"/>
        <v>265293.02249360649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2098.7701793384758</v>
      </c>
      <c r="I19" s="712">
        <f>transport!H54</f>
        <v>0</v>
      </c>
      <c r="J19" s="712">
        <f>transport!I54</f>
        <v>0</v>
      </c>
      <c r="K19" s="712">
        <f>transport!J54</f>
        <v>0</v>
      </c>
      <c r="L19" s="712">
        <f>transport!K54</f>
        <v>0</v>
      </c>
      <c r="M19" s="712">
        <f>transport!L54</f>
        <v>0</v>
      </c>
      <c r="N19" s="712">
        <f>transport!M54</f>
        <v>116.64987878379603</v>
      </c>
      <c r="O19" s="712">
        <f>transport!N54</f>
        <v>0</v>
      </c>
      <c r="P19" s="712">
        <f>transport!O54</f>
        <v>0</v>
      </c>
      <c r="Q19" s="713">
        <f>transport!P54</f>
        <v>0</v>
      </c>
      <c r="R19" s="715">
        <f>SUM(C19:Q19)</f>
        <v>2215.4200581222717</v>
      </c>
      <c r="S19" s="67"/>
    </row>
    <row r="20" spans="1:19" s="474" customFormat="1">
      <c r="A20" s="834" t="s">
        <v>306</v>
      </c>
      <c r="B20" s="839"/>
      <c r="C20" s="712">
        <f>transport!B14</f>
        <v>135.3021814263889</v>
      </c>
      <c r="D20" s="712">
        <f>transport!C14</f>
        <v>0</v>
      </c>
      <c r="E20" s="712">
        <f>transport!D14</f>
        <v>528.06810534565113</v>
      </c>
      <c r="F20" s="712">
        <f>transport!E14</f>
        <v>467.95084741706938</v>
      </c>
      <c r="G20" s="712">
        <f>transport!F14</f>
        <v>0</v>
      </c>
      <c r="H20" s="712">
        <f>transport!G14</f>
        <v>234636.22792018522</v>
      </c>
      <c r="I20" s="712">
        <f>transport!H14</f>
        <v>40402.666186275128</v>
      </c>
      <c r="J20" s="712">
        <f>transport!I14</f>
        <v>0</v>
      </c>
      <c r="K20" s="712">
        <f>transport!J14</f>
        <v>0</v>
      </c>
      <c r="L20" s="712">
        <f>transport!K14</f>
        <v>0</v>
      </c>
      <c r="M20" s="712">
        <f>transport!L14</f>
        <v>0</v>
      </c>
      <c r="N20" s="712">
        <f>transport!M14</f>
        <v>16183.868422004256</v>
      </c>
      <c r="O20" s="712">
        <f>transport!N14</f>
        <v>0</v>
      </c>
      <c r="P20" s="712">
        <f>transport!O14</f>
        <v>0</v>
      </c>
      <c r="Q20" s="713">
        <f>transport!P14</f>
        <v>0</v>
      </c>
      <c r="R20" s="715">
        <f>SUM(C20:Q20)</f>
        <v>292354.08366265375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135.3021814263889</v>
      </c>
      <c r="D22" s="837">
        <f t="shared" ref="D22:R22" si="1">SUM(D18:D21)</f>
        <v>0</v>
      </c>
      <c r="E22" s="837">
        <f t="shared" si="1"/>
        <v>528.06810534565113</v>
      </c>
      <c r="F22" s="837">
        <f t="shared" si="1"/>
        <v>467.95084741706938</v>
      </c>
      <c r="G22" s="837">
        <f t="shared" si="1"/>
        <v>0</v>
      </c>
      <c r="H22" s="837">
        <f t="shared" si="1"/>
        <v>236734.99809952368</v>
      </c>
      <c r="I22" s="837">
        <f t="shared" si="1"/>
        <v>40402.666186275128</v>
      </c>
      <c r="J22" s="837">
        <f t="shared" si="1"/>
        <v>0</v>
      </c>
      <c r="K22" s="837">
        <f t="shared" si="1"/>
        <v>0</v>
      </c>
      <c r="L22" s="837">
        <f t="shared" si="1"/>
        <v>0</v>
      </c>
      <c r="M22" s="837">
        <f t="shared" si="1"/>
        <v>0</v>
      </c>
      <c r="N22" s="837">
        <f t="shared" si="1"/>
        <v>16300.518300788051</v>
      </c>
      <c r="O22" s="837">
        <f t="shared" si="1"/>
        <v>0</v>
      </c>
      <c r="P22" s="837">
        <f t="shared" si="1"/>
        <v>0</v>
      </c>
      <c r="Q22" s="837">
        <f t="shared" si="1"/>
        <v>0</v>
      </c>
      <c r="R22" s="837">
        <f t="shared" si="1"/>
        <v>294569.503720776</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11713.348641999999</v>
      </c>
      <c r="D24" s="712">
        <f>+landbouw!C8</f>
        <v>13004.678571428571</v>
      </c>
      <c r="E24" s="712">
        <f>+landbouw!D8</f>
        <v>33879.467772773132</v>
      </c>
      <c r="F24" s="712">
        <f>+landbouw!E8</f>
        <v>365.56974853095693</v>
      </c>
      <c r="G24" s="712">
        <f>+landbouw!F8</f>
        <v>41396.271670587317</v>
      </c>
      <c r="H24" s="712">
        <f>+landbouw!G8</f>
        <v>0</v>
      </c>
      <c r="I24" s="712">
        <f>+landbouw!H8</f>
        <v>0</v>
      </c>
      <c r="J24" s="712">
        <f>+landbouw!I8</f>
        <v>0</v>
      </c>
      <c r="K24" s="712">
        <f>+landbouw!J8</f>
        <v>3227.1087822319255</v>
      </c>
      <c r="L24" s="712">
        <f>+landbouw!K8</f>
        <v>0</v>
      </c>
      <c r="M24" s="712">
        <f>+landbouw!L8</f>
        <v>0</v>
      </c>
      <c r="N24" s="712">
        <f>+landbouw!M8</f>
        <v>0</v>
      </c>
      <c r="O24" s="712">
        <f>+landbouw!N8</f>
        <v>0</v>
      </c>
      <c r="P24" s="712">
        <f>+landbouw!O8</f>
        <v>0</v>
      </c>
      <c r="Q24" s="713">
        <f>+landbouw!P8</f>
        <v>0</v>
      </c>
      <c r="R24" s="715">
        <f>SUM(C24:Q24)</f>
        <v>103586.4451875519</v>
      </c>
      <c r="S24" s="67"/>
    </row>
    <row r="25" spans="1:19" s="474" customFormat="1" ht="15" thickBot="1">
      <c r="A25" s="856" t="s">
        <v>734</v>
      </c>
      <c r="B25" s="982"/>
      <c r="C25" s="983">
        <f>IF(Onbekend_ele_kWh="---",0,Onbekend_ele_kWh)/1000+IF(REST_rest_ele_kWh="---",0,REST_rest_ele_kWh)/1000</f>
        <v>1184.390365</v>
      </c>
      <c r="D25" s="983"/>
      <c r="E25" s="983">
        <f>IF(onbekend_gas_kWh="---",0,onbekend_gas_kWh)/1000+IF(REST_rest_gas_kWh="---",0,REST_rest_gas_kWh)/1000</f>
        <v>1879.9413629999999</v>
      </c>
      <c r="F25" s="983"/>
      <c r="G25" s="983"/>
      <c r="H25" s="983"/>
      <c r="I25" s="983"/>
      <c r="J25" s="983"/>
      <c r="K25" s="983"/>
      <c r="L25" s="983"/>
      <c r="M25" s="983"/>
      <c r="N25" s="983"/>
      <c r="O25" s="983"/>
      <c r="P25" s="983"/>
      <c r="Q25" s="984"/>
      <c r="R25" s="715">
        <f>SUM(C25:Q25)</f>
        <v>3064.3317280000001</v>
      </c>
      <c r="S25" s="67"/>
    </row>
    <row r="26" spans="1:19" s="474" customFormat="1" ht="15.75" thickBot="1">
      <c r="A26" s="720" t="s">
        <v>735</v>
      </c>
      <c r="B26" s="842"/>
      <c r="C26" s="837">
        <f>SUM(C24:C25)</f>
        <v>12897.739006999998</v>
      </c>
      <c r="D26" s="837">
        <f t="shared" ref="D26:R26" si="2">SUM(D24:D25)</f>
        <v>13004.678571428571</v>
      </c>
      <c r="E26" s="837">
        <f t="shared" si="2"/>
        <v>35759.40913577313</v>
      </c>
      <c r="F26" s="837">
        <f t="shared" si="2"/>
        <v>365.56974853095693</v>
      </c>
      <c r="G26" s="837">
        <f t="shared" si="2"/>
        <v>41396.271670587317</v>
      </c>
      <c r="H26" s="837">
        <f t="shared" si="2"/>
        <v>0</v>
      </c>
      <c r="I26" s="837">
        <f t="shared" si="2"/>
        <v>0</v>
      </c>
      <c r="J26" s="837">
        <f t="shared" si="2"/>
        <v>0</v>
      </c>
      <c r="K26" s="837">
        <f t="shared" si="2"/>
        <v>3227.1087822319255</v>
      </c>
      <c r="L26" s="837">
        <f t="shared" si="2"/>
        <v>0</v>
      </c>
      <c r="M26" s="837">
        <f t="shared" si="2"/>
        <v>0</v>
      </c>
      <c r="N26" s="837">
        <f t="shared" si="2"/>
        <v>0</v>
      </c>
      <c r="O26" s="837">
        <f t="shared" si="2"/>
        <v>0</v>
      </c>
      <c r="P26" s="837">
        <f t="shared" si="2"/>
        <v>0</v>
      </c>
      <c r="Q26" s="837">
        <f t="shared" si="2"/>
        <v>0</v>
      </c>
      <c r="R26" s="837">
        <f t="shared" si="2"/>
        <v>106650.77691555191</v>
      </c>
      <c r="S26" s="67"/>
    </row>
    <row r="27" spans="1:19" s="474" customFormat="1" ht="17.25" thickTop="1" thickBot="1">
      <c r="A27" s="721" t="s">
        <v>115</v>
      </c>
      <c r="B27" s="829"/>
      <c r="C27" s="722">
        <f ca="1">C22+C16+C26</f>
        <v>92304.446406711315</v>
      </c>
      <c r="D27" s="722">
        <f t="shared" ref="D27:R27" ca="1" si="3">D22+D16+D26</f>
        <v>13197.535714285714</v>
      </c>
      <c r="E27" s="722">
        <f t="shared" ca="1" si="3"/>
        <v>170995.13033745452</v>
      </c>
      <c r="F27" s="722">
        <f t="shared" si="3"/>
        <v>11592.639092708581</v>
      </c>
      <c r="G27" s="722">
        <f t="shared" ca="1" si="3"/>
        <v>57936.405417173366</v>
      </c>
      <c r="H27" s="722">
        <f t="shared" si="3"/>
        <v>236734.99809952368</v>
      </c>
      <c r="I27" s="722">
        <f t="shared" si="3"/>
        <v>40402.666186275128</v>
      </c>
      <c r="J27" s="722">
        <f t="shared" si="3"/>
        <v>0</v>
      </c>
      <c r="K27" s="722">
        <f t="shared" si="3"/>
        <v>3263.3583080453841</v>
      </c>
      <c r="L27" s="722">
        <f t="shared" si="3"/>
        <v>0</v>
      </c>
      <c r="M27" s="722">
        <f t="shared" ca="1" si="3"/>
        <v>0</v>
      </c>
      <c r="N27" s="722">
        <f t="shared" si="3"/>
        <v>16300.518300788051</v>
      </c>
      <c r="O27" s="722">
        <f t="shared" ca="1" si="3"/>
        <v>21473.376928209615</v>
      </c>
      <c r="P27" s="722">
        <f t="shared" si="3"/>
        <v>742.92971837781693</v>
      </c>
      <c r="Q27" s="722">
        <f t="shared" si="3"/>
        <v>1569.2986203812084</v>
      </c>
      <c r="R27" s="722">
        <f t="shared" ca="1" si="3"/>
        <v>666513.30312993436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5894.3636961142256</v>
      </c>
      <c r="D40" s="712">
        <f ca="1">tertiair!C20</f>
        <v>45.615381104583875</v>
      </c>
      <c r="E40" s="712">
        <f ca="1">tertiair!D20</f>
        <v>6124.4414946290308</v>
      </c>
      <c r="F40" s="712">
        <f>tertiair!E20</f>
        <v>103.08263156128972</v>
      </c>
      <c r="G40" s="712">
        <f ca="1">tertiair!F20</f>
        <v>835.11923566708447</v>
      </c>
      <c r="H40" s="712">
        <f>tertiair!G20</f>
        <v>0</v>
      </c>
      <c r="I40" s="712">
        <f>tertiair!H20</f>
        <v>0</v>
      </c>
      <c r="J40" s="712">
        <f>tertiair!I20</f>
        <v>0</v>
      </c>
      <c r="K40" s="712">
        <f>tertiair!J20</f>
        <v>2.0090866196121548E-2</v>
      </c>
      <c r="L40" s="712">
        <f>tertiair!K20</f>
        <v>0</v>
      </c>
      <c r="M40" s="712">
        <f ca="1">tertiair!L20</f>
        <v>0</v>
      </c>
      <c r="N40" s="712">
        <f>tertiair!M20</f>
        <v>0</v>
      </c>
      <c r="O40" s="712">
        <f ca="1">tertiair!N20</f>
        <v>0</v>
      </c>
      <c r="P40" s="712">
        <f>tertiair!O20</f>
        <v>0</v>
      </c>
      <c r="Q40" s="795">
        <f>tertiair!P20</f>
        <v>0</v>
      </c>
      <c r="R40" s="875">
        <f t="shared" ca="1" si="4"/>
        <v>13002.64252994241</v>
      </c>
    </row>
    <row r="41" spans="1:18">
      <c r="A41" s="847" t="s">
        <v>224</v>
      </c>
      <c r="B41" s="854"/>
      <c r="C41" s="712">
        <f ca="1">huishoudens!B12</f>
        <v>8242.222885079751</v>
      </c>
      <c r="D41" s="712">
        <f ca="1">huishoudens!C12</f>
        <v>0</v>
      </c>
      <c r="E41" s="712">
        <f>huishoudens!D12</f>
        <v>14909.933177212482</v>
      </c>
      <c r="F41" s="712">
        <f>huishoudens!E12</f>
        <v>2086.6410499034278</v>
      </c>
      <c r="G41" s="712">
        <f>huishoudens!F12</f>
        <v>2638.0578851674209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27876.854997363083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1663.0806381521847</v>
      </c>
      <c r="D43" s="712">
        <f ca="1">industrie!C22</f>
        <v>0</v>
      </c>
      <c r="E43" s="712">
        <f>industrie!D22</f>
        <v>6176.5712536183046</v>
      </c>
      <c r="F43" s="712">
        <f>industrie!E22</f>
        <v>252.59621729992861</v>
      </c>
      <c r="G43" s="712">
        <f>industrie!F22</f>
        <v>943.03858950396932</v>
      </c>
      <c r="H43" s="712">
        <f>industrie!G22</f>
        <v>0</v>
      </c>
      <c r="I43" s="712">
        <f>industrie!H22</f>
        <v>0</v>
      </c>
      <c r="J43" s="712">
        <f>industrie!I22</f>
        <v>0</v>
      </c>
      <c r="K43" s="712">
        <f>industrie!J22</f>
        <v>12.812241271768288</v>
      </c>
      <c r="L43" s="712">
        <f>industrie!K22</f>
        <v>0</v>
      </c>
      <c r="M43" s="712">
        <f>industrie!L22</f>
        <v>0</v>
      </c>
      <c r="N43" s="712">
        <f>industrie!M22</f>
        <v>0</v>
      </c>
      <c r="O43" s="712">
        <f>industrie!N22</f>
        <v>0</v>
      </c>
      <c r="P43" s="712">
        <f>industrie!O22</f>
        <v>0</v>
      </c>
      <c r="Q43" s="795">
        <f>industrie!P22</f>
        <v>0</v>
      </c>
      <c r="R43" s="874">
        <f t="shared" ca="1" si="4"/>
        <v>9048.0989398461552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15799.667219346162</v>
      </c>
      <c r="D46" s="748">
        <f t="shared" ref="D46:Q46" ca="1" si="5">SUM(D39:D45)</f>
        <v>45.615381104583875</v>
      </c>
      <c r="E46" s="748">
        <f t="shared" ca="1" si="5"/>
        <v>27210.945925459819</v>
      </c>
      <c r="F46" s="748">
        <f t="shared" si="5"/>
        <v>2442.319898764646</v>
      </c>
      <c r="G46" s="748">
        <f t="shared" ca="1" si="5"/>
        <v>4416.2157103384743</v>
      </c>
      <c r="H46" s="748">
        <f t="shared" si="5"/>
        <v>0</v>
      </c>
      <c r="I46" s="748">
        <f t="shared" si="5"/>
        <v>0</v>
      </c>
      <c r="J46" s="748">
        <f t="shared" si="5"/>
        <v>0</v>
      </c>
      <c r="K46" s="748">
        <f t="shared" si="5"/>
        <v>12.832332137964409</v>
      </c>
      <c r="L46" s="748">
        <f t="shared" si="5"/>
        <v>0</v>
      </c>
      <c r="M46" s="748">
        <f t="shared" ca="1" si="5"/>
        <v>0</v>
      </c>
      <c r="N46" s="748">
        <f t="shared" si="5"/>
        <v>0</v>
      </c>
      <c r="O46" s="748">
        <f t="shared" ca="1" si="5"/>
        <v>0</v>
      </c>
      <c r="P46" s="748">
        <f t="shared" si="5"/>
        <v>0</v>
      </c>
      <c r="Q46" s="748">
        <f t="shared" si="5"/>
        <v>0</v>
      </c>
      <c r="R46" s="748">
        <f ca="1">SUM(R39:R45)</f>
        <v>49927.596467151649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560.37163788337307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560.37163788337307</v>
      </c>
    </row>
    <row r="50" spans="1:18">
      <c r="A50" s="850" t="s">
        <v>306</v>
      </c>
      <c r="B50" s="860"/>
      <c r="C50" s="718">
        <f ca="1">transport!B18</f>
        <v>26.967220206353176</v>
      </c>
      <c r="D50" s="718">
        <f>transport!C18</f>
        <v>0</v>
      </c>
      <c r="E50" s="718">
        <f>transport!D18</f>
        <v>106.66975727982154</v>
      </c>
      <c r="F50" s="718">
        <f>transport!E18</f>
        <v>106.22484236367475</v>
      </c>
      <c r="G50" s="718">
        <f>transport!F18</f>
        <v>0</v>
      </c>
      <c r="H50" s="718">
        <f>transport!G18</f>
        <v>62647.872854689456</v>
      </c>
      <c r="I50" s="718">
        <f>transport!H18</f>
        <v>10060.263880382507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72947.998554921811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26.967220206353176</v>
      </c>
      <c r="D52" s="748">
        <f t="shared" ref="D52:Q52" ca="1" si="6">SUM(D48:D51)</f>
        <v>0</v>
      </c>
      <c r="E52" s="748">
        <f t="shared" si="6"/>
        <v>106.66975727982154</v>
      </c>
      <c r="F52" s="748">
        <f t="shared" si="6"/>
        <v>106.22484236367475</v>
      </c>
      <c r="G52" s="748">
        <f t="shared" si="6"/>
        <v>0</v>
      </c>
      <c r="H52" s="748">
        <f t="shared" si="6"/>
        <v>63208.244492572827</v>
      </c>
      <c r="I52" s="748">
        <f t="shared" si="6"/>
        <v>10060.263880382507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73508.370192805189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2334.5998479296832</v>
      </c>
      <c r="D54" s="718">
        <f ca="1">+landbouw!C12</f>
        <v>3075.9211735172648</v>
      </c>
      <c r="E54" s="718">
        <f>+landbouw!D12</f>
        <v>6843.6524901001731</v>
      </c>
      <c r="F54" s="718">
        <f>+landbouw!E12</f>
        <v>82.984332916527222</v>
      </c>
      <c r="G54" s="718">
        <f>+landbouw!F12</f>
        <v>11052.804536046815</v>
      </c>
      <c r="H54" s="718">
        <f>+landbouw!G12</f>
        <v>0</v>
      </c>
      <c r="I54" s="718">
        <f>+landbouw!H12</f>
        <v>0</v>
      </c>
      <c r="J54" s="718">
        <f>+landbouw!I12</f>
        <v>0</v>
      </c>
      <c r="K54" s="718">
        <f>+landbouw!J12</f>
        <v>1142.3965089101016</v>
      </c>
      <c r="L54" s="718">
        <f>+landbouw!K12</f>
        <v>0</v>
      </c>
      <c r="M54" s="718">
        <f>+landbouw!L12</f>
        <v>0</v>
      </c>
      <c r="N54" s="718">
        <f>+landbouw!M12</f>
        <v>0</v>
      </c>
      <c r="O54" s="718">
        <f>+landbouw!N12</f>
        <v>0</v>
      </c>
      <c r="P54" s="718">
        <f>+landbouw!O12</f>
        <v>0</v>
      </c>
      <c r="Q54" s="719">
        <f>+landbouw!P12</f>
        <v>0</v>
      </c>
      <c r="R54" s="747">
        <f ca="1">SUM(C54:Q54)</f>
        <v>24532.358889420564</v>
      </c>
    </row>
    <row r="55" spans="1:18" ht="15" thickBot="1">
      <c r="A55" s="850" t="s">
        <v>734</v>
      </c>
      <c r="B55" s="860"/>
      <c r="C55" s="718">
        <f ca="1">C25*'EF ele_warmte'!B12</f>
        <v>236.06209040032959</v>
      </c>
      <c r="D55" s="718"/>
      <c r="E55" s="718">
        <f>E25*EF_CO2_aardgas</f>
        <v>379.74815532600002</v>
      </c>
      <c r="F55" s="718"/>
      <c r="G55" s="718"/>
      <c r="H55" s="718"/>
      <c r="I55" s="718"/>
      <c r="J55" s="718"/>
      <c r="K55" s="718"/>
      <c r="L55" s="718"/>
      <c r="M55" s="718"/>
      <c r="N55" s="718"/>
      <c r="O55" s="718"/>
      <c r="P55" s="718"/>
      <c r="Q55" s="719"/>
      <c r="R55" s="747">
        <f ca="1">SUM(C55:Q55)</f>
        <v>615.81024572632964</v>
      </c>
    </row>
    <row r="56" spans="1:18" ht="15.75" thickBot="1">
      <c r="A56" s="848" t="s">
        <v>735</v>
      </c>
      <c r="B56" s="861"/>
      <c r="C56" s="748">
        <f ca="1">SUM(C54:C55)</f>
        <v>2570.6619383300126</v>
      </c>
      <c r="D56" s="748">
        <f t="shared" ref="D56:Q56" ca="1" si="7">SUM(D54:D55)</f>
        <v>3075.9211735172648</v>
      </c>
      <c r="E56" s="748">
        <f t="shared" si="7"/>
        <v>7223.4006454261735</v>
      </c>
      <c r="F56" s="748">
        <f t="shared" si="7"/>
        <v>82.984332916527222</v>
      </c>
      <c r="G56" s="748">
        <f t="shared" si="7"/>
        <v>11052.804536046815</v>
      </c>
      <c r="H56" s="748">
        <f t="shared" si="7"/>
        <v>0</v>
      </c>
      <c r="I56" s="748">
        <f t="shared" si="7"/>
        <v>0</v>
      </c>
      <c r="J56" s="748">
        <f t="shared" si="7"/>
        <v>0</v>
      </c>
      <c r="K56" s="748">
        <f t="shared" si="7"/>
        <v>1142.3965089101016</v>
      </c>
      <c r="L56" s="748">
        <f t="shared" si="7"/>
        <v>0</v>
      </c>
      <c r="M56" s="748">
        <f t="shared" si="7"/>
        <v>0</v>
      </c>
      <c r="N56" s="748">
        <f t="shared" si="7"/>
        <v>0</v>
      </c>
      <c r="O56" s="748">
        <f t="shared" si="7"/>
        <v>0</v>
      </c>
      <c r="P56" s="748">
        <f t="shared" si="7"/>
        <v>0</v>
      </c>
      <c r="Q56" s="749">
        <f t="shared" si="7"/>
        <v>0</v>
      </c>
      <c r="R56" s="750">
        <f ca="1">SUM(R54:R55)</f>
        <v>25148.169135146894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18397.296377882529</v>
      </c>
      <c r="D61" s="756">
        <f t="shared" ref="D61:Q61" ca="1" si="8">D46+D52+D56</f>
        <v>3121.5365546218486</v>
      </c>
      <c r="E61" s="756">
        <f t="shared" ca="1" si="8"/>
        <v>34541.016328165817</v>
      </c>
      <c r="F61" s="756">
        <f t="shared" si="8"/>
        <v>2631.5290740448481</v>
      </c>
      <c r="G61" s="756">
        <f t="shared" ca="1" si="8"/>
        <v>15469.020246385289</v>
      </c>
      <c r="H61" s="756">
        <f t="shared" si="8"/>
        <v>63208.244492572827</v>
      </c>
      <c r="I61" s="756">
        <f t="shared" si="8"/>
        <v>10060.263880382507</v>
      </c>
      <c r="J61" s="756">
        <f t="shared" si="8"/>
        <v>0</v>
      </c>
      <c r="K61" s="756">
        <f t="shared" si="8"/>
        <v>1155.228841048066</v>
      </c>
      <c r="L61" s="756">
        <f t="shared" si="8"/>
        <v>0</v>
      </c>
      <c r="M61" s="756">
        <f t="shared" ca="1" si="8"/>
        <v>0</v>
      </c>
      <c r="N61" s="756">
        <f t="shared" si="8"/>
        <v>0</v>
      </c>
      <c r="O61" s="756">
        <f t="shared" ca="1" si="8"/>
        <v>0</v>
      </c>
      <c r="P61" s="756">
        <f t="shared" si="8"/>
        <v>0</v>
      </c>
      <c r="Q61" s="756">
        <f t="shared" si="8"/>
        <v>0</v>
      </c>
      <c r="R61" s="756">
        <f ca="1">R46+R52+R56</f>
        <v>148584.13579510374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0.19931105265309179</v>
      </c>
      <c r="D63" s="802">
        <f t="shared" ca="1" si="9"/>
        <v>0.23652419832006452</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11318.776942182023</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7583.5543530033465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43.649999999999984</v>
      </c>
      <c r="C76" s="769">
        <f>'lokale energieproductie'!B8*IFERROR(SUM(D76:H76)/SUM(D76:O76),0)</f>
        <v>9194.625</v>
      </c>
      <c r="D76" s="991">
        <f>'lokale energieproductie'!C8</f>
        <v>10817.205882352942</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2185.0755882352946</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18945.981295185371</v>
      </c>
      <c r="C78" s="774">
        <f>SUM(C72:C77)</f>
        <v>9194.625</v>
      </c>
      <c r="D78" s="775">
        <f t="shared" ref="D78:H78" si="10">SUM(D76:D77)</f>
        <v>10817.205882352942</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2185.0755882352946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62.357142857142847</v>
      </c>
      <c r="C87" s="787">
        <f>'lokale energieproductie'!B17*IFERROR(SUM(D87:H87)/SUM(D87:O87),0)</f>
        <v>13135.178571428572</v>
      </c>
      <c r="D87" s="798">
        <f>'lokale energieproductie'!C17</f>
        <v>15453.151260504203</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3121.5365546218491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13135.178571428572</v>
      </c>
      <c r="D90" s="774">
        <f t="shared" ref="D90:H90" si="12">SUM(D87:D89)</f>
        <v>15453.151260504203</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3121.5365546218491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11318.776942182023</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7583.5543530033465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9238.2749999999996</v>
      </c>
      <c r="C8" s="574">
        <f>B101</f>
        <v>10817.205882352942</v>
      </c>
      <c r="D8" s="575"/>
      <c r="E8" s="575">
        <f>E101</f>
        <v>0</v>
      </c>
      <c r="F8" s="576"/>
      <c r="G8" s="577"/>
      <c r="H8" s="575">
        <f>I101</f>
        <v>0</v>
      </c>
      <c r="I8" s="575">
        <f>G101+F101</f>
        <v>0</v>
      </c>
      <c r="J8" s="575">
        <f>H101+D101+C101</f>
        <v>51.35294117647058</v>
      </c>
      <c r="K8" s="575"/>
      <c r="L8" s="575"/>
      <c r="M8" s="575"/>
      <c r="N8" s="578"/>
      <c r="O8" s="579">
        <f>C8*$C$12+D8*$D$12+E8*$E$12+F8*$F$12+G8*$G$12+H8*$H$12+I8*$I$12+J8*$J$12</f>
        <v>2185.0755882352946</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28140.606295185367</v>
      </c>
      <c r="C10" s="589">
        <f t="shared" ref="C10:L10" si="0">SUM(C8:C9)</f>
        <v>10817.205882352942</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2185.0755882352946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13197.535714285716</v>
      </c>
      <c r="C17" s="605">
        <f>B102</f>
        <v>15453.151260504203</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3121.5365546218491</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13197.535714285716</v>
      </c>
      <c r="C20" s="588">
        <f>SUM(C17:C19)</f>
        <v>15453.151260504203</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3121.5365546218491</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44034</v>
      </c>
      <c r="C28" s="817">
        <v>9080</v>
      </c>
      <c r="D28" s="666" t="s">
        <v>882</v>
      </c>
      <c r="E28" s="665" t="s">
        <v>883</v>
      </c>
      <c r="F28" s="665" t="s">
        <v>884</v>
      </c>
      <c r="G28" s="665" t="s">
        <v>885</v>
      </c>
      <c r="H28" s="665" t="s">
        <v>886</v>
      </c>
      <c r="I28" s="665" t="s">
        <v>887</v>
      </c>
      <c r="J28" s="816">
        <v>40473</v>
      </c>
      <c r="K28" s="816">
        <v>40513</v>
      </c>
      <c r="L28" s="665" t="s">
        <v>888</v>
      </c>
      <c r="M28" s="665">
        <v>1006</v>
      </c>
      <c r="N28" s="665">
        <v>4527</v>
      </c>
      <c r="O28" s="665">
        <v>6467.1428571428569</v>
      </c>
      <c r="P28" s="665">
        <v>12934.285714285716</v>
      </c>
      <c r="Q28" s="665">
        <v>0</v>
      </c>
      <c r="R28" s="665">
        <v>0</v>
      </c>
      <c r="S28" s="665">
        <v>0</v>
      </c>
      <c r="T28" s="665">
        <v>0</v>
      </c>
      <c r="U28" s="665">
        <v>0</v>
      </c>
      <c r="V28" s="665">
        <v>0</v>
      </c>
      <c r="W28" s="665">
        <v>0</v>
      </c>
      <c r="X28" s="665">
        <v>10</v>
      </c>
      <c r="Y28" s="665" t="s">
        <v>111</v>
      </c>
      <c r="Z28" s="667" t="s">
        <v>111</v>
      </c>
    </row>
    <row r="29" spans="1:26" s="619" customFormat="1" ht="63.75">
      <c r="A29" s="618"/>
      <c r="B29" s="817">
        <v>44034</v>
      </c>
      <c r="C29" s="817">
        <v>9080</v>
      </c>
      <c r="D29" s="666" t="s">
        <v>889</v>
      </c>
      <c r="E29" s="665" t="s">
        <v>890</v>
      </c>
      <c r="F29" s="665" t="s">
        <v>891</v>
      </c>
      <c r="G29" s="665" t="s">
        <v>885</v>
      </c>
      <c r="H29" s="665" t="s">
        <v>886</v>
      </c>
      <c r="I29" s="665" t="s">
        <v>890</v>
      </c>
      <c r="J29" s="816">
        <v>40598</v>
      </c>
      <c r="K29" s="816">
        <v>40664</v>
      </c>
      <c r="L29" s="665" t="s">
        <v>888</v>
      </c>
      <c r="M29" s="665">
        <v>30</v>
      </c>
      <c r="N29" s="665">
        <v>135</v>
      </c>
      <c r="O29" s="665">
        <v>192.85714285714286</v>
      </c>
      <c r="P29" s="665">
        <v>385.71428571428572</v>
      </c>
      <c r="Q29" s="665">
        <v>0</v>
      </c>
      <c r="R29" s="665">
        <v>0</v>
      </c>
      <c r="S29" s="665">
        <v>0</v>
      </c>
      <c r="T29" s="665">
        <v>0</v>
      </c>
      <c r="U29" s="665">
        <v>0</v>
      </c>
      <c r="V29" s="665">
        <v>0</v>
      </c>
      <c r="W29" s="665">
        <v>0</v>
      </c>
      <c r="X29" s="665">
        <v>1600</v>
      </c>
      <c r="Y29" s="665" t="s">
        <v>49</v>
      </c>
      <c r="Z29" s="667" t="s">
        <v>155</v>
      </c>
    </row>
    <row r="30" spans="1:26" s="619" customFormat="1" ht="25.5">
      <c r="A30" s="618"/>
      <c r="B30" s="817">
        <v>44034</v>
      </c>
      <c r="C30" s="817">
        <v>9080</v>
      </c>
      <c r="D30" s="666" t="s">
        <v>892</v>
      </c>
      <c r="E30" s="665" t="s">
        <v>893</v>
      </c>
      <c r="F30" s="665" t="s">
        <v>894</v>
      </c>
      <c r="G30" s="665" t="s">
        <v>885</v>
      </c>
      <c r="H30" s="665" t="s">
        <v>886</v>
      </c>
      <c r="I30" s="665" t="s">
        <v>893</v>
      </c>
      <c r="J30" s="816">
        <v>41244</v>
      </c>
      <c r="K30" s="816">
        <v>41255</v>
      </c>
      <c r="L30" s="665" t="s">
        <v>888</v>
      </c>
      <c r="M30" s="665">
        <v>526</v>
      </c>
      <c r="N30" s="665">
        <v>2367</v>
      </c>
      <c r="O30" s="665">
        <v>3381.4285714285716</v>
      </c>
      <c r="P30" s="665">
        <v>6762.8571428571431</v>
      </c>
      <c r="Q30" s="665">
        <v>0</v>
      </c>
      <c r="R30" s="665">
        <v>0</v>
      </c>
      <c r="S30" s="665">
        <v>0</v>
      </c>
      <c r="T30" s="665">
        <v>0</v>
      </c>
      <c r="U30" s="665">
        <v>0</v>
      </c>
      <c r="V30" s="665">
        <v>0</v>
      </c>
      <c r="W30" s="665">
        <v>0</v>
      </c>
      <c r="X30" s="665">
        <v>10</v>
      </c>
      <c r="Y30" s="665" t="s">
        <v>111</v>
      </c>
      <c r="Z30" s="667" t="s">
        <v>111</v>
      </c>
    </row>
    <row r="31" spans="1:26" s="619" customFormat="1" ht="25.5">
      <c r="A31" s="618"/>
      <c r="B31" s="817">
        <v>44034</v>
      </c>
      <c r="C31" s="817">
        <v>9080</v>
      </c>
      <c r="D31" s="666" t="s">
        <v>895</v>
      </c>
      <c r="E31" s="665" t="s">
        <v>896</v>
      </c>
      <c r="F31" s="665" t="s">
        <v>897</v>
      </c>
      <c r="G31" s="665" t="s">
        <v>885</v>
      </c>
      <c r="H31" s="665" t="s">
        <v>886</v>
      </c>
      <c r="I31" s="665" t="s">
        <v>898</v>
      </c>
      <c r="J31" s="816">
        <v>41242</v>
      </c>
      <c r="K31" s="816">
        <v>41275</v>
      </c>
      <c r="L31" s="665" t="s">
        <v>888</v>
      </c>
      <c r="M31" s="665">
        <v>9.6999999999999993</v>
      </c>
      <c r="N31" s="665">
        <v>43.649999999999991</v>
      </c>
      <c r="O31" s="665">
        <v>62.357142857142847</v>
      </c>
      <c r="P31" s="665">
        <v>0</v>
      </c>
      <c r="Q31" s="665">
        <v>124.71428571428569</v>
      </c>
      <c r="R31" s="665">
        <v>0</v>
      </c>
      <c r="S31" s="665">
        <v>0</v>
      </c>
      <c r="T31" s="665">
        <v>0</v>
      </c>
      <c r="U31" s="665">
        <v>0</v>
      </c>
      <c r="V31" s="665">
        <v>0</v>
      </c>
      <c r="W31" s="665">
        <v>0</v>
      </c>
      <c r="X31" s="665">
        <v>10</v>
      </c>
      <c r="Y31" s="665" t="s">
        <v>111</v>
      </c>
      <c r="Z31" s="667" t="s">
        <v>111</v>
      </c>
    </row>
    <row r="32" spans="1:26" s="619" customFormat="1" ht="25.5">
      <c r="A32" s="618"/>
      <c r="B32" s="817">
        <v>44034</v>
      </c>
      <c r="C32" s="817">
        <v>9080</v>
      </c>
      <c r="D32" s="666" t="s">
        <v>899</v>
      </c>
      <c r="E32" s="665"/>
      <c r="F32" s="665" t="s">
        <v>900</v>
      </c>
      <c r="G32" s="665" t="s">
        <v>885</v>
      </c>
      <c r="H32" s="665" t="s">
        <v>886</v>
      </c>
      <c r="I32" s="665" t="s">
        <v>901</v>
      </c>
      <c r="J32" s="816">
        <v>42331</v>
      </c>
      <c r="K32" s="816">
        <v>42375</v>
      </c>
      <c r="L32" s="665" t="s">
        <v>902</v>
      </c>
      <c r="M32" s="665">
        <v>525</v>
      </c>
      <c r="N32" s="665">
        <v>2165.625</v>
      </c>
      <c r="O32" s="665">
        <v>3093.75</v>
      </c>
      <c r="P32" s="665">
        <v>6187.5</v>
      </c>
      <c r="Q32" s="665">
        <v>0</v>
      </c>
      <c r="R32" s="665">
        <v>0</v>
      </c>
      <c r="S32" s="665">
        <v>0</v>
      </c>
      <c r="T32" s="665">
        <v>0</v>
      </c>
      <c r="U32" s="665">
        <v>0</v>
      </c>
      <c r="V32" s="665">
        <v>0</v>
      </c>
      <c r="W32" s="665">
        <v>0</v>
      </c>
      <c r="X32" s="665">
        <v>10</v>
      </c>
      <c r="Y32" s="665" t="s">
        <v>111</v>
      </c>
      <c r="Z32" s="667" t="s">
        <v>111</v>
      </c>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2096.6999999999998</v>
      </c>
      <c r="N58" s="623">
        <f>SUM(N28:N57)</f>
        <v>9238.2749999999996</v>
      </c>
      <c r="O58" s="623">
        <f t="shared" ref="O58:W58" si="2">SUM(O28:O57)</f>
        <v>13197.535714285716</v>
      </c>
      <c r="P58" s="623">
        <f t="shared" si="2"/>
        <v>26270.357142857145</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30</v>
      </c>
      <c r="N60" s="623">
        <f ca="1">SUMIF($Z$28:AD57,"tertiair",N28:N57)</f>
        <v>135</v>
      </c>
      <c r="O60" s="623">
        <f ca="1">SUMIF($Z$28:AE57,"tertiair",O28:O57)</f>
        <v>192.85714285714286</v>
      </c>
      <c r="P60" s="623">
        <f ca="1">SUMIF($Z$28:AF57,"tertiair",P28:P57)</f>
        <v>385.71428571428572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2066.6999999999998</v>
      </c>
      <c r="N61" s="628">
        <f t="shared" si="4"/>
        <v>9103.2749999999996</v>
      </c>
      <c r="O61" s="628">
        <f t="shared" si="4"/>
        <v>13004.678571428571</v>
      </c>
      <c r="P61" s="628">
        <f t="shared" si="4"/>
        <v>25884.642857142859</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10817.205882352942</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15453.151260504203</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41353.566575284924</v>
      </c>
      <c r="C4" s="478">
        <f>huishoudens!C8</f>
        <v>0</v>
      </c>
      <c r="D4" s="478">
        <f>huishoudens!D8</f>
        <v>73811.550382240006</v>
      </c>
      <c r="E4" s="478">
        <f>huishoudens!E8</f>
        <v>9192.2513211604746</v>
      </c>
      <c r="F4" s="478">
        <f>huishoudens!F8</f>
        <v>9880.3666111139355</v>
      </c>
      <c r="G4" s="478">
        <f>huishoudens!G8</f>
        <v>0</v>
      </c>
      <c r="H4" s="478">
        <f>huishoudens!H8</f>
        <v>0</v>
      </c>
      <c r="I4" s="478">
        <f>huishoudens!I8</f>
        <v>0</v>
      </c>
      <c r="J4" s="478">
        <f>huishoudens!J8</f>
        <v>0</v>
      </c>
      <c r="K4" s="478">
        <f>huishoudens!K8</f>
        <v>0</v>
      </c>
      <c r="L4" s="478">
        <f>huishoudens!L8</f>
        <v>0</v>
      </c>
      <c r="M4" s="478">
        <f>huishoudens!M8</f>
        <v>0</v>
      </c>
      <c r="N4" s="478">
        <f>huishoudens!N8</f>
        <v>18799.795649806038</v>
      </c>
      <c r="O4" s="478">
        <f>huishoudens!O8</f>
        <v>738.03245761197581</v>
      </c>
      <c r="P4" s="479">
        <f>huishoudens!P8</f>
        <v>1464.2203437682183</v>
      </c>
      <c r="Q4" s="480">
        <f>SUM(B4:P4)</f>
        <v>155239.7833409856</v>
      </c>
    </row>
    <row r="5" spans="1:17">
      <c r="A5" s="477" t="s">
        <v>155</v>
      </c>
      <c r="B5" s="478">
        <f ca="1">tertiair!B16</f>
        <v>27926.157063999992</v>
      </c>
      <c r="C5" s="478">
        <f ca="1">tertiair!C16</f>
        <v>192.85714285714286</v>
      </c>
      <c r="D5" s="478">
        <f ca="1">tertiair!D16</f>
        <v>30319.017300143714</v>
      </c>
      <c r="E5" s="478">
        <f>tertiair!E16</f>
        <v>454.10850908057142</v>
      </c>
      <c r="F5" s="478">
        <f ca="1">tertiair!F16</f>
        <v>3127.7873995021887</v>
      </c>
      <c r="G5" s="478">
        <f>tertiair!G16</f>
        <v>0</v>
      </c>
      <c r="H5" s="478">
        <f>tertiair!H16</f>
        <v>0</v>
      </c>
      <c r="I5" s="478">
        <f>tertiair!I16</f>
        <v>0</v>
      </c>
      <c r="J5" s="478">
        <f>tertiair!J16</f>
        <v>5.675385931107782E-2</v>
      </c>
      <c r="K5" s="478">
        <f>tertiair!K16</f>
        <v>0</v>
      </c>
      <c r="L5" s="478">
        <f ca="1">tertiair!L16</f>
        <v>0</v>
      </c>
      <c r="M5" s="478">
        <f>tertiair!M16</f>
        <v>0</v>
      </c>
      <c r="N5" s="478">
        <f ca="1">tertiair!N16</f>
        <v>2226.4864333124115</v>
      </c>
      <c r="O5" s="478">
        <f>tertiair!O16</f>
        <v>4.8972607658411542</v>
      </c>
      <c r="P5" s="479">
        <f>tertiair!P16</f>
        <v>105.07827661299004</v>
      </c>
      <c r="Q5" s="477">
        <f t="shared" ref="Q5:Q14" ca="1" si="0">SUM(B5:P5)</f>
        <v>64356.446140134169</v>
      </c>
    </row>
    <row r="6" spans="1:17">
      <c r="A6" s="477" t="s">
        <v>193</v>
      </c>
      <c r="B6" s="478">
        <f>'openbare verlichting'!B8</f>
        <v>1647.5350000000001</v>
      </c>
      <c r="C6" s="478"/>
      <c r="D6" s="478"/>
      <c r="E6" s="478"/>
      <c r="F6" s="478"/>
      <c r="G6" s="478"/>
      <c r="H6" s="478"/>
      <c r="I6" s="478"/>
      <c r="J6" s="478"/>
      <c r="K6" s="478"/>
      <c r="L6" s="478"/>
      <c r="M6" s="478"/>
      <c r="N6" s="478"/>
      <c r="O6" s="478"/>
      <c r="P6" s="479"/>
      <c r="Q6" s="477">
        <f t="shared" si="0"/>
        <v>1647.5350000000001</v>
      </c>
    </row>
    <row r="7" spans="1:17">
      <c r="A7" s="477" t="s">
        <v>111</v>
      </c>
      <c r="B7" s="478">
        <f>landbouw!B8</f>
        <v>11713.348641999999</v>
      </c>
      <c r="C7" s="478">
        <f>landbouw!C8</f>
        <v>13004.678571428571</v>
      </c>
      <c r="D7" s="478">
        <f>landbouw!D8</f>
        <v>33879.467772773132</v>
      </c>
      <c r="E7" s="478">
        <f>landbouw!E8</f>
        <v>365.56974853095693</v>
      </c>
      <c r="F7" s="478">
        <f>landbouw!F8</f>
        <v>41396.271670587317</v>
      </c>
      <c r="G7" s="478">
        <f>landbouw!G8</f>
        <v>0</v>
      </c>
      <c r="H7" s="478">
        <f>landbouw!H8</f>
        <v>0</v>
      </c>
      <c r="I7" s="478">
        <f>landbouw!I8</f>
        <v>0</v>
      </c>
      <c r="J7" s="478">
        <f>landbouw!J8</f>
        <v>3227.1087822319255</v>
      </c>
      <c r="K7" s="478">
        <f>landbouw!K8</f>
        <v>0</v>
      </c>
      <c r="L7" s="478">
        <f>landbouw!L8</f>
        <v>0</v>
      </c>
      <c r="M7" s="478">
        <f>landbouw!M8</f>
        <v>0</v>
      </c>
      <c r="N7" s="478">
        <f>landbouw!N8</f>
        <v>0</v>
      </c>
      <c r="O7" s="478">
        <f>landbouw!O8</f>
        <v>0</v>
      </c>
      <c r="P7" s="479">
        <f>landbouw!P8</f>
        <v>0</v>
      </c>
      <c r="Q7" s="477">
        <f t="shared" si="0"/>
        <v>103586.4451875519</v>
      </c>
    </row>
    <row r="8" spans="1:17">
      <c r="A8" s="477" t="s">
        <v>629</v>
      </c>
      <c r="B8" s="478">
        <f>industrie!B18</f>
        <v>8344.1465790000002</v>
      </c>
      <c r="C8" s="478">
        <f>industrie!C18</f>
        <v>0</v>
      </c>
      <c r="D8" s="478">
        <f>industrie!D18</f>
        <v>30577.085413952002</v>
      </c>
      <c r="E8" s="478">
        <f>industrie!E18</f>
        <v>1112.7586665195092</v>
      </c>
      <c r="F8" s="478">
        <f>industrie!F18</f>
        <v>3531.9797359699223</v>
      </c>
      <c r="G8" s="478">
        <f>industrie!G18</f>
        <v>0</v>
      </c>
      <c r="H8" s="478">
        <f>industrie!H18</f>
        <v>0</v>
      </c>
      <c r="I8" s="478">
        <f>industrie!I18</f>
        <v>0</v>
      </c>
      <c r="J8" s="478">
        <f>industrie!J18</f>
        <v>36.192771954147709</v>
      </c>
      <c r="K8" s="478">
        <f>industrie!K18</f>
        <v>0</v>
      </c>
      <c r="L8" s="478">
        <f>industrie!L18</f>
        <v>0</v>
      </c>
      <c r="M8" s="478">
        <f>industrie!M18</f>
        <v>0</v>
      </c>
      <c r="N8" s="478">
        <f>industrie!N18</f>
        <v>447.09484509116311</v>
      </c>
      <c r="O8" s="478">
        <f>industrie!O18</f>
        <v>0</v>
      </c>
      <c r="P8" s="479">
        <f>industrie!P18</f>
        <v>0</v>
      </c>
      <c r="Q8" s="477">
        <f t="shared" si="0"/>
        <v>44049.258012486745</v>
      </c>
    </row>
    <row r="9" spans="1:17" s="483" customFormat="1">
      <c r="A9" s="481" t="s">
        <v>555</v>
      </c>
      <c r="B9" s="482">
        <f>transport!B14</f>
        <v>135.3021814263889</v>
      </c>
      <c r="C9" s="482">
        <f>transport!C14</f>
        <v>0</v>
      </c>
      <c r="D9" s="482">
        <f>transport!D14</f>
        <v>528.06810534565113</v>
      </c>
      <c r="E9" s="482">
        <f>transport!E14</f>
        <v>467.95084741706938</v>
      </c>
      <c r="F9" s="482">
        <f>transport!F14</f>
        <v>0</v>
      </c>
      <c r="G9" s="482">
        <f>transport!G14</f>
        <v>234636.22792018522</v>
      </c>
      <c r="H9" s="482">
        <f>transport!H14</f>
        <v>40402.666186275128</v>
      </c>
      <c r="I9" s="482">
        <f>transport!I14</f>
        <v>0</v>
      </c>
      <c r="J9" s="482">
        <f>transport!J14</f>
        <v>0</v>
      </c>
      <c r="K9" s="482">
        <f>transport!K14</f>
        <v>0</v>
      </c>
      <c r="L9" s="482">
        <f>transport!L14</f>
        <v>0</v>
      </c>
      <c r="M9" s="482">
        <f>transport!M14</f>
        <v>16183.868422004256</v>
      </c>
      <c r="N9" s="482">
        <f>transport!N14</f>
        <v>0</v>
      </c>
      <c r="O9" s="482">
        <f>transport!O14</f>
        <v>0</v>
      </c>
      <c r="P9" s="482">
        <f>transport!P14</f>
        <v>0</v>
      </c>
      <c r="Q9" s="481">
        <f>SUM(B9:P9)</f>
        <v>292354.08366265375</v>
      </c>
    </row>
    <row r="10" spans="1:17">
      <c r="A10" s="477" t="s">
        <v>545</v>
      </c>
      <c r="B10" s="478">
        <f>transport!B54</f>
        <v>0</v>
      </c>
      <c r="C10" s="478">
        <f>transport!C54</f>
        <v>0</v>
      </c>
      <c r="D10" s="478">
        <f>transport!D54</f>
        <v>0</v>
      </c>
      <c r="E10" s="478">
        <f>transport!E54</f>
        <v>0</v>
      </c>
      <c r="F10" s="478">
        <f>transport!F54</f>
        <v>0</v>
      </c>
      <c r="G10" s="478">
        <f>transport!G54</f>
        <v>2098.7701793384758</v>
      </c>
      <c r="H10" s="478">
        <f>transport!H54</f>
        <v>0</v>
      </c>
      <c r="I10" s="478">
        <f>transport!I54</f>
        <v>0</v>
      </c>
      <c r="J10" s="478">
        <f>transport!J54</f>
        <v>0</v>
      </c>
      <c r="K10" s="478">
        <f>transport!K54</f>
        <v>0</v>
      </c>
      <c r="L10" s="478">
        <f>transport!L54</f>
        <v>0</v>
      </c>
      <c r="M10" s="478">
        <f>transport!M54</f>
        <v>116.64987878379603</v>
      </c>
      <c r="N10" s="478">
        <f>transport!N54</f>
        <v>0</v>
      </c>
      <c r="O10" s="478">
        <f>transport!O54</f>
        <v>0</v>
      </c>
      <c r="P10" s="479">
        <f>transport!P54</f>
        <v>0</v>
      </c>
      <c r="Q10" s="477">
        <f t="shared" si="0"/>
        <v>2215.4200581222717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1184.390365</v>
      </c>
      <c r="C14" s="485"/>
      <c r="D14" s="485">
        <f>'SEAP template'!E25</f>
        <v>1879.9413629999999</v>
      </c>
      <c r="E14" s="485"/>
      <c r="F14" s="485"/>
      <c r="G14" s="485"/>
      <c r="H14" s="485"/>
      <c r="I14" s="485"/>
      <c r="J14" s="485"/>
      <c r="K14" s="485"/>
      <c r="L14" s="485"/>
      <c r="M14" s="485"/>
      <c r="N14" s="485"/>
      <c r="O14" s="485"/>
      <c r="P14" s="486"/>
      <c r="Q14" s="477">
        <f t="shared" si="0"/>
        <v>3064.3317280000001</v>
      </c>
    </row>
    <row r="15" spans="1:17" s="489" customFormat="1">
      <c r="A15" s="487" t="s">
        <v>549</v>
      </c>
      <c r="B15" s="488">
        <f ca="1">SUM(B4:B14)</f>
        <v>92304.446406711315</v>
      </c>
      <c r="C15" s="488">
        <f t="shared" ref="C15:Q15" ca="1" si="1">SUM(C4:C14)</f>
        <v>13197.535714285714</v>
      </c>
      <c r="D15" s="488">
        <f t="shared" ca="1" si="1"/>
        <v>170995.13033745452</v>
      </c>
      <c r="E15" s="488">
        <f t="shared" si="1"/>
        <v>11592.639092708581</v>
      </c>
      <c r="F15" s="488">
        <f t="shared" ca="1" si="1"/>
        <v>57936.405417173366</v>
      </c>
      <c r="G15" s="488">
        <f t="shared" si="1"/>
        <v>236734.99809952368</v>
      </c>
      <c r="H15" s="488">
        <f t="shared" si="1"/>
        <v>40402.666186275128</v>
      </c>
      <c r="I15" s="488">
        <f t="shared" si="1"/>
        <v>0</v>
      </c>
      <c r="J15" s="488">
        <f t="shared" si="1"/>
        <v>3263.3583080453841</v>
      </c>
      <c r="K15" s="488">
        <f t="shared" si="1"/>
        <v>0</v>
      </c>
      <c r="L15" s="488">
        <f t="shared" ca="1" si="1"/>
        <v>0</v>
      </c>
      <c r="M15" s="488">
        <f t="shared" si="1"/>
        <v>16300.518300788051</v>
      </c>
      <c r="N15" s="488">
        <f t="shared" ca="1" si="1"/>
        <v>21473.376928209615</v>
      </c>
      <c r="O15" s="488">
        <f t="shared" si="1"/>
        <v>742.92971837781693</v>
      </c>
      <c r="P15" s="488">
        <f t="shared" si="1"/>
        <v>1569.2986203812084</v>
      </c>
      <c r="Q15" s="488">
        <f t="shared" ca="1" si="1"/>
        <v>666513.30312993436</v>
      </c>
    </row>
    <row r="17" spans="1:17">
      <c r="A17" s="490" t="s">
        <v>550</v>
      </c>
      <c r="B17" s="807">
        <f ca="1">huishoudens!B10</f>
        <v>0.19931105265309179</v>
      </c>
      <c r="C17" s="807">
        <f ca="1">huishoudens!C10</f>
        <v>0.23652419832006455</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8242.222885079751</v>
      </c>
      <c r="C22" s="478">
        <f t="shared" ref="C22:C32" ca="1" si="3">C4*$C$17</f>
        <v>0</v>
      </c>
      <c r="D22" s="478">
        <f t="shared" ref="D22:D32" si="4">D4*$D$17</f>
        <v>14909.933177212482</v>
      </c>
      <c r="E22" s="478">
        <f t="shared" ref="E22:E32" si="5">E4*$E$17</f>
        <v>2086.6410499034278</v>
      </c>
      <c r="F22" s="478">
        <f t="shared" ref="F22:F32" si="6">F4*$F$17</f>
        <v>2638.0578851674209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27876.854997363083</v>
      </c>
    </row>
    <row r="23" spans="1:17">
      <c r="A23" s="477" t="s">
        <v>155</v>
      </c>
      <c r="B23" s="478">
        <f t="shared" ca="1" si="2"/>
        <v>5565.9917609814138</v>
      </c>
      <c r="C23" s="478">
        <f t="shared" ca="1" si="3"/>
        <v>45.615381104583875</v>
      </c>
      <c r="D23" s="478">
        <f t="shared" ca="1" si="4"/>
        <v>6124.4414946290308</v>
      </c>
      <c r="E23" s="478">
        <f t="shared" si="5"/>
        <v>103.08263156128972</v>
      </c>
      <c r="F23" s="478">
        <f t="shared" ca="1" si="6"/>
        <v>835.11923566708447</v>
      </c>
      <c r="G23" s="478">
        <f t="shared" si="7"/>
        <v>0</v>
      </c>
      <c r="H23" s="478">
        <f t="shared" si="8"/>
        <v>0</v>
      </c>
      <c r="I23" s="478">
        <f t="shared" si="9"/>
        <v>0</v>
      </c>
      <c r="J23" s="478">
        <f t="shared" si="10"/>
        <v>2.0090866196121548E-2</v>
      </c>
      <c r="K23" s="478">
        <f t="shared" si="11"/>
        <v>0</v>
      </c>
      <c r="L23" s="478">
        <f t="shared" ca="1" si="12"/>
        <v>0</v>
      </c>
      <c r="M23" s="478">
        <f t="shared" si="13"/>
        <v>0</v>
      </c>
      <c r="N23" s="478">
        <f t="shared" ca="1" si="14"/>
        <v>0</v>
      </c>
      <c r="O23" s="478">
        <f t="shared" si="15"/>
        <v>0</v>
      </c>
      <c r="P23" s="479">
        <f t="shared" si="16"/>
        <v>0</v>
      </c>
      <c r="Q23" s="477">
        <f t="shared" ref="Q23:Q31" ca="1" si="17">SUM(B23:P23)</f>
        <v>12674.270594809599</v>
      </c>
    </row>
    <row r="24" spans="1:17">
      <c r="A24" s="477" t="s">
        <v>193</v>
      </c>
      <c r="B24" s="478">
        <f t="shared" ca="1" si="2"/>
        <v>328.37193513281159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328.37193513281159</v>
      </c>
    </row>
    <row r="25" spans="1:17">
      <c r="A25" s="477" t="s">
        <v>111</v>
      </c>
      <c r="B25" s="478">
        <f t="shared" ca="1" si="2"/>
        <v>2334.5998479296832</v>
      </c>
      <c r="C25" s="478">
        <f t="shared" ca="1" si="3"/>
        <v>3075.9211735172648</v>
      </c>
      <c r="D25" s="478">
        <f t="shared" si="4"/>
        <v>6843.6524901001731</v>
      </c>
      <c r="E25" s="478">
        <f t="shared" si="5"/>
        <v>82.984332916527222</v>
      </c>
      <c r="F25" s="478">
        <f t="shared" si="6"/>
        <v>11052.804536046815</v>
      </c>
      <c r="G25" s="478">
        <f t="shared" si="7"/>
        <v>0</v>
      </c>
      <c r="H25" s="478">
        <f t="shared" si="8"/>
        <v>0</v>
      </c>
      <c r="I25" s="478">
        <f t="shared" si="9"/>
        <v>0</v>
      </c>
      <c r="J25" s="478">
        <f t="shared" si="10"/>
        <v>1142.3965089101016</v>
      </c>
      <c r="K25" s="478">
        <f t="shared" si="11"/>
        <v>0</v>
      </c>
      <c r="L25" s="478">
        <f t="shared" si="12"/>
        <v>0</v>
      </c>
      <c r="M25" s="478">
        <f t="shared" si="13"/>
        <v>0</v>
      </c>
      <c r="N25" s="478">
        <f t="shared" si="14"/>
        <v>0</v>
      </c>
      <c r="O25" s="478">
        <f t="shared" si="15"/>
        <v>0</v>
      </c>
      <c r="P25" s="479">
        <f t="shared" si="16"/>
        <v>0</v>
      </c>
      <c r="Q25" s="477">
        <f t="shared" ca="1" si="17"/>
        <v>24532.358889420564</v>
      </c>
    </row>
    <row r="26" spans="1:17">
      <c r="A26" s="477" t="s">
        <v>629</v>
      </c>
      <c r="B26" s="478">
        <f t="shared" ca="1" si="2"/>
        <v>1663.0806381521847</v>
      </c>
      <c r="C26" s="478">
        <f t="shared" ca="1" si="3"/>
        <v>0</v>
      </c>
      <c r="D26" s="478">
        <f t="shared" si="4"/>
        <v>6176.5712536183046</v>
      </c>
      <c r="E26" s="478">
        <f t="shared" si="5"/>
        <v>252.59621729992861</v>
      </c>
      <c r="F26" s="478">
        <f t="shared" si="6"/>
        <v>943.03858950396932</v>
      </c>
      <c r="G26" s="478">
        <f t="shared" si="7"/>
        <v>0</v>
      </c>
      <c r="H26" s="478">
        <f t="shared" si="8"/>
        <v>0</v>
      </c>
      <c r="I26" s="478">
        <f t="shared" si="9"/>
        <v>0</v>
      </c>
      <c r="J26" s="478">
        <f t="shared" si="10"/>
        <v>12.812241271768288</v>
      </c>
      <c r="K26" s="478">
        <f t="shared" si="11"/>
        <v>0</v>
      </c>
      <c r="L26" s="478">
        <f t="shared" si="12"/>
        <v>0</v>
      </c>
      <c r="M26" s="478">
        <f t="shared" si="13"/>
        <v>0</v>
      </c>
      <c r="N26" s="478">
        <f t="shared" si="14"/>
        <v>0</v>
      </c>
      <c r="O26" s="478">
        <f t="shared" si="15"/>
        <v>0</v>
      </c>
      <c r="P26" s="479">
        <f t="shared" si="16"/>
        <v>0</v>
      </c>
      <c r="Q26" s="477">
        <f t="shared" ca="1" si="17"/>
        <v>9048.0989398461552</v>
      </c>
    </row>
    <row r="27" spans="1:17" s="483" customFormat="1">
      <c r="A27" s="481" t="s">
        <v>555</v>
      </c>
      <c r="B27" s="801">
        <f t="shared" ca="1" si="2"/>
        <v>26.967220206353176</v>
      </c>
      <c r="C27" s="482">
        <f t="shared" ca="1" si="3"/>
        <v>0</v>
      </c>
      <c r="D27" s="482">
        <f t="shared" si="4"/>
        <v>106.66975727982154</v>
      </c>
      <c r="E27" s="482">
        <f t="shared" si="5"/>
        <v>106.22484236367475</v>
      </c>
      <c r="F27" s="482">
        <f t="shared" si="6"/>
        <v>0</v>
      </c>
      <c r="G27" s="482">
        <f t="shared" si="7"/>
        <v>62647.872854689456</v>
      </c>
      <c r="H27" s="482">
        <f t="shared" si="8"/>
        <v>10060.263880382507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72947.998554921811</v>
      </c>
    </row>
    <row r="28" spans="1:17" ht="16.5" customHeight="1">
      <c r="A28" s="477" t="s">
        <v>545</v>
      </c>
      <c r="B28" s="478">
        <f t="shared" ca="1" si="2"/>
        <v>0</v>
      </c>
      <c r="C28" s="478">
        <f t="shared" ca="1" si="3"/>
        <v>0</v>
      </c>
      <c r="D28" s="478">
        <f t="shared" si="4"/>
        <v>0</v>
      </c>
      <c r="E28" s="478">
        <f t="shared" si="5"/>
        <v>0</v>
      </c>
      <c r="F28" s="478">
        <f t="shared" si="6"/>
        <v>0</v>
      </c>
      <c r="G28" s="478">
        <f t="shared" si="7"/>
        <v>560.37163788337307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560.37163788337307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236.06209040032959</v>
      </c>
      <c r="C32" s="478">
        <f t="shared" ca="1" si="3"/>
        <v>0</v>
      </c>
      <c r="D32" s="478">
        <f t="shared" si="4"/>
        <v>379.74815532600002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615.81024572632964</v>
      </c>
    </row>
    <row r="33" spans="1:17" s="489" customFormat="1">
      <c r="A33" s="487" t="s">
        <v>549</v>
      </c>
      <c r="B33" s="488">
        <f ca="1">SUM(B22:B32)</f>
        <v>18397.296377882525</v>
      </c>
      <c r="C33" s="488">
        <f t="shared" ref="C33:Q33" ca="1" si="19">SUM(C22:C32)</f>
        <v>3121.5365546218486</v>
      </c>
      <c r="D33" s="488">
        <f t="shared" ca="1" si="19"/>
        <v>34541.01632816581</v>
      </c>
      <c r="E33" s="488">
        <f t="shared" si="19"/>
        <v>2631.5290740448481</v>
      </c>
      <c r="F33" s="488">
        <f t="shared" ca="1" si="19"/>
        <v>15469.020246385289</v>
      </c>
      <c r="G33" s="488">
        <f t="shared" si="19"/>
        <v>63208.244492572827</v>
      </c>
      <c r="H33" s="488">
        <f t="shared" si="19"/>
        <v>10060.263880382507</v>
      </c>
      <c r="I33" s="488">
        <f t="shared" si="19"/>
        <v>0</v>
      </c>
      <c r="J33" s="488">
        <f t="shared" si="19"/>
        <v>1155.228841048066</v>
      </c>
      <c r="K33" s="488">
        <f t="shared" si="19"/>
        <v>0</v>
      </c>
      <c r="L33" s="488">
        <f t="shared" ca="1" si="19"/>
        <v>0</v>
      </c>
      <c r="M33" s="488">
        <f t="shared" si="19"/>
        <v>0</v>
      </c>
      <c r="N33" s="488">
        <f t="shared" ca="1" si="19"/>
        <v>0</v>
      </c>
      <c r="O33" s="488">
        <f t="shared" si="19"/>
        <v>0</v>
      </c>
      <c r="P33" s="488">
        <f t="shared" si="19"/>
        <v>0</v>
      </c>
      <c r="Q33" s="488">
        <f t="shared" ca="1" si="19"/>
        <v>148584.13579510371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11318.776942182023</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7583.5543530033465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43.649999999999984</v>
      </c>
      <c r="C8" s="1062">
        <f>'SEAP template'!C76</f>
        <v>9194.625</v>
      </c>
      <c r="D8" s="1062">
        <f>'SEAP template'!D76</f>
        <v>10817.205882352942</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2185.0755882352946</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18945.981295185371</v>
      </c>
      <c r="C10" s="1064">
        <f>SUM(C4:C9)</f>
        <v>9194.625</v>
      </c>
      <c r="D10" s="1064">
        <f t="shared" ref="D10:H10" si="0">SUM(D8:D9)</f>
        <v>10817.205882352942</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2185.0755882352946</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0.19931105265309179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13135.178571428572</v>
      </c>
      <c r="D17" s="1063">
        <f>'SEAP template'!D87</f>
        <v>15453.151260504203</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3121.5365546218491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13135.178571428572</v>
      </c>
      <c r="D20" s="1064">
        <f t="shared" ref="D20:H20" si="2">SUM(D17:D19)</f>
        <v>15453.151260504203</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3121.5365546218491</v>
      </c>
    </row>
    <row r="21" spans="1:16">
      <c r="B21" s="913"/>
    </row>
    <row r="22" spans="1:16">
      <c r="A22" s="490" t="s">
        <v>815</v>
      </c>
      <c r="B22" s="807" t="s">
        <v>813</v>
      </c>
      <c r="C22" s="807">
        <f ca="1">'EF ele_warmte'!B22</f>
        <v>0.23652419832006455</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0.19931105265309179</v>
      </c>
      <c r="C17" s="527">
        <f ca="1">'EF ele_warmte'!B22</f>
        <v>0.23652419832006455</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2019-06-29T17:11:02Z</dcterms:modified>
</cp:coreProperties>
</file>