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D14" i="48" l="1"/>
  <c r="B14"/>
  <c r="R25" i="14"/>
  <c r="D5" i="17"/>
  <c r="B5"/>
  <c r="Q14" i="48" l="1"/>
  <c r="N18" i="18"/>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N61"/>
  <c r="M61"/>
  <c r="W60"/>
  <c r="V60"/>
  <c r="U60"/>
  <c r="T60"/>
  <c r="S60"/>
  <c r="R60"/>
  <c r="Q60"/>
  <c r="P60"/>
  <c r="O60"/>
  <c r="N60"/>
  <c r="M60"/>
  <c r="W59"/>
  <c r="V59"/>
  <c r="U59"/>
  <c r="T59"/>
  <c r="S59"/>
  <c r="R59"/>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O20" i="59" l="1"/>
  <c r="E20"/>
  <c r="B13" i="15"/>
  <c r="F6" i="17"/>
  <c r="D16" i="16"/>
  <c r="J30" i="48"/>
  <c r="J32"/>
  <c r="F30"/>
  <c r="F32"/>
  <c r="N30"/>
  <c r="N32"/>
  <c r="N20" i="59"/>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N78" i="14" l="1"/>
  <c r="N9" i="59"/>
  <c r="N10" s="1"/>
  <c r="E78" i="14"/>
  <c r="E9" i="59"/>
  <c r="E10" s="1"/>
  <c r="O78" i="14"/>
  <c r="O9" i="59"/>
  <c r="O10" s="1"/>
  <c r="H90" i="14"/>
  <c r="H18" i="59"/>
  <c r="H20" s="1"/>
  <c r="K15" i="48"/>
  <c r="I33"/>
  <c r="J16" i="14"/>
  <c r="J27" s="1"/>
  <c r="J7" i="48"/>
  <c r="J25" s="1"/>
  <c r="K33"/>
  <c r="H78" i="14"/>
  <c r="H9" i="59"/>
  <c r="H10" s="1"/>
  <c r="M24" i="48"/>
  <c r="M32"/>
  <c r="G78" i="14"/>
  <c r="G9" i="59"/>
  <c r="G10" s="1"/>
  <c r="I20" i="15"/>
  <c r="J40" i="14" s="1"/>
  <c r="J46" s="1"/>
  <c r="J61" s="1"/>
  <c r="I15" i="48"/>
  <c r="P22"/>
  <c r="L8"/>
  <c r="L22" i="16"/>
  <c r="M43" i="14" s="1"/>
  <c r="C17" i="18"/>
  <c r="C20" s="1"/>
  <c r="D10" i="14"/>
  <c r="B88"/>
  <c r="B18" i="59" s="1"/>
  <c r="C88" i="14"/>
  <c r="C18" i="59" s="1"/>
  <c r="B77" i="14"/>
  <c r="B9" i="59" s="1"/>
  <c r="C77" i="14"/>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J78" i="14" l="1"/>
  <c r="J8" i="59"/>
  <c r="J10" s="1"/>
  <c r="D90" i="14"/>
  <c r="D17" i="59"/>
  <c r="D20" s="1"/>
  <c r="J5" i="48"/>
  <c r="J23" s="1"/>
  <c r="O15"/>
  <c r="I90" i="14"/>
  <c r="I17" i="59"/>
  <c r="I20" s="1"/>
  <c r="J20" i="15"/>
  <c r="K40" i="14"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5" i="48"/>
  <c r="Q90" i="14"/>
  <c r="B17" i="6" s="1"/>
  <c r="B22" s="1"/>
  <c r="P17" i="59"/>
  <c r="P20" s="1"/>
  <c r="G33" i="48"/>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6" i="22" l="1"/>
  <c r="C22" i="59"/>
  <c r="C10" i="13"/>
  <c r="C12" s="1"/>
  <c r="D41" i="14" s="1"/>
  <c r="D46" s="1"/>
  <c r="D61" s="1"/>
  <c r="D63" s="1"/>
  <c r="C10" i="17"/>
  <c r="C12" s="1"/>
  <c r="D54" i="14" s="1"/>
  <c r="D56" s="1"/>
  <c r="C56" i="22"/>
  <c r="C58" s="1"/>
  <c r="D49" i="14" s="1"/>
  <c r="D52" s="1"/>
  <c r="C17" i="19"/>
  <c r="C19" s="1"/>
  <c r="D39" i="14" s="1"/>
  <c r="C29" i="20"/>
  <c r="C18" i="15"/>
  <c r="C20" s="1"/>
  <c r="D40" i="14" s="1"/>
  <c r="C17" i="49"/>
  <c r="C20" i="16"/>
  <c r="C22" s="1"/>
  <c r="D43" i="14" s="1"/>
  <c r="C90"/>
  <c r="C17" i="59"/>
  <c r="C20" s="1"/>
  <c r="F26" i="48"/>
  <c r="F33" s="1"/>
  <c r="B90" i="14"/>
  <c r="B17" i="59"/>
  <c r="B20" s="1"/>
  <c r="J26" i="48"/>
  <c r="J33" s="1"/>
  <c r="J15"/>
  <c r="E15"/>
  <c r="C17"/>
  <c r="C24" s="1"/>
  <c r="O46" i="14"/>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<sst xmlns="http://schemas.openxmlformats.org/spreadsheetml/2006/main" count="2490" uniqueCount="937">
  <si>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</si>
  <si>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</si>
  <si>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</si>
  <si>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</si>
  <si>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</si>
  <si>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</si>
  <si>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</si>
  <si>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</si>
  <si>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</si>
  <si>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</si>
  <si>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</si>
  <si>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</si>
  <si>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</si>
  <si>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</si>
  <si>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</si>
  <si>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</si>
  <si>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</si>
  <si>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</si>
  <si>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</si>
  <si>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</si>
  <si>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</si>
  <si>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</si>
  <si>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</si>
  <si>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</si>
  <si>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</si>
  <si>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</si>
  <si>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</si>
  <si>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</si>
  <si>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</si>
  <si>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</si>
  <si>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</si>
  <si>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</si>
  <si>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</si>
  <si>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</si>
  <si>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</si>
  <si>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</si>
  <si>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</si>
  <si>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</si>
  <si>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</si>
  <si>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</si>
  <si>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</si>
  <si>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</si>
  <si>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</si>
  <si>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</si>
  <si>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</si>
  <si>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</si>
  <si>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</si>
  <si>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</si>
  <si>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</si>
  <si>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</si>
  <si>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</si>
  <si>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</si>
  <si>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</si>
  <si>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</si>
  <si>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</si>
  <si>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</si>
  <si>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</si>
  <si>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</si>
  <si>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</si>
  <si>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</si>
  <si>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</si>
  <si>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</si>
  <si>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</si>
  <si>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</si>
  <si>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</si>
  <si>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</si>
  <si>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</si>
  <si>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</si>
  <si>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</si>
  <si>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</si>
  <si>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</si>
  <si>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</si>
  <si>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</si>
  <si>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</si>
  <si>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</si>
  <si>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</si>
  <si>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</si>
  <si>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</si>
  <si>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</si>
  <si>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</si>
  <si>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</si>
  <si>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</si>
  <si>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</si>
  <si>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</si>
  <si>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</si>
  <si>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</si>
  <si>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</si>
  <si>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</si>
  <si>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</si>
  <si>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</si>
  <si>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</si>
  <si>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</si>
  <si>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</si>
  <si>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</si>
  <si>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</si>
  <si>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</si>
  <si>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</si>
  <si>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</si>
  <si>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</si>
  <si>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</si>
  <si>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</si>
  <si>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</si>
  <si>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</si>
  <si>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</si>
  <si>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</si>
  <si>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</si>
  <si>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</si>
  <si>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</si>
  <si>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</si>
  <si>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</si>
  <si>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</si>
  <si>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</si>
  <si>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</si>
  <si>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</si>
  <si>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</si>
  <si>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</si>
  <si>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</si>
  <si>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</si>
  <si>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</si>
  <si>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</si>
  <si>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</si>
  <si>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</si>
  <si>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</si>
  <si>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</si>
  <si>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</si>
  <si>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</si>
  <si>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</si>
  <si>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</si>
  <si>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</si>
  <si>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</si>
  <si>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</si>
  <si>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</si>
  <si>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</si>
  <si>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</si>
  <si>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</si>
  <si>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</si>
  <si>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</si>
  <si>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</si>
  <si>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</si>
  <si>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</si>
  <si>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</si>
  <si>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</si>
  <si>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</si>
  <si>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</si>
  <si>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</si>
  <si>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</si>
  <si>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</si>
  <si>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</si>
  <si>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</si>
  <si>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</si>
  <si>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</si>
  <si>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</si>
  <si>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</si>
  <si>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</si>
  <si>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</si>
  <si>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</si>
  <si>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</si>
  <si>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</si>
  <si>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</si>
  <si>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</si>
  <si>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</si>
  <si>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</si>
  <si>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</si>
  <si>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</si>
  <si>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</si>
  <si>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</si>
  <si>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</si>
  <si>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</si>
  <si>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</si>
  <si>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</si>
  <si>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</si>
  <si>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</si>
  <si>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</si>
  <si>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</si>
  <si>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</si>
  <si>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</si>
  <si>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</si>
  <si>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</si>
  <si>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</si>
  <si>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</si>
  <si>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</si>
  <si>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</si>
  <si>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</si>
  <si>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</si>
  <si>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</si>
  <si>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</si>
  <si>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</si>
  <si>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</si>
  <si>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</si>
  <si>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</si>
  <si>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</si>
  <si>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</si>
  <si>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</si>
  <si>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</si>
  <si>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</si>
  <si>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</si>
  <si>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</si>
  <si>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</si>
  <si>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</si>
  <si>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</si>
  <si>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</si>
  <si>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</si>
  <si>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</si>
  <si>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</si>
  <si>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</si>
  <si>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</si>
  <si>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</si>
  <si>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</si>
  <si>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</si>
  <si>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</si>
  <si>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</si>
  <si>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</si>
  <si>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</si>
  <si>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</si>
  <si>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</si>
  <si>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</si>
  <si>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</si>
  <si>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</si>
  <si>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</si>
  <si>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</si>
  <si>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</si>
  <si>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</si>
  <si>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</si>
  <si>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</si>
  <si>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</si>
  <si>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</si>
  <si>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</si>
  <si>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</si>
  <si>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</si>
  <si>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</si>
  <si>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</si>
  <si>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</si>
  <si>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</si>
  <si>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</si>
  <si>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</si>
  <si>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</si>
  <si>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</si>
  <si>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</si>
  <si>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</si>
  <si>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</si>
  <si>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</si>
  <si>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</si>
  <si>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</si>
  <si>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</si>
  <si>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</si>
  <si>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</si>
  <si>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</si>
  <si>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</si>
  <si>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</si>
  <si>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</si>
  <si>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</si>
  <si>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</si>
  <si>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</si>
  <si>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</si>
  <si>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</si>
  <si>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</si>
  <si>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</si>
  <si>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</si>
  <si>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</si>
  <si>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</si>
  <si>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</si>
  <si>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</si>
  <si>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</si>
  <si>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</si>
  <si>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</si>
  <si>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</si>
  <si>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</si>
  <si>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</si>
  <si>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</si>
  <si>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</si>
  <si>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</si>
  <si>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</si>
  <si>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</si>
  <si>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</si>
  <si>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</si>
  <si>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</si>
  <si>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</si>
  <si>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</si>
  <si>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</si>
  <si>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</si>
  <si>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</si>
  <si>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</si>
  <si>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</si>
  <si>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</si>
  <si>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</si>
  <si>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</si>
  <si>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</si>
  <si>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</si>
  <si>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</si>
  <si>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</si>
  <si>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</si>
  <si>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</si>
  <si>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</si>
  <si>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</si>
  <si>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</si>
  <si>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</si>
  <si>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</si>
  <si>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</si>
  <si>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</si>
  <si>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</si>
  <si>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</si>
  <si>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</si>
  <si>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</si>
  <si>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</si>
  <si>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</si>
  <si>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</si>
  <si>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</si>
  <si>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</si>
  <si>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</si>
  <si>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</si>
  <si>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</si>
  <si>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</si>
  <si>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</si>
  <si>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</si>
  <si>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</si>
  <si>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</si>
  <si>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</si>
  <si>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</si>
  <si>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</si>
  <si>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</si>
  <si>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</si>
  <si>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</si>
  <si>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</si>
  <si>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</si>
  <si>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</si>
  <si>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</si>
  <si>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</si>
  <si>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</si>
  <si>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</si>
  <si>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</si>
  <si>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</si>
  <si>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</si>
  <si>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</si>
  <si>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</si>
  <si>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</si>
  <si>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</si>
  <si>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</si>
  <si>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</si>
  <si>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</si>
  <si>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</si>
  <si>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</si>
  <si>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</si>
  <si>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</si>
  <si>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</si>
  <si>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</si>
  <si>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</si>
  <si>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</si>
  <si>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</si>
  <si>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</si>
  <si>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</si>
  <si>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</si>
  <si>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</si>
  <si>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</si>
  <si>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</si>
  <si>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</si>
  <si>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</si>
  <si>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</si>
  <si>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</si>
  <si>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</si>
  <si>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</si>
  <si>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</si>
  <si>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</si>
  <si>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</si>
  <si>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</si>
  <si>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</si>
  <si>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</si>
  <si>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</si>
  <si>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</si>
  <si>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</si>
  <si>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</si>
  <si>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</si>
  <si>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</si>
  <si>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</si>
  <si>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</si>
  <si>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</si>
  <si>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</si>
  <si>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</si>
  <si>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</si>
  <si>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</si>
  <si>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</si>
  <si>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</si>
  <si>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</si>
  <si>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</si>
  <si>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</si>
  <si>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</si>
  <si>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</si>
  <si>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</si>
  <si>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</si>
  <si>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</si>
  <si>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</si>
  <si>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</si>
  <si>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</si>
  <si>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</si>
  <si>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</si>
  <si>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</si>
  <si>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</si>
  <si>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</si>
  <si>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</si>
  <si>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</si>
  <si>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</si>
  <si>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</si>
  <si>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</si>
  <si>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</si>
  <si>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</si>
  <si>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</si>
  <si>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</si>
  <si>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</si>
  <si>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</si>
  <si>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</si>
  <si>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</si>
  <si>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</si>
  <si>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</si>
  <si>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</si>
  <si>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</si>
  <si>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</si>
  <si>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</si>
  <si>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</si>
  <si>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</si>
  <si>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</si>
  <si>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</si>
  <si>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</si>
  <si>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</si>
  <si>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</si>
  <si>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</si>
  <si>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</si>
  <si>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</si>
  <si>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</si>
  <si>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</si>
  <si>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</si>
  <si>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</si>
  <si>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</si>
  <si>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</si>
  <si>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</si>
  <si>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</si>
  <si>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</si>
  <si>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</si>
  <si>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</si>
  <si>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</si>
  <si>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</si>
  <si>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</si>
  <si>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</si>
  <si>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</si>
  <si>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</si>
  <si>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</si>
  <si>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</si>
  <si>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</si>
  <si>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</si>
  <si>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</si>
  <si>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</si>
  <si>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</si>
  <si>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</si>
  <si>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</si>
  <si>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</si>
  <si>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</si>
  <si>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</si>
  <si>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</si>
  <si>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</si>
  <si>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</si>
  <si>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</si>
  <si>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</si>
  <si>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</si>
  <si>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</si>
  <si>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</si>
  <si>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</si>
  <si>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</si>
  <si>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</si>
  <si>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</si>
  <si>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</si>
  <si>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</si>
  <si>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</si>
  <si>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</si>
  <si>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</si>
  <si>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</si>
  <si>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</si>
  <si>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</si>
  <si>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</si>
  <si>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</si>
  <si>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</si>
  <si>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</si>
  <si>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</si>
  <si>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</si>
  <si>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</si>
  <si>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</si>
  <si>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</si>
  <si>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</si>
  <si>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</si>
  <si>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</si>
  <si>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</si>
  <si>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</si>
  <si>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</si>
  <si>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</si>
  <si>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</si>
  <si>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</si>
  <si>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</si>
  <si>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</si>
  <si>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</si>
  <si>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</si>
  <si>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</si>
  <si>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</si>
  <si>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</si>
  <si>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</si>
  <si>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</si>
  <si>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</si>
  <si>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</si>
  <si>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</si>
  <si>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</si>
  <si>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</si>
  <si>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</si>
  <si>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</si>
  <si>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</si>
  <si>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</si>
  <si>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</si>
  <si>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</si>
  <si>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</si>
  <si>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</si>
  <si>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</si>
  <si>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</si>
  <si>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</si>
  <si>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</si>
  <si>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</si>
  <si>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</si>
  <si>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</si>
  <si>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</si>
  <si>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</si>
  <si>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</si>
  <si>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</si>
  <si>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</si>
  <si>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</si>
  <si>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</si>
  <si>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</si>
  <si>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</si>
  <si>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</si>
  <si>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</si>
  <si>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</si>
  <si>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</si>
  <si>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</si>
  <si>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</si>
  <si>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</si>
  <si>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</si>
  <si>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</si>
  <si>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</si>
  <si>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</si>
  <si>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</si>
  <si>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</si>
  <si>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</si>
  <si>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</si>
  <si>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</si>
  <si>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</si>
  <si>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</si>
  <si>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</si>
  <si>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</si>
  <si>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</si>
  <si>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</si>
  <si>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</si>
  <si>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</si>
  <si>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</si>
  <si>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</si>
  <si>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</si>
  <si>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</si>
  <si>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</si>
  <si>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</si>
  <si>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</si>
  <si>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</si>
  <si>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</si>
  <si>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</si>
  <si>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</si>
  <si>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</si>
  <si>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</si>
  <si>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</si>
  <si>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</si>
  <si>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</si>
  <si>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</si>
  <si>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</si>
  <si>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</si>
  <si>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</si>
  <si>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</si>
  <si>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</si>
  <si>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</si>
  <si>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</si>
  <si>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</si>
  <si>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</si>
  <si>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</si>
  <si>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</si>
  <si>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</si>
  <si>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</si>
  <si>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</si>
  <si>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</si>
  <si>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</si>
  <si>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</si>
  <si>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</si>
  <si>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</si>
  <si>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</si>
  <si>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</si>
  <si>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</si>
  <si>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</si>
  <si>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</si>
  <si>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</si>
  <si>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</si>
  <si>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</si>
  <si>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</si>
  <si>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</si>
  <si>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</si>
  <si>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</si>
  <si>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</si>
  <si>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</si>
  <si>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</si>
  <si>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</si>
  <si>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</si>
  <si>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</si>
  <si>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</si>
  <si>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</si>
  <si>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</si>
  <si>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</si>
  <si>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</si>
  <si>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</si>
  <si>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</si>
  <si>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</si>
  <si>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</si>
  <si>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</si>
  <si>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</si>
  <si>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</si>
  <si>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</si>
  <si>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</si>
  <si>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</si>
  <si>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</si>
  <si>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</si>
  <si>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</si>
  <si>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</si>
  <si>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</si>
  <si>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</si>
  <si>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</si>
  <si>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</si>
  <si>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</si>
  <si>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</si>
  <si>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</si>
  <si>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</si>
  <si>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</si>
  <si>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</si>
  <si>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</si>
  <si>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</si>
  <si>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</si>
  <si>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</si>
  <si>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</si>
  <si>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</si>
  <si>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</si>
  <si>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</si>
  <si>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</si>
  <si>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</si>
  <si>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</si>
  <si>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</si>
  <si>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</si>
  <si>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</si>
  <si>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</si>
  <si>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</si>
  <si>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</si>
  <si>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</si>
  <si>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</si>
  <si>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</si>
  <si>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</si>
  <si>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</si>
  <si>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</si>
  <si>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</si>
  <si>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</si>
  <si>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</si>
  <si>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</si>
  <si>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</si>
  <si>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</si>
  <si>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</si>
  <si>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</si>
  <si>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</si>
  <si>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</si>
  <si>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</si>
  <si>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</si>
  <si>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</si>
  <si>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</si>
  <si>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</si>
  <si>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</si>
  <si>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</si>
  <si>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</si>
  <si>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</si>
  <si>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</si>
  <si>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</si>
  <si>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</si>
  <si>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</si>
  <si>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</si>
  <si>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</si>
  <si>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</si>
  <si>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</si>
  <si>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</si>
  <si>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</si>
  <si>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</si>
  <si>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</si>
  <si>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</si>
  <si>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</si>
  <si>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</si>
  <si>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</si>
  <si>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</si>
  <si>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</si>
  <si>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</si>
  <si>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</si>
  <si>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</si>
  <si>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</si>
  <si>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</si>
  <si>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</si>
  <si>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</si>
  <si>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</si>
  <si>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</si>
  <si>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</si>
  <si>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</si>
  <si>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</si>
  <si>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</si>
  <si>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</si>
  <si>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</si>
  <si>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</si>
  <si>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</si>
  <si>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</si>
  <si>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</si>
  <si>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</si>
  <si>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</si>
  <si>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</si>
  <si>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</si>
  <si>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</si>
  <si>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</si>
  <si>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</si>
  <si>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</si>
  <si>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</si>
  <si>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</si>
  <si>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</si>
  <si>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</si>
  <si>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</si>
  <si>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</si>
  <si>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</si>
  <si>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</si>
  <si>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</si>
  <si>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</si>
  <si>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</si>
  <si>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</si>
  <si>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</si>
  <si>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</si>
  <si>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</si>
  <si>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</si>
  <si>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</si>
  <si>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</si>
  <si>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</si>
  <si>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</si>
  <si>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</si>
  <si>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</si>
  <si>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</si>
  <si>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</si>
  <si>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</si>
  <si>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</si>
  <si>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</si>
  <si>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</si>
  <si>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</si>
  <si>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</si>
  <si>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</si>
  <si>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</si>
  <si>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</si>
  <si>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</si>
  <si>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</si>
  <si>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</si>
  <si>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</si>
  <si>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</si>
  <si>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</si>
  <si>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</si>
  <si>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</si>
  <si>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</si>
  <si>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</si>
  <si>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</si>
  <si>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</si>
  <si>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</si>
  <si>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</si>
  <si>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</si>
  <si>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</si>
  <si>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</si>
  <si>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</si>
  <si>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</si>
  <si>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</si>
  <si>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</si>
  <si>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</si>
  <si>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</si>
  <si>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</si>
  <si>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</si>
  <si>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</si>
  <si>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</si>
  <si>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</si>
  <si>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</si>
  <si>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</si>
  <si>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</si>
  <si>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</si>
  <si>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</si>
  <si>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</si>
  <si>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</si>
  <si>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</si>
  <si>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</si>
  <si>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</si>
  <si>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</si>
  <si>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</si>
  <si>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</si>
  <si>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</si>
  <si>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</si>
  <si>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</si>
  <si>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</si>
  <si>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</si>
  <si>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</si>
  <si>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</si>
  <si>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</si>
  <si>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</si>
  <si>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</si>
  <si>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</si>
  <si>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</si>
  <si>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</si>
  <si>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</si>
  <si>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</si>
  <si>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</si>
  <si>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</si>
  <si>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</si>
  <si>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</si>
  <si>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</si>
  <si>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</si>
  <si>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</si>
  <si>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</si>
  <si>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</si>
  <si>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</si>
  <si>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</si>
  <si>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</si>
  <si>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</si>
  <si>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</si>
  <si>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</si>
  <si>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</si>
  <si>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</si>
  <si>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</si>
  <si>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</si>
  <si>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</si>
  <si>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</si>
  <si>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</si>
  <si>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</si>
  <si>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</si>
  <si>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</si>
  <si>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</si>
  <si>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</si>
  <si>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</si>
  <si>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</si>
  <si>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</si>
  <si>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</si>
  <si>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</si>
  <si>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</si>
  <si>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</si>
  <si>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</si>
  <si>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</si>
  <si>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</si>
  <si>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</si>
  <si>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</si>
  <si>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</si>
  <si>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</si>
  <si>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</si>
  <si>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</si>
  <si>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</si>
  <si>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</si>
  <si>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</si>
  <si>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</si>
  <si>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</si>
  <si>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</si>
  <si>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</si>
  <si>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</si>
  <si>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</si>
  <si>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</si>
  <si>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</si>
  <si>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</si>
  <si>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</si>
  <si>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</si>
  <si>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</si>
  <si>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</si>
  <si>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</si>
  <si>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44021</t>
  </si>
  <si>
    <t>GENT</t>
  </si>
  <si>
    <t>Mestbank (maart 2019)</t>
  </si>
  <si>
    <t>Fluvius (februari 2019)</t>
  </si>
  <si>
    <t>referentietaak LNE (2017); Jaarverslag De Lijn (2018)</t>
  </si>
  <si>
    <t>VEA (30 april 2019)</t>
  </si>
  <si>
    <t>VEA (mei 2018)</t>
  </si>
  <si>
    <t>VEA (mei 2019)</t>
  </si>
  <si>
    <t>VLS-Group Ghent NV</t>
  </si>
  <si>
    <t>Belgicastraat 3 , 9042 Sint-Kruis-Winkel</t>
  </si>
  <si>
    <t>WKK-0227 VLS-Group Ghent</t>
  </si>
  <si>
    <t>interne verbrandingsmotor</t>
  </si>
  <si>
    <t>WKK interne verbrandinsgmotor (vloeibaar)</t>
  </si>
  <si>
    <t>Belgicastraat (Haven 2270) 3 , 9042 Sint-Kruis-Winkel</t>
  </si>
  <si>
    <t>IMEWO</t>
  </si>
  <si>
    <t>Jean_Pierre Van Wingen</t>
  </si>
  <si>
    <t>Keuzekouter 20 , 9031 Drongen</t>
  </si>
  <si>
    <t>WKK-0220 Jean-Pierre Van Wingen</t>
  </si>
  <si>
    <t>S&amp;R Gent nv</t>
  </si>
  <si>
    <t>Victor Braeckmanlaan 180 , 9040 Sint-Amandsberg</t>
  </si>
  <si>
    <t>WKK-0417 SR Gent</t>
  </si>
  <si>
    <t>WKK interne verbrandinsgmotor (gas)</t>
  </si>
  <si>
    <t>Cediex - Trans EBVBA</t>
  </si>
  <si>
    <t>Moutstraat 34 , 9000 Gent</t>
  </si>
  <si>
    <t>WKK-0397 Cediex-Trans</t>
  </si>
  <si>
    <t>AZ Jan Palfijn Gent AV</t>
  </si>
  <si>
    <t>Henri Dunantlaan 5 , 9000 Gent</t>
  </si>
  <si>
    <t>WKK-0609 AZ Jan Palfijn Gent</t>
  </si>
  <si>
    <t>Jan Vandedrinck</t>
  </si>
  <si>
    <t>Moortelputstraat 33 , 9031 Drongen</t>
  </si>
  <si>
    <t>WKK-0602 Jan Vandedrinck</t>
  </si>
  <si>
    <t>stirlingmotor</t>
  </si>
  <si>
    <t>Mark Vandecruys &amp; Ann Steenbrugghe</t>
  </si>
  <si>
    <t>Gentbruggekouter 7 , 9050 Gentbrugge</t>
  </si>
  <si>
    <t>WKK-0629 Mark Vandecruys &amp; Ann Steenbrugghe</t>
  </si>
  <si>
    <t>WKK-0616 Sofa Invest</t>
  </si>
  <si>
    <t>Koningin Maria Hendrikaplein 70 , 9000 Gent</t>
  </si>
  <si>
    <t>Universiteit Gent</t>
  </si>
  <si>
    <t>Sint-Pietersnieuwstraat 25 , 9000 Gent</t>
  </si>
  <si>
    <t>WKK-0653 Universiteit Gent II</t>
  </si>
  <si>
    <t>Karel Lodewijk Ledeganckstraat 25 , 9000 Gent</t>
  </si>
  <si>
    <t>WKK-0625 Universiteit Gent</t>
  </si>
  <si>
    <t>coupure links 653 , 9000 Gent</t>
  </si>
  <si>
    <t>Trianon NV</t>
  </si>
  <si>
    <t>Sint-Denijslaan 203 , 9000 Gent</t>
  </si>
  <si>
    <t>WKK-0659 Trianon</t>
  </si>
  <si>
    <t>hotels</t>
  </si>
  <si>
    <t>E. Van Wingen nv</t>
  </si>
  <si>
    <t>Durmakker 27 , 9940 Evergem</t>
  </si>
  <si>
    <t>WKK-0639 Mahy</t>
  </si>
  <si>
    <t>Zeeschipstraat 107 B, 9000 Gent</t>
  </si>
  <si>
    <t>Bayer CropScience</t>
  </si>
  <si>
    <t>WKK-0776</t>
  </si>
  <si>
    <t>Interne verbrandingsmotor</t>
  </si>
  <si>
    <t>Technologiepark 38, 9052 Zwijnaarde, BE</t>
  </si>
  <si>
    <t>IMEWO (via EANDIS)</t>
  </si>
  <si>
    <t>Aquafin NV</t>
  </si>
  <si>
    <t>Dijkstraat 8 , 2630 Aartselaar</t>
  </si>
  <si>
    <t>BGS-0037 RWZI Gent</t>
  </si>
  <si>
    <t>biogas - RWZI</t>
  </si>
  <si>
    <t>niet WKK interne verbrandingsmotor (gas)</t>
  </si>
  <si>
    <t>Drongensesteenweg 254 , 9000 Gent</t>
  </si>
  <si>
    <t>Imewo</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</si>
</sst>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1570866.096109574</c:v>
                </c:pt>
                <c:pt idx="1">
                  <c:v>1663913.661677991</c:v>
                </c:pt>
                <c:pt idx="2">
                  <c:v>13408.469880000001</c:v>
                </c:pt>
                <c:pt idx="3">
                  <c:v>20761.743537937597</c:v>
                </c:pt>
                <c:pt idx="4">
                  <c:v>733578.14956961363</c:v>
                </c:pt>
                <c:pt idx="5">
                  <c:v>2058173.5292807787</c:v>
                </c:pt>
                <c:pt idx="6">
                  <c:v>45741.048891780258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6624640"/>
        <c:axId val="76626176"/>
      </c:barChart>
      <c:catAx>
        <c:axId val="76624640"/>
        <c:scaling>
          <c:orientation val="minMax"/>
        </c:scaling>
        <c:axPos val="b"/>
        <c:numFmt formatCode="General" sourceLinked="0"/>
        <c:tickLblPos val="nextTo"/>
        <c:crossAx val="76626176"/>
        <c:crosses val="autoZero"/>
        <c:auto val="1"/>
        <c:lblAlgn val="ctr"/>
        <c:lblOffset val="100"/>
      </c:catAx>
      <c:valAx>
        <c:axId val="76626176"/>
        <c:scaling>
          <c:orientation val="minMax"/>
        </c:scaling>
        <c:axPos val="l"/>
        <c:majorGridlines/>
        <c:numFmt formatCode="#,##0" sourceLinked="1"/>
        <c:tickLblPos val="nextTo"/>
        <c:crossAx val="76624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1570866.096109574</c:v>
                </c:pt>
                <c:pt idx="1">
                  <c:v>1663913.661677991</c:v>
                </c:pt>
                <c:pt idx="2">
                  <c:v>13408.469880000001</c:v>
                </c:pt>
                <c:pt idx="3">
                  <c:v>20761.743537937597</c:v>
                </c:pt>
                <c:pt idx="4">
                  <c:v>733578.14956961363</c:v>
                </c:pt>
                <c:pt idx="5">
                  <c:v>2058173.5292807787</c:v>
                </c:pt>
                <c:pt idx="6">
                  <c:v>45741.048891780258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294684.38602283091</c:v>
                </c:pt>
                <c:pt idx="1">
                  <c:v>324278.87312253984</c:v>
                </c:pt>
                <c:pt idx="2">
                  <c:v>2497.4387386097569</c:v>
                </c:pt>
                <c:pt idx="3">
                  <c:v>5011.8486271425863</c:v>
                </c:pt>
                <c:pt idx="4">
                  <c:v>143438.39524324978</c:v>
                </c:pt>
                <c:pt idx="5">
                  <c:v>512845.06516256399</c:v>
                </c:pt>
                <c:pt idx="6">
                  <c:v>10955.703393958867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76840320"/>
        <c:axId val="76846208"/>
      </c:barChart>
      <c:catAx>
        <c:axId val="76840320"/>
        <c:scaling>
          <c:orientation val="minMax"/>
        </c:scaling>
        <c:axPos val="b"/>
        <c:numFmt formatCode="General" sourceLinked="0"/>
        <c:tickLblPos val="nextTo"/>
        <c:crossAx val="76846208"/>
        <c:crosses val="autoZero"/>
        <c:auto val="1"/>
        <c:lblAlgn val="ctr"/>
        <c:lblOffset val="100"/>
      </c:catAx>
      <c:valAx>
        <c:axId val="76846208"/>
        <c:scaling>
          <c:orientation val="minMax"/>
        </c:scaling>
        <c:axPos val="l"/>
        <c:majorGridlines/>
        <c:numFmt formatCode="#,##0" sourceLinked="1"/>
        <c:tickLblPos val="nextTo"/>
        <c:crossAx val="768403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294684.38602283091</c:v>
                </c:pt>
                <c:pt idx="1">
                  <c:v>324278.87312253984</c:v>
                </c:pt>
                <c:pt idx="2">
                  <c:v>2497.4387386097569</c:v>
                </c:pt>
                <c:pt idx="3">
                  <c:v>5011.8486271425863</c:v>
                </c:pt>
                <c:pt idx="4">
                  <c:v>143438.39524324978</c:v>
                </c:pt>
                <c:pt idx="5">
                  <c:v>512845.06516256399</c:v>
                </c:pt>
                <c:pt idx="6">
                  <c:v>10955.703393958867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44021</v>
      </c>
      <c r="B6" s="415"/>
      <c r="C6" s="416"/>
    </row>
    <row r="7" spans="1:7" s="413" customFormat="1" ht="15.75" customHeight="1">
      <c r="A7" s="417" t="str">
        <f>txtMunicipality</f>
        <v>GENT</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0.18625829501507271</v>
      </c>
      <c r="C17" s="527">
        <f ca="1">'EF ele_warmte'!B22</f>
        <v>0.23590340731829401</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0.18625829501507271</v>
      </c>
      <c r="C29" s="528">
        <f ca="1">'EF ele_warmte'!B22</f>
        <v>0.23590340731829401</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44021</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119546</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3122.5</v>
      </c>
    </row>
    <row r="15" spans="1:6">
      <c r="A15" s="348" t="s">
        <v>183</v>
      </c>
      <c r="B15" s="334">
        <v>37</v>
      </c>
    </row>
    <row r="16" spans="1:6">
      <c r="A16" s="348" t="s">
        <v>6</v>
      </c>
      <c r="B16" s="334">
        <v>1438</v>
      </c>
    </row>
    <row r="17" spans="1:6">
      <c r="A17" s="348" t="s">
        <v>7</v>
      </c>
      <c r="B17" s="334">
        <v>714</v>
      </c>
    </row>
    <row r="18" spans="1:6">
      <c r="A18" s="348" t="s">
        <v>8</v>
      </c>
      <c r="B18" s="334">
        <v>1222</v>
      </c>
    </row>
    <row r="19" spans="1:6">
      <c r="A19" s="348" t="s">
        <v>9</v>
      </c>
      <c r="B19" s="334">
        <v>1255</v>
      </c>
    </row>
    <row r="20" spans="1:6">
      <c r="A20" s="348" t="s">
        <v>10</v>
      </c>
      <c r="B20" s="334">
        <v>913</v>
      </c>
    </row>
    <row r="21" spans="1:6">
      <c r="A21" s="348" t="s">
        <v>11</v>
      </c>
      <c r="B21" s="334">
        <v>865</v>
      </c>
    </row>
    <row r="22" spans="1:6">
      <c r="A22" s="348" t="s">
        <v>12</v>
      </c>
      <c r="B22" s="334">
        <v>3021</v>
      </c>
    </row>
    <row r="23" spans="1:6">
      <c r="A23" s="348" t="s">
        <v>13</v>
      </c>
      <c r="B23" s="334">
        <v>35</v>
      </c>
    </row>
    <row r="24" spans="1:6">
      <c r="A24" s="348" t="s">
        <v>14</v>
      </c>
      <c r="B24" s="334">
        <v>3</v>
      </c>
    </row>
    <row r="25" spans="1:6">
      <c r="A25" s="348" t="s">
        <v>15</v>
      </c>
      <c r="B25" s="334">
        <v>248</v>
      </c>
    </row>
    <row r="26" spans="1:6">
      <c r="A26" s="348" t="s">
        <v>16</v>
      </c>
      <c r="B26" s="334">
        <v>353</v>
      </c>
    </row>
    <row r="27" spans="1:6">
      <c r="A27" s="348" t="s">
        <v>17</v>
      </c>
      <c r="B27" s="334">
        <v>11</v>
      </c>
    </row>
    <row r="28" spans="1:6" s="356" customFormat="1">
      <c r="A28" s="355" t="s">
        <v>18</v>
      </c>
      <c r="B28" s="355">
        <v>3</v>
      </c>
    </row>
    <row r="29" spans="1:6">
      <c r="A29" s="355" t="s">
        <v>713</v>
      </c>
      <c r="B29" s="355">
        <v>436</v>
      </c>
      <c r="C29" s="356"/>
      <c r="D29" s="356"/>
      <c r="E29" s="356"/>
      <c r="F29" s="356"/>
    </row>
    <row r="30" spans="1:6">
      <c r="A30" s="341" t="s">
        <v>714</v>
      </c>
      <c r="B30" s="341">
        <v>94</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7</v>
      </c>
      <c r="F35" s="334">
        <v>94065.479000000007</v>
      </c>
    </row>
    <row r="36" spans="1:6">
      <c r="A36" s="348" t="s">
        <v>24</v>
      </c>
      <c r="B36" s="348" t="s">
        <v>26</v>
      </c>
      <c r="C36" s="334">
        <v>13</v>
      </c>
      <c r="D36" s="334">
        <v>1824895.4820000001</v>
      </c>
      <c r="E36" s="334">
        <v>49</v>
      </c>
      <c r="F36" s="334">
        <v>1422653.33</v>
      </c>
    </row>
    <row r="37" spans="1:6">
      <c r="A37" s="348" t="s">
        <v>24</v>
      </c>
      <c r="B37" s="348" t="s">
        <v>27</v>
      </c>
      <c r="C37" s="334">
        <v>0</v>
      </c>
      <c r="D37" s="334">
        <v>0</v>
      </c>
      <c r="E37" s="334">
        <v>0</v>
      </c>
      <c r="F37" s="334">
        <v>0</v>
      </c>
    </row>
    <row r="38" spans="1:6">
      <c r="A38" s="348" t="s">
        <v>24</v>
      </c>
      <c r="B38" s="348" t="s">
        <v>28</v>
      </c>
      <c r="C38" s="334">
        <v>7</v>
      </c>
      <c r="D38" s="334">
        <v>3543341.2179999999</v>
      </c>
      <c r="E38" s="334">
        <v>22</v>
      </c>
      <c r="F38" s="334">
        <v>2536000.2340000002</v>
      </c>
    </row>
    <row r="39" spans="1:6">
      <c r="A39" s="348" t="s">
        <v>29</v>
      </c>
      <c r="B39" s="348" t="s">
        <v>30</v>
      </c>
      <c r="C39" s="334">
        <v>90590</v>
      </c>
      <c r="D39" s="334">
        <v>1188900580.869</v>
      </c>
      <c r="E39" s="334">
        <v>117547</v>
      </c>
      <c r="F39" s="334">
        <v>340563030.98800004</v>
      </c>
    </row>
    <row r="40" spans="1:6">
      <c r="A40" s="348" t="s">
        <v>29</v>
      </c>
      <c r="B40" s="348" t="s">
        <v>28</v>
      </c>
      <c r="C40" s="334">
        <v>1</v>
      </c>
      <c r="D40" s="334">
        <v>15865.11</v>
      </c>
      <c r="E40" s="334">
        <v>2</v>
      </c>
      <c r="F40" s="334">
        <v>7015.8680000000004</v>
      </c>
    </row>
    <row r="41" spans="1:6">
      <c r="A41" s="348" t="s">
        <v>31</v>
      </c>
      <c r="B41" s="348" t="s">
        <v>32</v>
      </c>
      <c r="C41" s="334">
        <v>948</v>
      </c>
      <c r="D41" s="334">
        <v>26975201.399999999</v>
      </c>
      <c r="E41" s="334">
        <v>1760</v>
      </c>
      <c r="F41" s="334">
        <v>24321629.149999999</v>
      </c>
    </row>
    <row r="42" spans="1:6">
      <c r="A42" s="348" t="s">
        <v>31</v>
      </c>
      <c r="B42" s="348" t="s">
        <v>33</v>
      </c>
      <c r="C42" s="334">
        <v>13</v>
      </c>
      <c r="D42" s="334">
        <v>31252836.57</v>
      </c>
      <c r="E42" s="334">
        <v>25</v>
      </c>
      <c r="F42" s="334">
        <v>40385255.770000003</v>
      </c>
    </row>
    <row r="43" spans="1:6">
      <c r="A43" s="348" t="s">
        <v>31</v>
      </c>
      <c r="B43" s="348" t="s">
        <v>34</v>
      </c>
      <c r="C43" s="334">
        <v>0</v>
      </c>
      <c r="D43" s="334">
        <v>0</v>
      </c>
      <c r="E43" s="334">
        <v>0</v>
      </c>
      <c r="F43" s="334">
        <v>0</v>
      </c>
    </row>
    <row r="44" spans="1:6">
      <c r="A44" s="348" t="s">
        <v>31</v>
      </c>
      <c r="B44" s="348" t="s">
        <v>35</v>
      </c>
      <c r="C44" s="334">
        <v>39</v>
      </c>
      <c r="D44" s="334">
        <v>14329198.5</v>
      </c>
      <c r="E44" s="334">
        <v>168</v>
      </c>
      <c r="F44" s="334">
        <v>26193330.59</v>
      </c>
    </row>
    <row r="45" spans="1:6">
      <c r="A45" s="348" t="s">
        <v>31</v>
      </c>
      <c r="B45" s="348" t="s">
        <v>36</v>
      </c>
      <c r="C45" s="334">
        <v>3</v>
      </c>
      <c r="D45" s="334">
        <v>180934.367</v>
      </c>
      <c r="E45" s="334">
        <v>29</v>
      </c>
      <c r="F45" s="334">
        <v>51171165.869999997</v>
      </c>
    </row>
    <row r="46" spans="1:6">
      <c r="A46" s="348" t="s">
        <v>31</v>
      </c>
      <c r="B46" s="348" t="s">
        <v>37</v>
      </c>
      <c r="C46" s="334">
        <v>0</v>
      </c>
      <c r="D46" s="334">
        <v>0</v>
      </c>
      <c r="E46" s="334">
        <v>0</v>
      </c>
      <c r="F46" s="334">
        <v>0</v>
      </c>
    </row>
    <row r="47" spans="1:6">
      <c r="A47" s="348" t="s">
        <v>31</v>
      </c>
      <c r="B47" s="348" t="s">
        <v>38</v>
      </c>
      <c r="C47" s="334">
        <v>67</v>
      </c>
      <c r="D47" s="334">
        <v>2478436.7149999999</v>
      </c>
      <c r="E47" s="334">
        <v>104</v>
      </c>
      <c r="F47" s="334">
        <v>14564945.41</v>
      </c>
    </row>
    <row r="48" spans="1:6">
      <c r="A48" s="348" t="s">
        <v>31</v>
      </c>
      <c r="B48" s="348" t="s">
        <v>28</v>
      </c>
      <c r="C48" s="334">
        <v>314</v>
      </c>
      <c r="D48" s="334">
        <v>199116164.5</v>
      </c>
      <c r="E48" s="334">
        <v>354</v>
      </c>
      <c r="F48" s="334">
        <v>138726717.19999999</v>
      </c>
    </row>
    <row r="49" spans="1:6">
      <c r="A49" s="348" t="s">
        <v>31</v>
      </c>
      <c r="B49" s="348" t="s">
        <v>39</v>
      </c>
      <c r="C49" s="334">
        <v>15</v>
      </c>
      <c r="D49" s="334">
        <v>329829.29399999999</v>
      </c>
      <c r="E49" s="334">
        <v>30</v>
      </c>
      <c r="F49" s="334">
        <v>310429.07900000003</v>
      </c>
    </row>
    <row r="50" spans="1:6">
      <c r="A50" s="348" t="s">
        <v>31</v>
      </c>
      <c r="B50" s="348" t="s">
        <v>40</v>
      </c>
      <c r="C50" s="334">
        <v>135</v>
      </c>
      <c r="D50" s="334">
        <v>25454740.43</v>
      </c>
      <c r="E50" s="334">
        <v>201</v>
      </c>
      <c r="F50" s="334">
        <v>54797408.119999997</v>
      </c>
    </row>
    <row r="51" spans="1:6">
      <c r="A51" s="348" t="s">
        <v>41</v>
      </c>
      <c r="B51" s="348" t="s">
        <v>42</v>
      </c>
      <c r="C51" s="334">
        <v>59</v>
      </c>
      <c r="D51" s="334">
        <v>3128381.9909999999</v>
      </c>
      <c r="E51" s="334">
        <v>209</v>
      </c>
      <c r="F51" s="334">
        <v>1982222.1669999999</v>
      </c>
    </row>
    <row r="52" spans="1:6">
      <c r="A52" s="348" t="s">
        <v>41</v>
      </c>
      <c r="B52" s="348" t="s">
        <v>28</v>
      </c>
      <c r="C52" s="334">
        <v>34</v>
      </c>
      <c r="D52" s="334">
        <v>2783338.5210000002</v>
      </c>
      <c r="E52" s="334">
        <v>56</v>
      </c>
      <c r="F52" s="334">
        <v>1205119.669</v>
      </c>
    </row>
    <row r="53" spans="1:6">
      <c r="A53" s="348" t="s">
        <v>43</v>
      </c>
      <c r="B53" s="348" t="s">
        <v>44</v>
      </c>
      <c r="C53" s="334">
        <v>3857</v>
      </c>
      <c r="D53" s="334">
        <v>95128243.780000001</v>
      </c>
      <c r="E53" s="334">
        <v>6905</v>
      </c>
      <c r="F53" s="334">
        <v>23194462.359999999</v>
      </c>
    </row>
    <row r="54" spans="1:6">
      <c r="A54" s="348" t="s">
        <v>45</v>
      </c>
      <c r="B54" s="348" t="s">
        <v>46</v>
      </c>
      <c r="C54" s="334">
        <v>0</v>
      </c>
      <c r="D54" s="334">
        <v>0</v>
      </c>
      <c r="E54" s="334">
        <v>3</v>
      </c>
      <c r="F54" s="334">
        <v>13408469.880000001</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991</v>
      </c>
      <c r="D57" s="334">
        <v>49758926.030000001</v>
      </c>
      <c r="E57" s="334">
        <v>1493</v>
      </c>
      <c r="F57" s="334">
        <v>41873920.030000001</v>
      </c>
    </row>
    <row r="58" spans="1:6">
      <c r="A58" s="348" t="s">
        <v>48</v>
      </c>
      <c r="B58" s="348" t="s">
        <v>50</v>
      </c>
      <c r="C58" s="334">
        <v>819</v>
      </c>
      <c r="D58" s="334">
        <v>102867012.2</v>
      </c>
      <c r="E58" s="334">
        <v>1099</v>
      </c>
      <c r="F58" s="334">
        <v>99801704.109999999</v>
      </c>
    </row>
    <row r="59" spans="1:6">
      <c r="A59" s="348" t="s">
        <v>48</v>
      </c>
      <c r="B59" s="348" t="s">
        <v>51</v>
      </c>
      <c r="C59" s="334">
        <v>1935</v>
      </c>
      <c r="D59" s="334">
        <v>80342104.959999993</v>
      </c>
      <c r="E59" s="334">
        <v>3397</v>
      </c>
      <c r="F59" s="334">
        <v>160884303.09999999</v>
      </c>
    </row>
    <row r="60" spans="1:6">
      <c r="A60" s="348" t="s">
        <v>48</v>
      </c>
      <c r="B60" s="348" t="s">
        <v>52</v>
      </c>
      <c r="C60" s="334">
        <v>1814</v>
      </c>
      <c r="D60" s="334">
        <v>186792517.5</v>
      </c>
      <c r="E60" s="334">
        <v>2573</v>
      </c>
      <c r="F60" s="334">
        <v>92057325.340000004</v>
      </c>
    </row>
    <row r="61" spans="1:6">
      <c r="A61" s="348" t="s">
        <v>48</v>
      </c>
      <c r="B61" s="348" t="s">
        <v>53</v>
      </c>
      <c r="C61" s="334">
        <v>5385</v>
      </c>
      <c r="D61" s="334">
        <v>310644620.10000002</v>
      </c>
      <c r="E61" s="334">
        <v>9685</v>
      </c>
      <c r="F61" s="334">
        <v>184438939.80000001</v>
      </c>
    </row>
    <row r="62" spans="1:6">
      <c r="A62" s="348" t="s">
        <v>48</v>
      </c>
      <c r="B62" s="348" t="s">
        <v>54</v>
      </c>
      <c r="C62" s="334">
        <v>285</v>
      </c>
      <c r="D62" s="334">
        <v>92249850.269999996</v>
      </c>
      <c r="E62" s="334">
        <v>284</v>
      </c>
      <c r="F62" s="334">
        <v>68155774.709999993</v>
      </c>
    </row>
    <row r="63" spans="1:6">
      <c r="A63" s="348" t="s">
        <v>48</v>
      </c>
      <c r="B63" s="348" t="s">
        <v>28</v>
      </c>
      <c r="C63" s="334">
        <v>847</v>
      </c>
      <c r="D63" s="334">
        <v>98130943.799999997</v>
      </c>
      <c r="E63" s="334">
        <v>950</v>
      </c>
      <c r="F63" s="334">
        <v>66459005.439999998</v>
      </c>
    </row>
    <row r="64" spans="1:6">
      <c r="A64" s="348" t="s">
        <v>55</v>
      </c>
      <c r="B64" s="348" t="s">
        <v>56</v>
      </c>
      <c r="C64" s="334">
        <v>0</v>
      </c>
      <c r="D64" s="334">
        <v>0</v>
      </c>
      <c r="E64" s="334">
        <v>0</v>
      </c>
      <c r="F64" s="334">
        <v>0</v>
      </c>
    </row>
    <row r="65" spans="1:6">
      <c r="A65" s="348" t="s">
        <v>55</v>
      </c>
      <c r="B65" s="348" t="s">
        <v>28</v>
      </c>
      <c r="C65" s="334">
        <v>28</v>
      </c>
      <c r="D65" s="334">
        <v>1334323.368</v>
      </c>
      <c r="E65" s="334">
        <v>27</v>
      </c>
      <c r="F65" s="334">
        <v>1840246.588</v>
      </c>
    </row>
    <row r="66" spans="1:6">
      <c r="A66" s="348" t="s">
        <v>55</v>
      </c>
      <c r="B66" s="348" t="s">
        <v>57</v>
      </c>
      <c r="C66" s="334">
        <v>3</v>
      </c>
      <c r="D66" s="334">
        <v>1961609.3670000001</v>
      </c>
      <c r="E66" s="334">
        <v>158</v>
      </c>
      <c r="F66" s="334">
        <v>7640488.7309999997</v>
      </c>
    </row>
    <row r="67" spans="1:6">
      <c r="A67" s="355" t="s">
        <v>55</v>
      </c>
      <c r="B67" s="355" t="s">
        <v>58</v>
      </c>
      <c r="C67" s="334">
        <v>0</v>
      </c>
      <c r="D67" s="334">
        <v>0</v>
      </c>
      <c r="E67" s="334">
        <v>0</v>
      </c>
      <c r="F67" s="334">
        <v>0</v>
      </c>
    </row>
    <row r="68" spans="1:6">
      <c r="A68" s="341" t="s">
        <v>55</v>
      </c>
      <c r="B68" s="341" t="s">
        <v>59</v>
      </c>
      <c r="C68" s="334">
        <v>43</v>
      </c>
      <c r="D68" s="334">
        <v>3349159.6320000002</v>
      </c>
      <c r="E68" s="334">
        <v>135</v>
      </c>
      <c r="F68" s="334">
        <v>13709079.630000001</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556593838</v>
      </c>
      <c r="E73" s="476"/>
    </row>
    <row r="74" spans="1:6">
      <c r="A74" s="348" t="s">
        <v>63</v>
      </c>
      <c r="B74" s="348" t="s">
        <v>651</v>
      </c>
      <c r="C74" s="1307" t="s">
        <v>653</v>
      </c>
      <c r="D74" s="476">
        <v>82829820.5</v>
      </c>
      <c r="E74" s="476"/>
    </row>
    <row r="75" spans="1:6">
      <c r="A75" s="348" t="s">
        <v>64</v>
      </c>
      <c r="B75" s="348" t="s">
        <v>650</v>
      </c>
      <c r="C75" s="1307" t="s">
        <v>654</v>
      </c>
      <c r="D75" s="476">
        <v>338206965</v>
      </c>
      <c r="E75" s="476"/>
    </row>
    <row r="76" spans="1:6">
      <c r="A76" s="348" t="s">
        <v>64</v>
      </c>
      <c r="B76" s="348" t="s">
        <v>651</v>
      </c>
      <c r="C76" s="1307" t="s">
        <v>655</v>
      </c>
      <c r="D76" s="476">
        <v>26188411.5</v>
      </c>
      <c r="E76" s="476"/>
    </row>
    <row r="77" spans="1:6">
      <c r="A77" s="348" t="s">
        <v>65</v>
      </c>
      <c r="B77" s="348" t="s">
        <v>650</v>
      </c>
      <c r="C77" s="1307" t="s">
        <v>656</v>
      </c>
      <c r="D77" s="476">
        <v>1009224353</v>
      </c>
      <c r="E77" s="476"/>
    </row>
    <row r="78" spans="1:6">
      <c r="A78" s="341" t="s">
        <v>65</v>
      </c>
      <c r="B78" s="341" t="s">
        <v>651</v>
      </c>
      <c r="C78" s="341" t="s">
        <v>657</v>
      </c>
      <c r="D78" s="1308">
        <v>162623337</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10148987</v>
      </c>
      <c r="C83" s="476"/>
    </row>
    <row r="84" spans="1:6">
      <c r="A84" s="341" t="s">
        <v>336</v>
      </c>
      <c r="B84" s="1308">
        <v>2612567</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178643.64228126049</v>
      </c>
    </row>
    <row r="91" spans="1:6">
      <c r="A91" s="348" t="s">
        <v>67</v>
      </c>
      <c r="B91" s="334">
        <v>22788.694650387344</v>
      </c>
    </row>
    <row r="92" spans="1:6">
      <c r="A92" s="341" t="s">
        <v>68</v>
      </c>
      <c r="B92" s="342">
        <v>35253.675517553937</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62627</v>
      </c>
    </row>
    <row r="98" spans="1:6">
      <c r="A98" s="348" t="s">
        <v>71</v>
      </c>
      <c r="B98" s="334">
        <v>127</v>
      </c>
    </row>
    <row r="99" spans="1:6">
      <c r="A99" s="348" t="s">
        <v>72</v>
      </c>
      <c r="B99" s="334">
        <v>385</v>
      </c>
    </row>
    <row r="100" spans="1:6">
      <c r="A100" s="348" t="s">
        <v>73</v>
      </c>
      <c r="B100" s="334">
        <v>8623</v>
      </c>
    </row>
    <row r="101" spans="1:6">
      <c r="A101" s="348" t="s">
        <v>74</v>
      </c>
      <c r="B101" s="334">
        <v>396</v>
      </c>
    </row>
    <row r="102" spans="1:6">
      <c r="A102" s="348" t="s">
        <v>75</v>
      </c>
      <c r="B102" s="334">
        <v>4616</v>
      </c>
    </row>
    <row r="103" spans="1:6">
      <c r="A103" s="348" t="s">
        <v>76</v>
      </c>
      <c r="B103" s="334">
        <v>1823</v>
      </c>
    </row>
    <row r="104" spans="1:6">
      <c r="A104" s="348" t="s">
        <v>77</v>
      </c>
      <c r="B104" s="334">
        <v>21695</v>
      </c>
    </row>
    <row r="105" spans="1:6">
      <c r="A105" s="341" t="s">
        <v>78</v>
      </c>
      <c r="B105" s="341">
        <v>311</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2</v>
      </c>
    </row>
    <row r="111" spans="1:6">
      <c r="A111" s="1310" t="s">
        <v>641</v>
      </c>
      <c r="B111" s="1311">
        <v>3</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5</v>
      </c>
      <c r="C121" s="334">
        <v>0</v>
      </c>
    </row>
    <row r="122" spans="1:6">
      <c r="A122" s="348" t="s">
        <v>86</v>
      </c>
      <c r="B122" s="334">
        <v>2</v>
      </c>
      <c r="C122" s="334">
        <v>0</v>
      </c>
    </row>
    <row r="123" spans="1:6">
      <c r="A123" s="348" t="s">
        <v>87</v>
      </c>
      <c r="B123" s="334">
        <v>277</v>
      </c>
      <c r="C123" s="334">
        <v>304</v>
      </c>
    </row>
    <row r="124" spans="1:6">
      <c r="A124" s="341" t="s">
        <v>88</v>
      </c>
      <c r="B124" s="334">
        <v>6</v>
      </c>
      <c r="C124" s="334">
        <v>8</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1363</v>
      </c>
    </row>
    <row r="130" spans="1:6">
      <c r="A130" s="348" t="s">
        <v>294</v>
      </c>
      <c r="B130" s="334">
        <v>31</v>
      </c>
    </row>
    <row r="131" spans="1:6">
      <c r="A131" s="348" t="s">
        <v>295</v>
      </c>
      <c r="B131" s="334">
        <v>22</v>
      </c>
    </row>
    <row r="132" spans="1:6">
      <c r="A132" s="341" t="s">
        <v>296</v>
      </c>
      <c r="B132" s="342">
        <v>159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1484305.1594152709</v>
      </c>
      <c r="C3" s="43" t="s">
        <v>169</v>
      </c>
      <c r="D3" s="43"/>
      <c r="E3" s="154"/>
      <c r="F3" s="43"/>
      <c r="G3" s="43"/>
      <c r="H3" s="43"/>
      <c r="I3" s="43"/>
      <c r="J3" s="43"/>
      <c r="K3" s="96"/>
    </row>
    <row r="4" spans="1:11">
      <c r="A4" s="383" t="s">
        <v>170</v>
      </c>
      <c r="B4" s="49">
        <f>IF(ISERROR('SEAP template'!B78),0,'SEAP template'!B78)</f>
        <v>238579.94318761048</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1158.8754884511193</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0.18625829501507271</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1656.4273686917386</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7021.6339285714284</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0.23590340731829401</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13408.469880000001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13408.469880000001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0.18625829501507271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2497.4387386097569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340570.04685600003</v>
      </c>
      <c r="C5" s="17">
        <f>IF(ISERROR('Eigen informatie GS &amp; warmtenet'!B59),0,'Eigen informatie GS &amp; warmtenet'!B59)</f>
        <v>0</v>
      </c>
      <c r="D5" s="30">
        <f>(SUM(HH_hh_gas_kWh,HH_rest_gas_kWh)/1000)*0.902</f>
        <v>1072402.6342730578</v>
      </c>
      <c r="E5" s="17">
        <f>B46*B57</f>
        <v>45728.961356259824</v>
      </c>
      <c r="F5" s="17">
        <f>B51*B62</f>
        <v>0</v>
      </c>
      <c r="G5" s="18"/>
      <c r="H5" s="17"/>
      <c r="I5" s="17"/>
      <c r="J5" s="17">
        <f>B50*B61+C50*C61</f>
        <v>0</v>
      </c>
      <c r="K5" s="17"/>
      <c r="L5" s="17"/>
      <c r="M5" s="17"/>
      <c r="N5" s="17">
        <f>B48*B59+C48*C59</f>
        <v>81396.618942398505</v>
      </c>
      <c r="O5" s="17">
        <f>B69*B70*B71</f>
        <v>3323.1300174732783</v>
      </c>
      <c r="P5" s="17">
        <f>B77*B78*B79/1000-B77*B78*B79/1000/B80</f>
        <v>4656.0100139967799</v>
      </c>
    </row>
    <row r="6" spans="1:16">
      <c r="A6" s="16" t="s">
        <v>615</v>
      </c>
      <c r="B6" s="809">
        <f>kWh_PV_kleiner_dan_10kW</f>
        <v>22788.694650387344</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363358.74150638736</v>
      </c>
      <c r="C8" s="21">
        <f>C5</f>
        <v>0</v>
      </c>
      <c r="D8" s="21">
        <f>D5</f>
        <v>1072402.6342730578</v>
      </c>
      <c r="E8" s="21">
        <f>E5</f>
        <v>45728.961356259824</v>
      </c>
      <c r="F8" s="21">
        <f>F5</f>
        <v>0</v>
      </c>
      <c r="G8" s="21"/>
      <c r="H8" s="21"/>
      <c r="I8" s="21"/>
      <c r="J8" s="21">
        <f>J5</f>
        <v>0</v>
      </c>
      <c r="K8" s="21"/>
      <c r="L8" s="21">
        <f>L5</f>
        <v>0</v>
      </c>
      <c r="M8" s="21">
        <f>M5</f>
        <v>0</v>
      </c>
      <c r="N8" s="21">
        <f>N5</f>
        <v>81396.618942398505</v>
      </c>
      <c r="O8" s="21">
        <f>O5</f>
        <v>3323.1300174732783</v>
      </c>
      <c r="P8" s="21">
        <f>P5</f>
        <v>4656.0100139967799</v>
      </c>
    </row>
    <row r="9" spans="1:16">
      <c r="B9" s="19"/>
      <c r="C9" s="19"/>
      <c r="D9" s="258"/>
      <c r="E9" s="19"/>
      <c r="F9" s="19"/>
      <c r="G9" s="19"/>
      <c r="H9" s="19"/>
      <c r="I9" s="19"/>
      <c r="J9" s="19"/>
      <c r="K9" s="19"/>
      <c r="L9" s="19"/>
      <c r="M9" s="19"/>
      <c r="N9" s="19"/>
      <c r="O9" s="19"/>
      <c r="P9" s="19"/>
    </row>
    <row r="10" spans="1:16">
      <c r="A10" s="24" t="s">
        <v>213</v>
      </c>
      <c r="B10" s="25">
        <f ca="1">'EF ele_warmte'!B12</f>
        <v>0.18625829501507271</v>
      </c>
      <c r="C10" s="25">
        <f ca="1">'EF ele_warmte'!B22</f>
        <v>0.23590340731829401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67678.579671802247</v>
      </c>
      <c r="C12" s="23">
        <f ca="1">C10*C8</f>
        <v>0</v>
      </c>
      <c r="D12" s="23">
        <f>D8*D10</f>
        <v>216625.33212315768</v>
      </c>
      <c r="E12" s="23">
        <f>E10*E8</f>
        <v>10380.47422787098</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62627</v>
      </c>
      <c r="C18" s="166" t="s">
        <v>110</v>
      </c>
      <c r="D18" s="228"/>
      <c r="E18" s="15"/>
    </row>
    <row r="19" spans="1:7">
      <c r="A19" s="171" t="s">
        <v>71</v>
      </c>
      <c r="B19" s="37">
        <f>aantalw2001_ander</f>
        <v>127</v>
      </c>
      <c r="C19" s="166" t="s">
        <v>110</v>
      </c>
      <c r="D19" s="229"/>
      <c r="E19" s="15"/>
    </row>
    <row r="20" spans="1:7">
      <c r="A20" s="171" t="s">
        <v>72</v>
      </c>
      <c r="B20" s="37">
        <f>aantalw2001_propaan</f>
        <v>385</v>
      </c>
      <c r="C20" s="167">
        <f>IF(ISERROR(B20/SUM($B$20,$B$21,$B$22)*100),0,B20/SUM($B$20,$B$21,$B$22)*100)</f>
        <v>4.0940025521054872</v>
      </c>
      <c r="D20" s="229"/>
      <c r="E20" s="15"/>
    </row>
    <row r="21" spans="1:7">
      <c r="A21" s="171" t="s">
        <v>73</v>
      </c>
      <c r="B21" s="37">
        <f>aantalw2001_elektriciteit</f>
        <v>8623</v>
      </c>
      <c r="C21" s="167">
        <f>IF(ISERROR(B21/SUM($B$20,$B$21,$B$22)*100),0,B21/SUM($B$20,$B$21,$B$22)*100)</f>
        <v>91.695023394300307</v>
      </c>
      <c r="D21" s="229"/>
      <c r="E21" s="15"/>
    </row>
    <row r="22" spans="1:7">
      <c r="A22" s="171" t="s">
        <v>74</v>
      </c>
      <c r="B22" s="37">
        <f>aantalw2001_hout</f>
        <v>396</v>
      </c>
      <c r="C22" s="167">
        <f>IF(ISERROR(B22/SUM($B$20,$B$21,$B$22)*100),0,B22/SUM($B$20,$B$21,$B$22)*100)</f>
        <v>4.2109740535942155</v>
      </c>
      <c r="D22" s="229"/>
      <c r="E22" s="15"/>
    </row>
    <row r="23" spans="1:7">
      <c r="A23" s="171" t="s">
        <v>75</v>
      </c>
      <c r="B23" s="37">
        <f>aantalw2001_niet_gespec</f>
        <v>4616</v>
      </c>
      <c r="C23" s="166" t="s">
        <v>110</v>
      </c>
      <c r="D23" s="228"/>
      <c r="E23" s="15"/>
    </row>
    <row r="24" spans="1:7">
      <c r="A24" s="171" t="s">
        <v>76</v>
      </c>
      <c r="B24" s="37">
        <f>aantalw2001_steenkool</f>
        <v>1823</v>
      </c>
      <c r="C24" s="166" t="s">
        <v>110</v>
      </c>
      <c r="D24" s="229"/>
      <c r="E24" s="15"/>
    </row>
    <row r="25" spans="1:7">
      <c r="A25" s="171" t="s">
        <v>77</v>
      </c>
      <c r="B25" s="37">
        <f>aantalw2001_stookolie</f>
        <v>21695</v>
      </c>
      <c r="C25" s="166" t="s">
        <v>110</v>
      </c>
      <c r="D25" s="228"/>
      <c r="E25" s="52"/>
    </row>
    <row r="26" spans="1:7">
      <c r="A26" s="171" t="s">
        <v>78</v>
      </c>
      <c r="B26" s="37">
        <f>aantalw2001_WP</f>
        <v>311</v>
      </c>
      <c r="C26" s="166" t="s">
        <v>110</v>
      </c>
      <c r="D26" s="228"/>
      <c r="E26" s="15"/>
    </row>
    <row r="27" spans="1:7" s="15" customFormat="1">
      <c r="A27" s="171"/>
      <c r="B27" s="29"/>
      <c r="C27" s="36"/>
      <c r="D27" s="228"/>
    </row>
    <row r="28" spans="1:7" s="15" customFormat="1">
      <c r="A28" s="230" t="s">
        <v>837</v>
      </c>
      <c r="B28" s="37">
        <f>aantalHuishoudens2011</f>
        <v>119546</v>
      </c>
      <c r="C28" s="36"/>
      <c r="D28" s="228"/>
    </row>
    <row r="29" spans="1:7" s="15" customFormat="1">
      <c r="A29" s="230" t="s">
        <v>838</v>
      </c>
      <c r="B29" s="37">
        <f>SUM(HH_hh_gas_aantal,HH_rest_gas_aantal)</f>
        <v>90591</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90591</v>
      </c>
      <c r="C32" s="167">
        <f>IF(ISERROR(B32/SUM($B$32,$B$34,$B$35,$B$36,$B$38,$B$39)*100),0,B32/SUM($B$32,$B$34,$B$35,$B$36,$B$38,$B$39)*100)</f>
        <v>76.060417786136483</v>
      </c>
      <c r="D32" s="233"/>
      <c r="G32" s="15"/>
    </row>
    <row r="33" spans="1:7">
      <c r="A33" s="171" t="s">
        <v>71</v>
      </c>
      <c r="B33" s="34" t="s">
        <v>110</v>
      </c>
      <c r="C33" s="167"/>
      <c r="D33" s="233"/>
      <c r="G33" s="15"/>
    </row>
    <row r="34" spans="1:7">
      <c r="A34" s="171" t="s">
        <v>72</v>
      </c>
      <c r="B34" s="33">
        <f>IF((($B$28-$B$32-$B$39-$B$77-$B$38)*C20/100)&lt;0,0,($B$28-$B$32-$B$39-$B$77-$B$38)*C20/100)</f>
        <v>1167.3229476818376</v>
      </c>
      <c r="C34" s="167">
        <f>IF(ISERROR(B34/SUM($B$32,$B$34,$B$35,$B$36,$B$38,$B$39)*100),0,B34/SUM($B$32,$B$34,$B$35,$B$36,$B$38,$B$39)*100)</f>
        <v>0.98008710679896338</v>
      </c>
      <c r="D34" s="233"/>
      <c r="G34" s="15"/>
    </row>
    <row r="35" spans="1:7">
      <c r="A35" s="171" t="s">
        <v>73</v>
      </c>
      <c r="B35" s="33">
        <f>IF((($B$28-$B$32-$B$39-$B$77-$B$38)*C21/100)&lt;0,0,($B$28-$B$32-$B$39-$B$77-$B$38)*C21/100)</f>
        <v>26145.002020416847</v>
      </c>
      <c r="C35" s="167">
        <f>IF(ISERROR(B35/SUM($B$32,$B$34,$B$35,$B$36,$B$38,$B$39)*100),0,B35/SUM($B$32,$B$34,$B$35,$B$36,$B$38,$B$39)*100)</f>
        <v>21.951405511499903</v>
      </c>
      <c r="D35" s="233"/>
      <c r="G35" s="15"/>
    </row>
    <row r="36" spans="1:7">
      <c r="A36" s="171" t="s">
        <v>74</v>
      </c>
      <c r="B36" s="33">
        <f>IF((($B$28-$B$32-$B$39-$B$77-$B$38)*C22/100)&lt;0,0,($B$28-$B$32-$B$39-$B$77-$B$38)*C22/100)</f>
        <v>1200.6750319013188</v>
      </c>
      <c r="C36" s="167">
        <f>IF(ISERROR(B36/SUM($B$32,$B$34,$B$35,$B$36,$B$38,$B$39)*100),0,B36/SUM($B$32,$B$34,$B$35,$B$36,$B$38,$B$39)*100)</f>
        <v>1.0080895955646483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90591</v>
      </c>
      <c r="C44" s="34" t="s">
        <v>110</v>
      </c>
      <c r="D44" s="174"/>
    </row>
    <row r="45" spans="1:7">
      <c r="A45" s="171" t="s">
        <v>71</v>
      </c>
      <c r="B45" s="33" t="str">
        <f t="shared" si="0"/>
        <v>-</v>
      </c>
      <c r="C45" s="34" t="s">
        <v>110</v>
      </c>
      <c r="D45" s="174"/>
    </row>
    <row r="46" spans="1:7">
      <c r="A46" s="171" t="s">
        <v>72</v>
      </c>
      <c r="B46" s="33">
        <f t="shared" si="0"/>
        <v>1167.3229476818376</v>
      </c>
      <c r="C46" s="34" t="s">
        <v>110</v>
      </c>
      <c r="D46" s="174"/>
    </row>
    <row r="47" spans="1:7">
      <c r="A47" s="171" t="s">
        <v>73</v>
      </c>
      <c r="B47" s="33">
        <f t="shared" si="0"/>
        <v>26145.002020416847</v>
      </c>
      <c r="C47" s="34" t="s">
        <v>110</v>
      </c>
      <c r="D47" s="174"/>
    </row>
    <row r="48" spans="1:7">
      <c r="A48" s="171" t="s">
        <v>74</v>
      </c>
      <c r="B48" s="33">
        <f t="shared" si="0"/>
        <v>1200.6750319013188</v>
      </c>
      <c r="C48" s="33">
        <f>B48*10</f>
        <v>12006.750319013188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1675</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442</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713670.97253000014</v>
      </c>
      <c r="C5" s="17">
        <f>IF(ISERROR('Eigen informatie GS &amp; warmtenet'!B60),0,'Eigen informatie GS &amp; warmtenet'!B60)</f>
        <v>0</v>
      </c>
      <c r="D5" s="30">
        <f>SUM(D6:D12)</f>
        <v>830548.94932371995</v>
      </c>
      <c r="E5" s="17">
        <f>SUM(E6:E12)</f>
        <v>9638.1591253773677</v>
      </c>
      <c r="F5" s="17">
        <f>SUM(F6:F12)</f>
        <v>79512.336627302284</v>
      </c>
      <c r="G5" s="18"/>
      <c r="H5" s="17"/>
      <c r="I5" s="17"/>
      <c r="J5" s="17">
        <f>SUM(J6:J12)</f>
        <v>0.83821912146822097</v>
      </c>
      <c r="K5" s="17"/>
      <c r="L5" s="17"/>
      <c r="M5" s="17"/>
      <c r="N5" s="17">
        <f>SUM(N6:N12)</f>
        <v>33839.321829268913</v>
      </c>
      <c r="O5" s="17">
        <f>B38*B39*B40</f>
        <v>151.8150837410758</v>
      </c>
      <c r="P5" s="17">
        <f>B46*B47*B48/1000-B46*B47*B48/1000/B49</f>
        <v>1523.6350108883557</v>
      </c>
      <c r="R5" s="32"/>
    </row>
    <row r="6" spans="1:18">
      <c r="A6" s="32" t="s">
        <v>53</v>
      </c>
      <c r="B6" s="37">
        <f>B26</f>
        <v>184438.93980000002</v>
      </c>
      <c r="C6" s="33"/>
      <c r="D6" s="37">
        <f>IF(ISERROR(TER_kantoor_gas_kWh/1000),0,TER_kantoor_gas_kWh/1000)*0.902</f>
        <v>280201.4473302</v>
      </c>
      <c r="E6" s="33">
        <f>$C$26*'E Balans VL '!I12/100/3.6*1000000</f>
        <v>1484.1210127876418</v>
      </c>
      <c r="F6" s="33">
        <f>$C$26*('E Balans VL '!L12+'E Balans VL '!N12)/100/3.6*1000000</f>
        <v>22549.600626078784</v>
      </c>
      <c r="G6" s="34"/>
      <c r="H6" s="33"/>
      <c r="I6" s="33"/>
      <c r="J6" s="33">
        <f>$C$26*('E Balans VL '!D12+'E Balans VL '!E12)/100/3.6*1000000</f>
        <v>0</v>
      </c>
      <c r="K6" s="33"/>
      <c r="L6" s="33"/>
      <c r="M6" s="33"/>
      <c r="N6" s="33">
        <f>$C$26*'E Balans VL '!Y12/100/3.6*1000000</f>
        <v>99.126847507769256</v>
      </c>
      <c r="O6" s="33"/>
      <c r="P6" s="33"/>
      <c r="R6" s="32"/>
    </row>
    <row r="7" spans="1:18">
      <c r="A7" s="32" t="s">
        <v>52</v>
      </c>
      <c r="B7" s="37">
        <f t="shared" ref="B7:B12" si="0">B27</f>
        <v>92057.32534000001</v>
      </c>
      <c r="C7" s="33"/>
      <c r="D7" s="37">
        <f>IF(ISERROR(TER_horeca_gas_kWh/1000),0,TER_horeca_gas_kWh/1000)*0.902</f>
        <v>168486.85078499999</v>
      </c>
      <c r="E7" s="33">
        <f>$C$27*'E Balans VL '!I9/100/3.6*1000000</f>
        <v>988.46962088106693</v>
      </c>
      <c r="F7" s="33">
        <f>$C$27*('E Balans VL '!L9+'E Balans VL '!N9)/100/3.6*1000000</f>
        <v>11072.263968608546</v>
      </c>
      <c r="G7" s="34"/>
      <c r="H7" s="33"/>
      <c r="I7" s="33"/>
      <c r="J7" s="33">
        <f>$C$27*('E Balans VL '!D9+'E Balans VL '!E9)/100/3.6*1000000</f>
        <v>0</v>
      </c>
      <c r="K7" s="33"/>
      <c r="L7" s="33"/>
      <c r="M7" s="33"/>
      <c r="N7" s="33">
        <f>$C$27*'E Balans VL '!Y9/100/3.6*1000000</f>
        <v>13.801258853835696</v>
      </c>
      <c r="O7" s="33"/>
      <c r="P7" s="33"/>
      <c r="R7" s="32"/>
    </row>
    <row r="8" spans="1:18">
      <c r="A8" s="6" t="s">
        <v>51</v>
      </c>
      <c r="B8" s="37">
        <f t="shared" si="0"/>
        <v>160884.30309999999</v>
      </c>
      <c r="C8" s="33"/>
      <c r="D8" s="37">
        <f>IF(ISERROR(TER_handel_gas_kWh/1000),0,TER_handel_gas_kWh/1000)*0.902</f>
        <v>72468.578673919998</v>
      </c>
      <c r="E8" s="33">
        <f>$C$28*'E Balans VL '!I13/100/3.6*1000000</f>
        <v>4317.6421526881122</v>
      </c>
      <c r="F8" s="33">
        <f>$C$28*('E Balans VL '!L13+'E Balans VL '!N13)/100/3.6*1000000</f>
        <v>15353.321097817359</v>
      </c>
      <c r="G8" s="34"/>
      <c r="H8" s="33"/>
      <c r="I8" s="33"/>
      <c r="J8" s="33">
        <f>$C$28*('E Balans VL '!D13+'E Balans VL '!E13)/100/3.6*1000000</f>
        <v>0</v>
      </c>
      <c r="K8" s="33"/>
      <c r="L8" s="33"/>
      <c r="M8" s="33"/>
      <c r="N8" s="33">
        <f>$C$28*'E Balans VL '!Y13/100/3.6*1000000</f>
        <v>63.776367065384051</v>
      </c>
      <c r="O8" s="33"/>
      <c r="P8" s="33"/>
      <c r="R8" s="32"/>
    </row>
    <row r="9" spans="1:18">
      <c r="A9" s="32" t="s">
        <v>50</v>
      </c>
      <c r="B9" s="37">
        <f t="shared" si="0"/>
        <v>99801.704110000006</v>
      </c>
      <c r="C9" s="33"/>
      <c r="D9" s="37">
        <f>IF(ISERROR(TER_gezond_gas_kWh/1000),0,TER_gezond_gas_kWh/1000)*0.902</f>
        <v>92786.045004400003</v>
      </c>
      <c r="E9" s="33">
        <f>$C$29*'E Balans VL '!I10/100/3.6*1000000</f>
        <v>187.06089034813471</v>
      </c>
      <c r="F9" s="33">
        <f>$C$29*('E Balans VL '!L10+'E Balans VL '!N10)/100/3.6*1000000</f>
        <v>8204.6106982256842</v>
      </c>
      <c r="G9" s="34"/>
      <c r="H9" s="33"/>
      <c r="I9" s="33"/>
      <c r="J9" s="33">
        <f>$C$29*('E Balans VL '!D10+'E Balans VL '!E10)/100/3.6*1000000</f>
        <v>0</v>
      </c>
      <c r="K9" s="33"/>
      <c r="L9" s="33"/>
      <c r="M9" s="33"/>
      <c r="N9" s="33">
        <f>$C$29*'E Balans VL '!Y10/100/3.6*1000000</f>
        <v>776.53172074639474</v>
      </c>
      <c r="O9" s="33"/>
      <c r="P9" s="33"/>
      <c r="R9" s="32"/>
    </row>
    <row r="10" spans="1:18">
      <c r="A10" s="32" t="s">
        <v>49</v>
      </c>
      <c r="B10" s="37">
        <f t="shared" si="0"/>
        <v>41873.920030000001</v>
      </c>
      <c r="C10" s="33"/>
      <c r="D10" s="37">
        <f>IF(ISERROR(TER_ander_gas_kWh/1000),0,TER_ander_gas_kWh/1000)*0.902</f>
        <v>44882.551279060004</v>
      </c>
      <c r="E10" s="33">
        <f>$C$30*'E Balans VL '!I14/100/3.6*1000000</f>
        <v>64.549072028120662</v>
      </c>
      <c r="F10" s="33">
        <f>$C$30*('E Balans VL '!L14+'E Balans VL '!N14)/100/3.6*1000000</f>
        <v>6500.9376445886764</v>
      </c>
      <c r="G10" s="34"/>
      <c r="H10" s="33"/>
      <c r="I10" s="33"/>
      <c r="J10" s="33">
        <f>$C$30*('E Balans VL '!D14+'E Balans VL '!E14)/100/3.6*1000000</f>
        <v>0.71085395378378002</v>
      </c>
      <c r="K10" s="33"/>
      <c r="L10" s="33"/>
      <c r="M10" s="33"/>
      <c r="N10" s="33">
        <f>$C$30*'E Balans VL '!Y14/100/3.6*1000000</f>
        <v>27702.443442784963</v>
      </c>
      <c r="O10" s="33"/>
      <c r="P10" s="33"/>
      <c r="R10" s="32"/>
    </row>
    <row r="11" spans="1:18">
      <c r="A11" s="32" t="s">
        <v>54</v>
      </c>
      <c r="B11" s="37">
        <f t="shared" si="0"/>
        <v>68155.774709999998</v>
      </c>
      <c r="C11" s="33"/>
      <c r="D11" s="37">
        <f>IF(ISERROR(TER_onderwijs_gas_kWh/1000),0,TER_onderwijs_gas_kWh/1000)*0.902</f>
        <v>83209.36494354</v>
      </c>
      <c r="E11" s="33">
        <f>$C$31*'E Balans VL '!I11/100/3.6*1000000</f>
        <v>1738.4377628925281</v>
      </c>
      <c r="F11" s="33">
        <f>$C$31*('E Balans VL '!L11+'E Balans VL '!N11)/100/3.6*1000000</f>
        <v>8196.3734154584963</v>
      </c>
      <c r="G11" s="34"/>
      <c r="H11" s="33"/>
      <c r="I11" s="33"/>
      <c r="J11" s="33">
        <f>$C$31*('E Balans VL '!D11+'E Balans VL '!E11)/100/3.6*1000000</f>
        <v>0</v>
      </c>
      <c r="K11" s="33"/>
      <c r="L11" s="33"/>
      <c r="M11" s="33"/>
      <c r="N11" s="33">
        <f>$C$31*'E Balans VL '!Y11/100/3.6*1000000</f>
        <v>151.57677993980741</v>
      </c>
      <c r="O11" s="33"/>
      <c r="P11" s="33"/>
      <c r="R11" s="32"/>
    </row>
    <row r="12" spans="1:18">
      <c r="A12" s="32" t="s">
        <v>259</v>
      </c>
      <c r="B12" s="37">
        <f t="shared" si="0"/>
        <v>66459.005439999994</v>
      </c>
      <c r="C12" s="33"/>
      <c r="D12" s="37">
        <f>IF(ISERROR(TER_rest_gas_kWh/1000),0,TER_rest_gas_kWh/1000)*0.902</f>
        <v>88514.111307600004</v>
      </c>
      <c r="E12" s="33">
        <f>$C$32*'E Balans VL '!I8/100/3.6*1000000</f>
        <v>857.87861375176419</v>
      </c>
      <c r="F12" s="33">
        <f>$C$32*('E Balans VL '!L8+'E Balans VL '!N8)/100/3.6*1000000</f>
        <v>7635.2291765247346</v>
      </c>
      <c r="G12" s="34"/>
      <c r="H12" s="33"/>
      <c r="I12" s="33"/>
      <c r="J12" s="33">
        <f>$C$32*('E Balans VL '!D8+'E Balans VL '!E8)/100/3.6*1000000</f>
        <v>0.12736516768444095</v>
      </c>
      <c r="K12" s="33"/>
      <c r="L12" s="33"/>
      <c r="M12" s="33"/>
      <c r="N12" s="33">
        <f>$C$32*'E Balans VL '!Y8/100/3.6*1000000</f>
        <v>5032.0654123707545</v>
      </c>
      <c r="O12" s="33"/>
      <c r="P12" s="33"/>
      <c r="R12" s="32"/>
    </row>
    <row r="13" spans="1:18">
      <c r="A13" s="16" t="s">
        <v>482</v>
      </c>
      <c r="B13" s="247">
        <f ca="1">'lokale energieproductie'!N91+'lokale energieproductie'!N60</f>
        <v>5646</v>
      </c>
      <c r="C13" s="247">
        <f ca="1">'lokale energieproductie'!O91+'lokale energieproductie'!O60</f>
        <v>5414.4910714285716</v>
      </c>
      <c r="D13" s="310">
        <f ca="1">('lokale energieproductie'!P60+'lokale energieproductie'!P91)*(-1)</f>
        <v>-10722.857142857143</v>
      </c>
      <c r="E13" s="248"/>
      <c r="F13" s="310">
        <f ca="1">('lokale energieproductie'!S60+'lokale energieproductie'!S91)*(-1)</f>
        <v>0</v>
      </c>
      <c r="G13" s="249"/>
      <c r="H13" s="248"/>
      <c r="I13" s="248"/>
      <c r="J13" s="248"/>
      <c r="K13" s="248"/>
      <c r="L13" s="310">
        <f ca="1">('lokale energieproductie'!U60+'lokale energieproductie'!T60+'lokale energieproductie'!U91+'lokale energieproductie'!T91)*(-1)</f>
        <v>-101.25</v>
      </c>
      <c r="M13" s="248"/>
      <c r="N13" s="310">
        <f ca="1">('lokale energieproductie'!Q60+'lokale energieproductie'!R60+'lokale energieproductie'!V60+'lokale energieproductie'!Q91+'lokale energieproductie'!R91+'lokale energieproductie'!V91)*(-1)</f>
        <v>-5310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719316.97253000014</v>
      </c>
      <c r="C16" s="21">
        <f t="shared" ca="1" si="1"/>
        <v>5414.4910714285716</v>
      </c>
      <c r="D16" s="21">
        <f t="shared" ca="1" si="1"/>
        <v>819826.09218086279</v>
      </c>
      <c r="E16" s="21">
        <f t="shared" si="1"/>
        <v>9638.1591253773677</v>
      </c>
      <c r="F16" s="21">
        <f t="shared" ca="1" si="1"/>
        <v>79512.336627302284</v>
      </c>
      <c r="G16" s="21">
        <f t="shared" si="1"/>
        <v>0</v>
      </c>
      <c r="H16" s="21">
        <f t="shared" si="1"/>
        <v>0</v>
      </c>
      <c r="I16" s="21">
        <f t="shared" si="1"/>
        <v>0</v>
      </c>
      <c r="J16" s="21">
        <f t="shared" si="1"/>
        <v>0.83821912146822097</v>
      </c>
      <c r="K16" s="21">
        <f t="shared" si="1"/>
        <v>0</v>
      </c>
      <c r="L16" s="21">
        <f t="shared" ca="1" si="1"/>
        <v>0</v>
      </c>
      <c r="M16" s="21">
        <f t="shared" si="1"/>
        <v>0</v>
      </c>
      <c r="N16" s="21">
        <f t="shared" ca="1" si="1"/>
        <v>28529.321829268913</v>
      </c>
      <c r="O16" s="21">
        <f>O5</f>
        <v>151.8150837410758</v>
      </c>
      <c r="P16" s="21">
        <f>P5</f>
        <v>1523.6350108883557</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0.18625829501507271</v>
      </c>
      <c r="C18" s="25">
        <f ca="1">'EF ele_warmte'!B22</f>
        <v>0.23590340731829401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133978.75287884171</v>
      </c>
      <c r="C20" s="23">
        <f t="shared" ref="C20:P20" ca="1" si="2">C16*C18</f>
        <v>1277.2968926444805</v>
      </c>
      <c r="D20" s="23">
        <f t="shared" ca="1" si="2"/>
        <v>165604.87062053429</v>
      </c>
      <c r="E20" s="23">
        <f t="shared" si="2"/>
        <v>2187.8621214606624</v>
      </c>
      <c r="F20" s="23">
        <f t="shared" ca="1" si="2"/>
        <v>21229.793879489713</v>
      </c>
      <c r="G20" s="23">
        <f t="shared" si="2"/>
        <v>0</v>
      </c>
      <c r="H20" s="23">
        <f t="shared" si="2"/>
        <v>0</v>
      </c>
      <c r="I20" s="23">
        <f t="shared" si="2"/>
        <v>0</v>
      </c>
      <c r="J20" s="23">
        <f t="shared" si="2"/>
        <v>0.29672956899975023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184438.93980000002</v>
      </c>
      <c r="C26" s="39">
        <f>IF(ISERROR(B26*3.6/1000000/'E Balans VL '!Z12*100),0,B26*3.6/1000000/'E Balans VL '!Z12*100)</f>
        <v>3.9127033656043753</v>
      </c>
      <c r="D26" s="237" t="s">
        <v>716</v>
      </c>
      <c r="F26" s="6"/>
    </row>
    <row r="27" spans="1:18">
      <c r="A27" s="231" t="s">
        <v>52</v>
      </c>
      <c r="B27" s="33">
        <f>IF(ISERROR(TER_horeca_ele_kWh/1000),0,TER_horeca_ele_kWh/1000)</f>
        <v>92057.32534000001</v>
      </c>
      <c r="C27" s="39">
        <f>IF(ISERROR(B27*3.6/1000000/'E Balans VL '!Z9*100),0,B27*3.6/1000000/'E Balans VL '!Z9*100)</f>
        <v>6.932732088522199</v>
      </c>
      <c r="D27" s="237" t="s">
        <v>716</v>
      </c>
      <c r="F27" s="6"/>
    </row>
    <row r="28" spans="1:18">
      <c r="A28" s="171" t="s">
        <v>51</v>
      </c>
      <c r="B28" s="33">
        <f>IF(ISERROR(TER_handel_ele_kWh/1000),0,TER_handel_ele_kWh/1000)</f>
        <v>160884.30309999999</v>
      </c>
      <c r="C28" s="39">
        <f>IF(ISERROR(B28*3.6/1000000/'E Balans VL '!Z13*100),0,B28*3.6/1000000/'E Balans VL '!Z13*100)</f>
        <v>4.6699012614301978</v>
      </c>
      <c r="D28" s="237" t="s">
        <v>716</v>
      </c>
      <c r="F28" s="6"/>
    </row>
    <row r="29" spans="1:18">
      <c r="A29" s="231" t="s">
        <v>50</v>
      </c>
      <c r="B29" s="33">
        <f>IF(ISERROR(TER_gezond_ele_kWh/1000),0,TER_gezond_ele_kWh/1000)</f>
        <v>99801.704110000006</v>
      </c>
      <c r="C29" s="39">
        <f>IF(ISERROR(B29*3.6/1000000/'E Balans VL '!Z10*100),0,B29*3.6/1000000/'E Balans VL '!Z10*100)</f>
        <v>10.065120877873165</v>
      </c>
      <c r="D29" s="237" t="s">
        <v>716</v>
      </c>
      <c r="F29" s="6"/>
    </row>
    <row r="30" spans="1:18">
      <c r="A30" s="231" t="s">
        <v>49</v>
      </c>
      <c r="B30" s="33">
        <f>IF(ISERROR(TER_ander_ele_kWh/1000),0,TER_ander_ele_kWh/1000)</f>
        <v>41873.920030000001</v>
      </c>
      <c r="C30" s="39">
        <f>IF(ISERROR(B30*3.6/1000000/'E Balans VL '!Z14*100),0,B30*3.6/1000000/'E Balans VL '!Z14*100)</f>
        <v>3.0385241631900541</v>
      </c>
      <c r="D30" s="237" t="s">
        <v>716</v>
      </c>
      <c r="F30" s="6"/>
    </row>
    <row r="31" spans="1:18">
      <c r="A31" s="231" t="s">
        <v>54</v>
      </c>
      <c r="B31" s="33">
        <f>IF(ISERROR(TER_onderwijs_ele_kWh/1000),0,TER_onderwijs_ele_kWh/1000)</f>
        <v>68155.774709999998</v>
      </c>
      <c r="C31" s="39">
        <f>IF(ISERROR(B31*3.6/1000000/'E Balans VL '!Z11*100),0,B31*3.6/1000000/'E Balans VL '!Z11*100)</f>
        <v>19.427171224730387</v>
      </c>
      <c r="D31" s="237" t="s">
        <v>716</v>
      </c>
    </row>
    <row r="32" spans="1:18">
      <c r="A32" s="231" t="s">
        <v>259</v>
      </c>
      <c r="B32" s="33">
        <f>IF(ISERROR(TER_rest_ele_kWh/1000),0,TER_rest_ele_kWh/1000)</f>
        <v>66459.005439999994</v>
      </c>
      <c r="C32" s="39">
        <f>IF(ISERROR(B32*3.6/1000000/'E Balans VL '!Z8*100),0,B32*3.6/1000000/'E Balans VL '!Z8*100)</f>
        <v>0.54441863549884828</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31</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29</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350470.88118899998</v>
      </c>
      <c r="C5" s="17">
        <f>IF(ISERROR('Eigen informatie GS &amp; warmtenet'!B61),0,'Eigen informatie GS &amp; warmtenet'!B61)</f>
        <v>0</v>
      </c>
      <c r="D5" s="30">
        <f>SUM(D6:D15)</f>
        <v>270705.84228195198</v>
      </c>
      <c r="E5" s="17">
        <f>SUM(E6:E15)</f>
        <v>15949.393560889814</v>
      </c>
      <c r="F5" s="17">
        <f>SUM(F6:F15)</f>
        <v>70910.808138249951</v>
      </c>
      <c r="G5" s="18"/>
      <c r="H5" s="17"/>
      <c r="I5" s="17"/>
      <c r="J5" s="17">
        <f>SUM(J6:J15)</f>
        <v>2781.4205217909871</v>
      </c>
      <c r="K5" s="17"/>
      <c r="L5" s="17"/>
      <c r="M5" s="17"/>
      <c r="N5" s="17">
        <f>SUM(N6:N15)</f>
        <v>23241.94673487392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26193.330590000001</v>
      </c>
      <c r="C8" s="33"/>
      <c r="D8" s="37">
        <f>IF( ISERROR(IND_metaal_Gas_kWH/1000),0,IND_metaal_Gas_kWH/1000)*0.902</f>
        <v>12924.937047000001</v>
      </c>
      <c r="E8" s="33">
        <f>C30*'E Balans VL '!I18/100/3.6*1000000</f>
        <v>188.96649600926284</v>
      </c>
      <c r="F8" s="33">
        <f>C30*'E Balans VL '!L18/100/3.6*1000000+C30*'E Balans VL '!N18/100/3.6*1000000</f>
        <v>2477.4061026301542</v>
      </c>
      <c r="G8" s="34"/>
      <c r="H8" s="33"/>
      <c r="I8" s="33"/>
      <c r="J8" s="40">
        <f>C30*'E Balans VL '!D18/100/3.6*1000000+C30*'E Balans VL '!E18/100/3.6*1000000</f>
        <v>26.345404122055402</v>
      </c>
      <c r="K8" s="33"/>
      <c r="L8" s="33"/>
      <c r="M8" s="33"/>
      <c r="N8" s="33">
        <f>C30*'E Balans VL '!Y18/100/3.6*1000000</f>
        <v>331.15299936852784</v>
      </c>
      <c r="O8" s="33"/>
      <c r="P8" s="33"/>
      <c r="R8" s="32"/>
    </row>
    <row r="9" spans="1:18">
      <c r="A9" s="6" t="s">
        <v>32</v>
      </c>
      <c r="B9" s="37">
        <f t="shared" si="0"/>
        <v>24321.629149999997</v>
      </c>
      <c r="C9" s="33"/>
      <c r="D9" s="37">
        <f>IF( ISERROR(IND_andere_gas_kWh/1000),0,IND_andere_gas_kWh/1000)*0.902</f>
        <v>24331.631662799999</v>
      </c>
      <c r="E9" s="33">
        <f>C31*'E Balans VL '!I19/100/3.6*1000000</f>
        <v>6739.8486583911372</v>
      </c>
      <c r="F9" s="33">
        <f>C31*'E Balans VL '!L19/100/3.6*1000000+C31*'E Balans VL '!N19/100/3.6*1000000</f>
        <v>20157.818798965662</v>
      </c>
      <c r="G9" s="34"/>
      <c r="H9" s="33"/>
      <c r="I9" s="33"/>
      <c r="J9" s="40">
        <f>C31*'E Balans VL '!D19/100/3.6*1000000+C31*'E Balans VL '!E19/100/3.6*1000000</f>
        <v>0</v>
      </c>
      <c r="K9" s="33"/>
      <c r="L9" s="33"/>
      <c r="M9" s="33"/>
      <c r="N9" s="33">
        <f>C31*'E Balans VL '!Y19/100/3.6*1000000</f>
        <v>1765.4527905602065</v>
      </c>
      <c r="O9" s="33"/>
      <c r="P9" s="33"/>
      <c r="R9" s="32"/>
    </row>
    <row r="10" spans="1:18">
      <c r="A10" s="6" t="s">
        <v>40</v>
      </c>
      <c r="B10" s="37">
        <f t="shared" si="0"/>
        <v>54797.40812</v>
      </c>
      <c r="C10" s="33"/>
      <c r="D10" s="37">
        <f>IF( ISERROR(IND_voed_gas_kWh/1000),0,IND_voed_gas_kWh/1000)*0.902</f>
        <v>22960.175867859998</v>
      </c>
      <c r="E10" s="33">
        <f>C32*'E Balans VL '!I20/100/3.6*1000000</f>
        <v>97.009973444533742</v>
      </c>
      <c r="F10" s="33">
        <f>C32*'E Balans VL '!L20/100/3.6*1000000+C32*'E Balans VL '!N20/100/3.6*1000000</f>
        <v>2959.5457035516806</v>
      </c>
      <c r="G10" s="34"/>
      <c r="H10" s="33"/>
      <c r="I10" s="33"/>
      <c r="J10" s="40">
        <f>C32*'E Balans VL '!D20/100/3.6*1000000+C32*'E Balans VL '!E20/100/3.6*1000000</f>
        <v>0</v>
      </c>
      <c r="K10" s="33"/>
      <c r="L10" s="33"/>
      <c r="M10" s="33"/>
      <c r="N10" s="33">
        <f>C32*'E Balans VL '!Y20/100/3.6*1000000</f>
        <v>3184.1479047926077</v>
      </c>
      <c r="O10" s="33"/>
      <c r="P10" s="33"/>
      <c r="R10" s="32"/>
    </row>
    <row r="11" spans="1:18">
      <c r="A11" s="6" t="s">
        <v>39</v>
      </c>
      <c r="B11" s="37">
        <f t="shared" si="0"/>
        <v>310.429079</v>
      </c>
      <c r="C11" s="33"/>
      <c r="D11" s="37">
        <f>IF( ISERROR(IND_textiel_gas_kWh/1000),0,IND_textiel_gas_kWh/1000)*0.902</f>
        <v>297.50602318800003</v>
      </c>
      <c r="E11" s="33">
        <f>C33*'E Balans VL '!I21/100/3.6*1000000</f>
        <v>1.0942947244519721</v>
      </c>
      <c r="F11" s="33">
        <f>C33*'E Balans VL '!L21/100/3.6*1000000+C33*'E Balans VL '!N21/100/3.6*1000000</f>
        <v>9.1115576722937845</v>
      </c>
      <c r="G11" s="34"/>
      <c r="H11" s="33"/>
      <c r="I11" s="33"/>
      <c r="J11" s="40">
        <f>C33*'E Balans VL '!D21/100/3.6*1000000+C33*'E Balans VL '!E21/100/3.6*1000000</f>
        <v>0</v>
      </c>
      <c r="K11" s="33"/>
      <c r="L11" s="33"/>
      <c r="M11" s="33"/>
      <c r="N11" s="33">
        <f>C33*'E Balans VL '!Y21/100/3.6*1000000</f>
        <v>13.677460783973213</v>
      </c>
      <c r="O11" s="33"/>
      <c r="P11" s="33"/>
      <c r="R11" s="32"/>
    </row>
    <row r="12" spans="1:18">
      <c r="A12" s="6" t="s">
        <v>36</v>
      </c>
      <c r="B12" s="37">
        <f t="shared" si="0"/>
        <v>51171.165869999997</v>
      </c>
      <c r="C12" s="33"/>
      <c r="D12" s="37">
        <f>IF( ISERROR(IND_min_gas_kWh/1000),0,IND_min_gas_kWh/1000)*0.902</f>
        <v>163.20279903400001</v>
      </c>
      <c r="E12" s="33">
        <f>C34*'E Balans VL '!I22/100/3.6*1000000</f>
        <v>2253.3956156270669</v>
      </c>
      <c r="F12" s="33">
        <f>C34*'E Balans VL '!L22/100/3.6*1000000+C34*'E Balans VL '!N22/100/3.6*1000000</f>
        <v>20009.992431338094</v>
      </c>
      <c r="G12" s="34"/>
      <c r="H12" s="33"/>
      <c r="I12" s="33"/>
      <c r="J12" s="40">
        <f>C34*'E Balans VL '!D22/100/3.6*1000000+C34*'E Balans VL '!E22/100/3.6*1000000</f>
        <v>15.537384374685791</v>
      </c>
      <c r="K12" s="33"/>
      <c r="L12" s="33"/>
      <c r="M12" s="33"/>
      <c r="N12" s="33">
        <f>C34*'E Balans VL '!Y22/100/3.6*1000000</f>
        <v>12658.195689963059</v>
      </c>
      <c r="O12" s="33"/>
      <c r="P12" s="33"/>
      <c r="R12" s="32"/>
    </row>
    <row r="13" spans="1:18">
      <c r="A13" s="6" t="s">
        <v>38</v>
      </c>
      <c r="B13" s="37">
        <f t="shared" si="0"/>
        <v>14564.94541</v>
      </c>
      <c r="C13" s="33"/>
      <c r="D13" s="37">
        <f>IF( ISERROR(IND_papier_gas_kWh/1000),0,IND_papier_gas_kWh/1000)*0.902</f>
        <v>2235.5499169300001</v>
      </c>
      <c r="E13" s="33">
        <f>C35*'E Balans VL '!I23/100/3.6*1000000</f>
        <v>21.430036011629543</v>
      </c>
      <c r="F13" s="33">
        <f>C35*'E Balans VL '!L23/100/3.6*1000000+C35*'E Balans VL '!N23/100/3.6*1000000</f>
        <v>155.95133506194293</v>
      </c>
      <c r="G13" s="34"/>
      <c r="H13" s="33"/>
      <c r="I13" s="33"/>
      <c r="J13" s="40">
        <f>C35*'E Balans VL '!D23/100/3.6*1000000+C35*'E Balans VL '!E23/100/3.6*1000000</f>
        <v>1593.4867037938261</v>
      </c>
      <c r="K13" s="33"/>
      <c r="L13" s="33"/>
      <c r="M13" s="33"/>
      <c r="N13" s="33">
        <f>C35*'E Balans VL '!Y23/100/3.6*1000000</f>
        <v>-131.9459251835946</v>
      </c>
      <c r="O13" s="33"/>
      <c r="P13" s="33"/>
      <c r="R13" s="32"/>
    </row>
    <row r="14" spans="1:18">
      <c r="A14" s="6" t="s">
        <v>33</v>
      </c>
      <c r="B14" s="37">
        <f t="shared" si="0"/>
        <v>40385.255770000003</v>
      </c>
      <c r="C14" s="33"/>
      <c r="D14" s="37">
        <f>IF( ISERROR(IND_chemie_gas_kWh/1000),0,IND_chemie_gas_kWh/1000)*0.902</f>
        <v>28190.05858614</v>
      </c>
      <c r="E14" s="33">
        <f>C36*'E Balans VL '!I24/100/3.6*1000000</f>
        <v>91.343314191855924</v>
      </c>
      <c r="F14" s="33">
        <f>C36*'E Balans VL '!L24/100/3.6*1000000+C36*'E Balans VL '!N24/100/3.6*1000000</f>
        <v>476.82755205435956</v>
      </c>
      <c r="G14" s="34"/>
      <c r="H14" s="33"/>
      <c r="I14" s="33"/>
      <c r="J14" s="40">
        <f>C36*'E Balans VL '!D24/100/3.6*1000000+C36*'E Balans VL '!E24/100/3.6*1000000</f>
        <v>0</v>
      </c>
      <c r="K14" s="33"/>
      <c r="L14" s="33"/>
      <c r="M14" s="33"/>
      <c r="N14" s="33">
        <f>C36*'E Balans VL '!Y24/100/3.6*1000000</f>
        <v>22.183016521437171</v>
      </c>
      <c r="O14" s="33"/>
      <c r="P14" s="33"/>
      <c r="R14" s="32"/>
    </row>
    <row r="15" spans="1:18">
      <c r="A15" s="6" t="s">
        <v>269</v>
      </c>
      <c r="B15" s="37">
        <f t="shared" si="0"/>
        <v>138726.71719999998</v>
      </c>
      <c r="C15" s="33"/>
      <c r="D15" s="37">
        <f>IF( ISERROR(IND_rest_gas_kWh/1000),0,IND_rest_gas_kWh/1000)*0.902</f>
        <v>179602.780379</v>
      </c>
      <c r="E15" s="33">
        <f>C37*'E Balans VL '!I15/100/3.6*1000000</f>
        <v>6556.3051724898751</v>
      </c>
      <c r="F15" s="33">
        <f>C37*'E Balans VL '!L15/100/3.6*1000000+C37*'E Balans VL '!N15/100/3.6*1000000</f>
        <v>24664.154656975767</v>
      </c>
      <c r="G15" s="34"/>
      <c r="H15" s="33"/>
      <c r="I15" s="33"/>
      <c r="J15" s="40">
        <f>C37*'E Balans VL '!D15/100/3.6*1000000+C37*'E Balans VL '!E15/100/3.6*1000000</f>
        <v>1146.0510295004199</v>
      </c>
      <c r="K15" s="33"/>
      <c r="L15" s="33"/>
      <c r="M15" s="33"/>
      <c r="N15" s="33">
        <f>C37*'E Balans VL '!Y15/100/3.6*1000000</f>
        <v>5399.0827980677013</v>
      </c>
      <c r="O15" s="33"/>
      <c r="P15" s="33"/>
      <c r="R15" s="32"/>
    </row>
    <row r="16" spans="1:18">
      <c r="A16" s="16" t="s">
        <v>482</v>
      </c>
      <c r="B16" s="247">
        <f>'lokale energieproductie'!N90+'lokale energieproductie'!N59</f>
        <v>1125</v>
      </c>
      <c r="C16" s="247">
        <f>'lokale energieproductie'!O90+'lokale energieproductie'!O59</f>
        <v>1607.1428571428571</v>
      </c>
      <c r="D16" s="310">
        <f>('lokale energieproductie'!P59+'lokale energieproductie'!P90)*(-1)</f>
        <v>-3214.2857142857147</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351595.88118899998</v>
      </c>
      <c r="C18" s="21">
        <f>C5+C16</f>
        <v>1607.1428571428571</v>
      </c>
      <c r="D18" s="21">
        <f>MAX((D5+D16),0)</f>
        <v>267491.55656766624</v>
      </c>
      <c r="E18" s="21">
        <f>MAX((E5+E16),0)</f>
        <v>15949.393560889814</v>
      </c>
      <c r="F18" s="21">
        <f>MAX((F5+F16),0)</f>
        <v>70910.808138249951</v>
      </c>
      <c r="G18" s="21"/>
      <c r="H18" s="21"/>
      <c r="I18" s="21"/>
      <c r="J18" s="21">
        <f>MAX((J5+J16),0)</f>
        <v>2781.4205217909871</v>
      </c>
      <c r="K18" s="21"/>
      <c r="L18" s="21">
        <f>MAX((L5+L16),0)</f>
        <v>0</v>
      </c>
      <c r="M18" s="21"/>
      <c r="N18" s="21">
        <f>MAX((N5+N16),0)</f>
        <v>23241.94673487392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0.18625829501507271</v>
      </c>
      <c r="C20" s="25">
        <f ca="1">'EF ele_warmte'!B22</f>
        <v>0.23590340731829401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65487.64936458521</v>
      </c>
      <c r="C22" s="23">
        <f ca="1">C18*C20</f>
        <v>379.13047604725824</v>
      </c>
      <c r="D22" s="23">
        <f>D18*D20</f>
        <v>54033.294426668581</v>
      </c>
      <c r="E22" s="23">
        <f>E18*E20</f>
        <v>3620.512338321988</v>
      </c>
      <c r="F22" s="23">
        <f>F18*F20</f>
        <v>18933.185772912737</v>
      </c>
      <c r="G22" s="23"/>
      <c r="H22" s="23"/>
      <c r="I22" s="23"/>
      <c r="J22" s="23">
        <f>J18*J20</f>
        <v>984.62286471400932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26193.330590000001</v>
      </c>
      <c r="C30" s="39">
        <f>IF(ISERROR(B30*3.6/1000000/'E Balans VL '!Z18*100),0,B30*3.6/1000000/'E Balans VL '!Z18*100)</f>
        <v>1.5121001042584019</v>
      </c>
      <c r="D30" s="237" t="s">
        <v>716</v>
      </c>
    </row>
    <row r="31" spans="1:18">
      <c r="A31" s="6" t="s">
        <v>32</v>
      </c>
      <c r="B31" s="37">
        <f>IF( ISERROR(IND_ander_ele_kWh/1000),0,IND_ander_ele_kWh/1000)</f>
        <v>24321.629149999997</v>
      </c>
      <c r="C31" s="39">
        <f>IF(ISERROR(B31*3.6/1000000/'E Balans VL '!Z19*100),0,B31*3.6/1000000/'E Balans VL '!Z19*100)</f>
        <v>1.2232991107366977</v>
      </c>
      <c r="D31" s="237" t="s">
        <v>716</v>
      </c>
    </row>
    <row r="32" spans="1:18">
      <c r="A32" s="171" t="s">
        <v>40</v>
      </c>
      <c r="B32" s="37">
        <f>IF( ISERROR(IND_voed_ele_kWh/1000),0,IND_voed_ele_kWh/1000)</f>
        <v>54797.40812</v>
      </c>
      <c r="C32" s="39">
        <f>IF(ISERROR(B32*3.6/1000000/'E Balans VL '!Z20*100),0,B32*3.6/1000000/'E Balans VL '!Z20*100)</f>
        <v>1.8250790909998518</v>
      </c>
      <c r="D32" s="237" t="s">
        <v>716</v>
      </c>
    </row>
    <row r="33" spans="1:5">
      <c r="A33" s="171" t="s">
        <v>39</v>
      </c>
      <c r="B33" s="37">
        <f>IF( ISERROR(IND_textiel_ele_kWh/1000),0,IND_textiel_ele_kWh/1000)</f>
        <v>310.429079</v>
      </c>
      <c r="C33" s="39">
        <f>IF(ISERROR(B33*3.6/1000000/'E Balans VL '!Z21*100),0,B33*3.6/1000000/'E Balans VL '!Z21*100)</f>
        <v>4.8399844380946334E-2</v>
      </c>
      <c r="D33" s="237" t="s">
        <v>716</v>
      </c>
    </row>
    <row r="34" spans="1:5">
      <c r="A34" s="171" t="s">
        <v>36</v>
      </c>
      <c r="B34" s="37">
        <f>IF( ISERROR(IND_min_ele_kWh/1000),0,IND_min_ele_kWh/1000)</f>
        <v>51171.165869999997</v>
      </c>
      <c r="C34" s="39">
        <f>IF(ISERROR(B34*3.6/1000000/'E Balans VL '!Z22*100),0,B34*3.6/1000000/'E Balans VL '!Z22*100)</f>
        <v>9.5451508103866711</v>
      </c>
      <c r="D34" s="237" t="s">
        <v>716</v>
      </c>
    </row>
    <row r="35" spans="1:5">
      <c r="A35" s="171" t="s">
        <v>38</v>
      </c>
      <c r="B35" s="37">
        <f>IF( ISERROR(IND_papier_ele_kWh/1000),0,IND_papier_ele_kWh/1000)</f>
        <v>14564.94541</v>
      </c>
      <c r="C35" s="39">
        <f>IF(ISERROR(B35*3.6/1000000/'E Balans VL '!Z22*100),0,B35*3.6/1000000/'E Balans VL '!Z22*100)</f>
        <v>2.7168542697793949</v>
      </c>
      <c r="D35" s="237" t="s">
        <v>716</v>
      </c>
    </row>
    <row r="36" spans="1:5">
      <c r="A36" s="171" t="s">
        <v>33</v>
      </c>
      <c r="B36" s="37">
        <f>IF( ISERROR(IND_chemie_ele_kWh/1000),0,IND_chemie_ele_kWh/1000)</f>
        <v>40385.255770000003</v>
      </c>
      <c r="C36" s="39">
        <f>IF(ISERROR(B36*3.6/1000000/'E Balans VL '!Z24*100),0,B36*3.6/1000000/'E Balans VL '!Z24*100)</f>
        <v>1.0652108773799358</v>
      </c>
      <c r="D36" s="237" t="s">
        <v>716</v>
      </c>
    </row>
    <row r="37" spans="1:5">
      <c r="A37" s="171" t="s">
        <v>269</v>
      </c>
      <c r="B37" s="37">
        <f>IF( ISERROR(IND_rest_ele_kWh/1000),0,IND_rest_ele_kWh/1000)</f>
        <v>138726.71719999998</v>
      </c>
      <c r="C37" s="39">
        <f>IF(ISERROR(B37*3.6/1000000/'E Balans VL '!Z15*100),0,B37*3.6/1000000/'E Balans VL '!Z15*100)</f>
        <v>1.0824477605681728</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3187.3418360000001</v>
      </c>
      <c r="C5" s="17">
        <f>'Eigen informatie GS &amp; warmtenet'!B62</f>
        <v>0</v>
      </c>
      <c r="D5" s="30">
        <f>IF(ISERROR(SUM(LB_lb_gas_kWh,LB_rest_gas_kWh)/1000),0,SUM(LB_lb_gas_kWh,LB_rest_gas_kWh)/1000)*0.902</f>
        <v>5332.3719018239999</v>
      </c>
      <c r="E5" s="17">
        <f>B17*'E Balans VL '!I25/3.6*1000000/100</f>
        <v>99.475887645889003</v>
      </c>
      <c r="F5" s="17">
        <f>B17*('E Balans VL '!L25/3.6*1000000+'E Balans VL '!N25/3.6*1000000)/100</f>
        <v>11264.419132627794</v>
      </c>
      <c r="G5" s="18"/>
      <c r="H5" s="17"/>
      <c r="I5" s="17"/>
      <c r="J5" s="17">
        <f>('E Balans VL '!D25+'E Balans VL '!E25)/3.6*1000000*landbouw!B17/100</f>
        <v>878.13477983991424</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3187.3418360000001</v>
      </c>
      <c r="C8" s="21">
        <f>C5+C6</f>
        <v>0</v>
      </c>
      <c r="D8" s="21">
        <f>MAX((D5+D6),0)</f>
        <v>5332.3719018239999</v>
      </c>
      <c r="E8" s="21">
        <f>MAX((E5+E6),0)</f>
        <v>99.475887645889003</v>
      </c>
      <c r="F8" s="21">
        <f>MAX((F5+F6),0)</f>
        <v>11264.419132627794</v>
      </c>
      <c r="G8" s="21"/>
      <c r="H8" s="21"/>
      <c r="I8" s="21"/>
      <c r="J8" s="21">
        <f>MAX((J5+J6),0)</f>
        <v>878.13477983991424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0.18625829501507271</v>
      </c>
      <c r="C10" s="31">
        <f ca="1">'EF ele_warmte'!B22</f>
        <v>0.23590340731829401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593.66885600357148</v>
      </c>
      <c r="C12" s="23">
        <f ca="1">C8*C10</f>
        <v>0</v>
      </c>
      <c r="D12" s="23">
        <f>D8*D10</f>
        <v>1077.139124168448</v>
      </c>
      <c r="E12" s="23">
        <f>E8*E10</f>
        <v>22.581026495616804</v>
      </c>
      <c r="F12" s="23">
        <f>F8*F10</f>
        <v>3007.5999084116211</v>
      </c>
      <c r="G12" s="23"/>
      <c r="H12" s="23"/>
      <c r="I12" s="23"/>
      <c r="J12" s="23">
        <f>J8*J10</f>
        <v>310.85971206332965</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0.47382121295199031</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450.9940121182575</v>
      </c>
      <c r="C26" s="247">
        <f>B26*'GWP N2O_CH4'!B5</f>
        <v>9470.8742544834076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88.858754929877222</v>
      </c>
      <c r="C27" s="247">
        <f>B27*'GWP N2O_CH4'!B5</f>
        <v>1866.0338535274216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5.2252222867797986</v>
      </c>
      <c r="C28" s="247">
        <f>B28*'GWP N2O_CH4'!B4</f>
        <v>1619.8189089017376</v>
      </c>
      <c r="D28" s="50"/>
    </row>
    <row r="29" spans="1:4">
      <c r="A29" s="41" t="s">
        <v>276</v>
      </c>
      <c r="B29" s="247">
        <f>B34*'ha_N2O bodem landbouw'!B4</f>
        <v>21.082678573031313</v>
      </c>
      <c r="C29" s="247">
        <f>B29*'GWP N2O_CH4'!B4</f>
        <v>6535.6303576397067</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4.6230518259729606E-3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3.7223691799799993E-3</v>
      </c>
      <c r="C5" s="463" t="s">
        <v>210</v>
      </c>
      <c r="D5" s="448">
        <f>SUM(D6:D11)</f>
        <v>1.5019958960533996E-2</v>
      </c>
      <c r="E5" s="448">
        <f>SUM(E6:E11)</f>
        <v>1.2982100247456848E-2</v>
      </c>
      <c r="F5" s="461" t="s">
        <v>210</v>
      </c>
      <c r="G5" s="448">
        <f>SUM(G6:G11)</f>
        <v>5.8242859106824456</v>
      </c>
      <c r="H5" s="448">
        <f>SUM(H6:H11)</f>
        <v>1.1425044410840841</v>
      </c>
      <c r="I5" s="463" t="s">
        <v>210</v>
      </c>
      <c r="J5" s="463" t="s">
        <v>210</v>
      </c>
      <c r="K5" s="463" t="s">
        <v>210</v>
      </c>
      <c r="L5" s="463" t="s">
        <v>210</v>
      </c>
      <c r="M5" s="448">
        <f>SUM(M6:M11)</f>
        <v>0.41090992525630216</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1.0881409532899999E-3</v>
      </c>
      <c r="C6" s="449"/>
      <c r="D6" s="917">
        <f>vkm_2011_GW_PW*SUMIFS(TableVerdeelsleutelVkm[CNG],TableVerdeelsleutelVkm[Voertuigtype],"Lichte voertuigen")*SUMIFS(TableECFTransport[EnergieConsumptieFactor (PJ per km)],TableECFTransport[Index],CONCATENATE($A6,"_CNG_CNG"))</f>
        <v>3.7836514403373845E-3</v>
      </c>
      <c r="E6" s="917">
        <f>vkm_2011_GW_PW*SUMIFS(TableVerdeelsleutelVkm[LPG],TableVerdeelsleutelVkm[Voertuigtype],"Lichte voertuigen")*SUMIFS(TableECFTransport[EnergieConsumptieFactor (PJ per km)],TableECFTransport[Index],CONCATENATE($A6,"_LPG_LPG"))</f>
        <v>2.9808939587927996E-3</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0.8114339957513822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0.28394800433358713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6.5455959362255803E-2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0.78358261901050907</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1.9740971256737347E-4</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4.5183821894727028E-2</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6.6119461657499986E-4</v>
      </c>
      <c r="C8" s="449"/>
      <c r="D8" s="451">
        <f>vkm_2011_NGW_PW*SUMIFS(TableVerdeelsleutelVkm[CNG],TableVerdeelsleutelVkm[Voertuigtype],"Lichte voertuigen")*SUMIFS(TableECFTransport[EnergieConsumptieFactor (PJ per km)],TableECFTransport[Index],CONCATENATE($A8,"_CNG_CNG"))</f>
        <v>4.0687921282931997E-3</v>
      </c>
      <c r="E8" s="451">
        <f>vkm_2011_NGW_PW*SUMIFS(TableVerdeelsleutelVkm[LPG],TableVerdeelsleutelVkm[Voertuigtype],"Lichte voertuigen")*SUMIFS(TableECFTransport[EnergieConsumptieFactor (PJ per km)],TableECFTransport[Index],CONCATENATE($A8,"_LPG_LPG"))</f>
        <v>2.971731594539625E-3</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0.75067156473687691</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0.29753221898780036</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6.2846855650916633E-2</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0.31695046036869973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7.5342876929892279E-5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1.8276057262590972E-2</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1.9730336101149997E-3</v>
      </c>
      <c r="C10" s="449"/>
      <c r="D10" s="451">
        <f>vkm_2011_SW_PW*SUMIFS(TableVerdeelsleutelVkm[CNG],TableVerdeelsleutelVkm[Voertuigtype],"Lichte voertuigen")*SUMIFS(TableECFTransport[EnergieConsumptieFactor (PJ per km)],TableECFTransport[Index],CONCATENATE($A10,"_CNG_CNG"))</f>
        <v>7.1675153919034118E-3</v>
      </c>
      <c r="E10" s="451">
        <f>vkm_2011_SW_PW*SUMIFS(TableVerdeelsleutelVkm[LPG],TableVerdeelsleutelVkm[Voertuigtype],"Lichte voertuigen")*SUMIFS(TableECFTransport[EnergieConsumptieFactor (PJ per km)],TableECFTransport[Index],CONCATENATE($A10,"_LPG_LPG"))</f>
        <v>7.0294746941244237E-3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1.6997644985848706</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0.56035257197773725</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0.13484849031443497</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1.4618827722301064</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3.9889319546222512E-4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8.4298740771376779E-2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1033.9914388833331</v>
      </c>
      <c r="C14" s="21"/>
      <c r="D14" s="21">
        <f t="shared" ref="D14:M14" si="0">((D5)*10^9/3600)+D12</f>
        <v>4172.2108223705545</v>
      </c>
      <c r="E14" s="21">
        <f t="shared" si="0"/>
        <v>3606.1389576269025</v>
      </c>
      <c r="F14" s="21"/>
      <c r="G14" s="21">
        <f t="shared" si="0"/>
        <v>1617857.1974117905</v>
      </c>
      <c r="H14" s="21">
        <f t="shared" si="0"/>
        <v>317362.34474557888</v>
      </c>
      <c r="I14" s="21"/>
      <c r="J14" s="21"/>
      <c r="K14" s="21"/>
      <c r="L14" s="21"/>
      <c r="M14" s="21">
        <f t="shared" si="0"/>
        <v>114141.64590452838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0.18625829501507271</v>
      </c>
      <c r="C16" s="56">
        <f ca="1">'EF ele_warmte'!B22</f>
        <v>0.23590340731829401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192.58948246659139</v>
      </c>
      <c r="C18" s="23"/>
      <c r="D18" s="23">
        <f t="shared" ref="D18:M18" si="1">D14*D16</f>
        <v>842.78658611885203</v>
      </c>
      <c r="E18" s="23">
        <f t="shared" si="1"/>
        <v>818.59354338130686</v>
      </c>
      <c r="F18" s="23"/>
      <c r="G18" s="23">
        <f t="shared" si="1"/>
        <v>431967.87170894811</v>
      </c>
      <c r="H18" s="23">
        <f t="shared" si="1"/>
        <v>79023.223841649145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3.315347523E-2</v>
      </c>
      <c r="C50" s="321">
        <f t="shared" ref="C50:P50" si="2">SUM(C51:C52)</f>
        <v>0</v>
      </c>
      <c r="D50" s="321">
        <f t="shared" si="2"/>
        <v>0</v>
      </c>
      <c r="E50" s="321">
        <f t="shared" si="2"/>
        <v>0</v>
      </c>
      <c r="F50" s="321">
        <f t="shared" si="2"/>
        <v>0</v>
      </c>
      <c r="G50" s="321">
        <f t="shared" si="2"/>
        <v>0.12458959718384896</v>
      </c>
      <c r="H50" s="321">
        <f t="shared" si="2"/>
        <v>0</v>
      </c>
      <c r="I50" s="321">
        <f t="shared" si="2"/>
        <v>0</v>
      </c>
      <c r="J50" s="321">
        <f t="shared" si="2"/>
        <v>0</v>
      </c>
      <c r="K50" s="321">
        <f t="shared" si="2"/>
        <v>0</v>
      </c>
      <c r="L50" s="321">
        <f t="shared" si="2"/>
        <v>0</v>
      </c>
      <c r="M50" s="321">
        <f t="shared" si="2"/>
        <v>6.9247035965599698E-3</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0.12458959718384896</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6.9247035965599698E-3</v>
      </c>
      <c r="N51" s="323"/>
      <c r="O51" s="323"/>
      <c r="P51" s="326"/>
    </row>
    <row r="52" spans="1:18">
      <c r="A52" s="4" t="s">
        <v>329</v>
      </c>
      <c r="B52" s="918">
        <f>vkm_2011_tram*SUMIFS(TableECFTransport[EnergieConsumptieFactor (PJ per km)],TableECFTransport[Index],"Tram_gemiddeld_Electric_Electric")</f>
        <v>3.315347523E-2</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9209.298675</v>
      </c>
      <c r="C54" s="21">
        <f t="shared" ref="C54:P54" si="3">(C50)*10^9/3600</f>
        <v>0</v>
      </c>
      <c r="D54" s="21">
        <f t="shared" si="3"/>
        <v>0</v>
      </c>
      <c r="E54" s="21">
        <f t="shared" si="3"/>
        <v>0</v>
      </c>
      <c r="F54" s="21">
        <f t="shared" si="3"/>
        <v>0</v>
      </c>
      <c r="G54" s="21">
        <f t="shared" si="3"/>
        <v>34608.221439958048</v>
      </c>
      <c r="H54" s="21">
        <f t="shared" si="3"/>
        <v>0</v>
      </c>
      <c r="I54" s="21">
        <f t="shared" si="3"/>
        <v>0</v>
      </c>
      <c r="J54" s="21">
        <f t="shared" si="3"/>
        <v>0</v>
      </c>
      <c r="K54" s="21">
        <f t="shared" si="3"/>
        <v>0</v>
      </c>
      <c r="L54" s="21">
        <f t="shared" si="3"/>
        <v>0</v>
      </c>
      <c r="M54" s="21">
        <f t="shared" si="3"/>
        <v>1923.5287768222138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0.18625829501507271</v>
      </c>
      <c r="C56" s="56">
        <f ca="1">'EF ele_warmte'!B22</f>
        <v>0.23590340731829401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1715.3082694900681</v>
      </c>
      <c r="C58" s="23">
        <f t="shared" ref="C58:P58" ca="1" si="4">C54*C56</f>
        <v>0</v>
      </c>
      <c r="D58" s="23">
        <f t="shared" si="4"/>
        <v>0</v>
      </c>
      <c r="E58" s="23">
        <f t="shared" si="4"/>
        <v>0</v>
      </c>
      <c r="F58" s="23">
        <f t="shared" si="4"/>
        <v>0</v>
      </c>
      <c r="G58" s="23">
        <f t="shared" si="4"/>
        <v>9240.3951244687996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732725.44241000013</v>
      </c>
      <c r="D10" s="712">
        <f ca="1">tertiair!C16</f>
        <v>5414.4910714285716</v>
      </c>
      <c r="E10" s="712">
        <f ca="1">tertiair!D16</f>
        <v>819826.09218086279</v>
      </c>
      <c r="F10" s="712">
        <f>tertiair!E16</f>
        <v>9638.1591253773677</v>
      </c>
      <c r="G10" s="712">
        <f ca="1">tertiair!F16</f>
        <v>79512.336627302284</v>
      </c>
      <c r="H10" s="712">
        <f>tertiair!G16</f>
        <v>0</v>
      </c>
      <c r="I10" s="712">
        <f>tertiair!H16</f>
        <v>0</v>
      </c>
      <c r="J10" s="712">
        <f>tertiair!I16</f>
        <v>0</v>
      </c>
      <c r="K10" s="712">
        <f>tertiair!J16</f>
        <v>0.83821912146822097</v>
      </c>
      <c r="L10" s="712">
        <f>tertiair!K16</f>
        <v>0</v>
      </c>
      <c r="M10" s="712">
        <f ca="1">tertiair!L16</f>
        <v>0</v>
      </c>
      <c r="N10" s="712">
        <f>tertiair!M16</f>
        <v>0</v>
      </c>
      <c r="O10" s="712">
        <f ca="1">tertiair!N16</f>
        <v>28529.321829268913</v>
      </c>
      <c r="P10" s="712">
        <f>tertiair!O16</f>
        <v>151.8150837410758</v>
      </c>
      <c r="Q10" s="713">
        <f>tertiair!P16</f>
        <v>1523.6350108883557</v>
      </c>
      <c r="R10" s="715">
        <f ca="1">SUM(C10:Q10)</f>
        <v>1677322.1315579908</v>
      </c>
      <c r="S10" s="67"/>
    </row>
    <row r="11" spans="1:19" s="474" customFormat="1">
      <c r="A11" s="834" t="s">
        <v>224</v>
      </c>
      <c r="B11" s="839"/>
      <c r="C11" s="712">
        <f>huishoudens!B8</f>
        <v>363358.74150638736</v>
      </c>
      <c r="D11" s="712">
        <f>huishoudens!C8</f>
        <v>0</v>
      </c>
      <c r="E11" s="712">
        <f>huishoudens!D8</f>
        <v>1072402.6342730578</v>
      </c>
      <c r="F11" s="712">
        <f>huishoudens!E8</f>
        <v>45728.961356259824</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81396.618942398505</v>
      </c>
      <c r="P11" s="712">
        <f>huishoudens!O8</f>
        <v>3323.1300174732783</v>
      </c>
      <c r="Q11" s="713">
        <f>huishoudens!P8</f>
        <v>4656.0100139967799</v>
      </c>
      <c r="R11" s="715">
        <f>SUM(C11:Q11)</f>
        <v>1570866.096109574</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351595.88118899998</v>
      </c>
      <c r="D13" s="712">
        <f>industrie!C18</f>
        <v>1607.1428571428571</v>
      </c>
      <c r="E13" s="712">
        <f>industrie!D18</f>
        <v>267491.55656766624</v>
      </c>
      <c r="F13" s="712">
        <f>industrie!E18</f>
        <v>15949.393560889814</v>
      </c>
      <c r="G13" s="712">
        <f>industrie!F18</f>
        <v>70910.808138249951</v>
      </c>
      <c r="H13" s="712">
        <f>industrie!G18</f>
        <v>0</v>
      </c>
      <c r="I13" s="712">
        <f>industrie!H18</f>
        <v>0</v>
      </c>
      <c r="J13" s="712">
        <f>industrie!I18</f>
        <v>0</v>
      </c>
      <c r="K13" s="712">
        <f>industrie!J18</f>
        <v>2781.4205217909871</v>
      </c>
      <c r="L13" s="712">
        <f>industrie!K18</f>
        <v>0</v>
      </c>
      <c r="M13" s="712">
        <f>industrie!L18</f>
        <v>0</v>
      </c>
      <c r="N13" s="712">
        <f>industrie!M18</f>
        <v>0</v>
      </c>
      <c r="O13" s="712">
        <f>industrie!N18</f>
        <v>23241.94673487392</v>
      </c>
      <c r="P13" s="712">
        <f>industrie!O18</f>
        <v>0</v>
      </c>
      <c r="Q13" s="713">
        <f>industrie!P18</f>
        <v>0</v>
      </c>
      <c r="R13" s="715">
        <f>SUM(C13:Q13)</f>
        <v>733578.14956961363</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1447680.0651053875</v>
      </c>
      <c r="D16" s="748">
        <f t="shared" ref="D16:R16" ca="1" si="0">SUM(D9:D15)</f>
        <v>7021.6339285714284</v>
      </c>
      <c r="E16" s="748">
        <f t="shared" ca="1" si="0"/>
        <v>2159720.2830215869</v>
      </c>
      <c r="F16" s="748">
        <f t="shared" si="0"/>
        <v>71316.514042527007</v>
      </c>
      <c r="G16" s="748">
        <f t="shared" ca="1" si="0"/>
        <v>150423.14476555225</v>
      </c>
      <c r="H16" s="748">
        <f t="shared" si="0"/>
        <v>0</v>
      </c>
      <c r="I16" s="748">
        <f t="shared" si="0"/>
        <v>0</v>
      </c>
      <c r="J16" s="748">
        <f t="shared" si="0"/>
        <v>0</v>
      </c>
      <c r="K16" s="748">
        <f t="shared" si="0"/>
        <v>2782.2587409124553</v>
      </c>
      <c r="L16" s="748">
        <f t="shared" si="0"/>
        <v>0</v>
      </c>
      <c r="M16" s="748">
        <f t="shared" ca="1" si="0"/>
        <v>0</v>
      </c>
      <c r="N16" s="748">
        <f t="shared" si="0"/>
        <v>0</v>
      </c>
      <c r="O16" s="748">
        <f t="shared" ca="1" si="0"/>
        <v>133167.88750654133</v>
      </c>
      <c r="P16" s="748">
        <f t="shared" si="0"/>
        <v>3474.9451012143541</v>
      </c>
      <c r="Q16" s="748">
        <f t="shared" si="0"/>
        <v>6179.6450248851361</v>
      </c>
      <c r="R16" s="748">
        <f t="shared" ca="1" si="0"/>
        <v>3981766.3772371784</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9209.298675</v>
      </c>
      <c r="D19" s="712">
        <f>transport!C54</f>
        <v>0</v>
      </c>
      <c r="E19" s="712">
        <f>transport!D54</f>
        <v>0</v>
      </c>
      <c r="F19" s="712">
        <f>transport!E54</f>
        <v>0</v>
      </c>
      <c r="G19" s="712">
        <f>transport!F54</f>
        <v>0</v>
      </c>
      <c r="H19" s="712">
        <f>transport!G54</f>
        <v>34608.221439958048</v>
      </c>
      <c r="I19" s="712">
        <f>transport!H54</f>
        <v>0</v>
      </c>
      <c r="J19" s="712">
        <f>transport!I54</f>
        <v>0</v>
      </c>
      <c r="K19" s="712">
        <f>transport!J54</f>
        <v>0</v>
      </c>
      <c r="L19" s="712">
        <f>transport!K54</f>
        <v>0</v>
      </c>
      <c r="M19" s="712">
        <f>transport!L54</f>
        <v>0</v>
      </c>
      <c r="N19" s="712">
        <f>transport!M54</f>
        <v>1923.5287768222138</v>
      </c>
      <c r="O19" s="712">
        <f>transport!N54</f>
        <v>0</v>
      </c>
      <c r="P19" s="712">
        <f>transport!O54</f>
        <v>0</v>
      </c>
      <c r="Q19" s="713">
        <f>transport!P54</f>
        <v>0</v>
      </c>
      <c r="R19" s="715">
        <f>SUM(C19:Q19)</f>
        <v>45741.048891780258</v>
      </c>
      <c r="S19" s="67"/>
    </row>
    <row r="20" spans="1:19" s="474" customFormat="1">
      <c r="A20" s="834" t="s">
        <v>306</v>
      </c>
      <c r="B20" s="839"/>
      <c r="C20" s="712">
        <f>transport!B14</f>
        <v>1033.9914388833331</v>
      </c>
      <c r="D20" s="712">
        <f>transport!C14</f>
        <v>0</v>
      </c>
      <c r="E20" s="712">
        <f>transport!D14</f>
        <v>4172.2108223705545</v>
      </c>
      <c r="F20" s="712">
        <f>transport!E14</f>
        <v>3606.1389576269025</v>
      </c>
      <c r="G20" s="712">
        <f>transport!F14</f>
        <v>0</v>
      </c>
      <c r="H20" s="712">
        <f>transport!G14</f>
        <v>1617857.1974117905</v>
      </c>
      <c r="I20" s="712">
        <f>transport!H14</f>
        <v>317362.34474557888</v>
      </c>
      <c r="J20" s="712">
        <f>transport!I14</f>
        <v>0</v>
      </c>
      <c r="K20" s="712">
        <f>transport!J14</f>
        <v>0</v>
      </c>
      <c r="L20" s="712">
        <f>transport!K14</f>
        <v>0</v>
      </c>
      <c r="M20" s="712">
        <f>transport!L14</f>
        <v>0</v>
      </c>
      <c r="N20" s="712">
        <f>transport!M14</f>
        <v>114141.64590452838</v>
      </c>
      <c r="O20" s="712">
        <f>transport!N14</f>
        <v>0</v>
      </c>
      <c r="P20" s="712">
        <f>transport!O14</f>
        <v>0</v>
      </c>
      <c r="Q20" s="713">
        <f>transport!P14</f>
        <v>0</v>
      </c>
      <c r="R20" s="715">
        <f>SUM(C20:Q20)</f>
        <v>2058173.5292807787</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10243.290113883333</v>
      </c>
      <c r="D22" s="837">
        <f t="shared" ref="D22:R22" si="1">SUM(D18:D21)</f>
        <v>0</v>
      </c>
      <c r="E22" s="837">
        <f t="shared" si="1"/>
        <v>4172.2108223705545</v>
      </c>
      <c r="F22" s="837">
        <f t="shared" si="1"/>
        <v>3606.1389576269025</v>
      </c>
      <c r="G22" s="837">
        <f t="shared" si="1"/>
        <v>0</v>
      </c>
      <c r="H22" s="837">
        <f t="shared" si="1"/>
        <v>1652465.4188517486</v>
      </c>
      <c r="I22" s="837">
        <f t="shared" si="1"/>
        <v>317362.34474557888</v>
      </c>
      <c r="J22" s="837">
        <f t="shared" si="1"/>
        <v>0</v>
      </c>
      <c r="K22" s="837">
        <f t="shared" si="1"/>
        <v>0</v>
      </c>
      <c r="L22" s="837">
        <f t="shared" si="1"/>
        <v>0</v>
      </c>
      <c r="M22" s="837">
        <f t="shared" si="1"/>
        <v>0</v>
      </c>
      <c r="N22" s="837">
        <f t="shared" si="1"/>
        <v>116065.1746813506</v>
      </c>
      <c r="O22" s="837">
        <f t="shared" si="1"/>
        <v>0</v>
      </c>
      <c r="P22" s="837">
        <f t="shared" si="1"/>
        <v>0</v>
      </c>
      <c r="Q22" s="837">
        <f t="shared" si="1"/>
        <v>0</v>
      </c>
      <c r="R22" s="837">
        <f t="shared" si="1"/>
        <v>2103914.5781725589</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3187.3418360000001</v>
      </c>
      <c r="D24" s="712">
        <f>+landbouw!C8</f>
        <v>0</v>
      </c>
      <c r="E24" s="712">
        <f>+landbouw!D8</f>
        <v>5332.3719018239999</v>
      </c>
      <c r="F24" s="712">
        <f>+landbouw!E8</f>
        <v>99.475887645889003</v>
      </c>
      <c r="G24" s="712">
        <f>+landbouw!F8</f>
        <v>11264.419132627794</v>
      </c>
      <c r="H24" s="712">
        <f>+landbouw!G8</f>
        <v>0</v>
      </c>
      <c r="I24" s="712">
        <f>+landbouw!H8</f>
        <v>0</v>
      </c>
      <c r="J24" s="712">
        <f>+landbouw!I8</f>
        <v>0</v>
      </c>
      <c r="K24" s="712">
        <f>+landbouw!J8</f>
        <v>878.13477983991424</v>
      </c>
      <c r="L24" s="712">
        <f>+landbouw!K8</f>
        <v>0</v>
      </c>
      <c r="M24" s="712">
        <f>+landbouw!L8</f>
        <v>0</v>
      </c>
      <c r="N24" s="712">
        <f>+landbouw!M8</f>
        <v>0</v>
      </c>
      <c r="O24" s="712">
        <f>+landbouw!N8</f>
        <v>0</v>
      </c>
      <c r="P24" s="712">
        <f>+landbouw!O8</f>
        <v>0</v>
      </c>
      <c r="Q24" s="713">
        <f>+landbouw!P8</f>
        <v>0</v>
      </c>
      <c r="R24" s="715">
        <f>SUM(C24:Q24)</f>
        <v>20761.743537937597</v>
      </c>
      <c r="S24" s="67"/>
    </row>
    <row r="25" spans="1:19" s="474" customFormat="1" ht="15" thickBot="1">
      <c r="A25" s="856" t="s">
        <v>734</v>
      </c>
      <c r="B25" s="982"/>
      <c r="C25" s="983">
        <f>IF(Onbekend_ele_kWh="---",0,Onbekend_ele_kWh)/1000+IF(REST_rest_ele_kWh="---",0,REST_rest_ele_kWh)/1000</f>
        <v>23194.462359999998</v>
      </c>
      <c r="D25" s="983"/>
      <c r="E25" s="983">
        <f>IF(onbekend_gas_kWh="---",0,onbekend_gas_kWh)/1000+IF(REST_rest_gas_kWh="---",0,REST_rest_gas_kWh)/1000</f>
        <v>95128.243780000004</v>
      </c>
      <c r="F25" s="983"/>
      <c r="G25" s="983"/>
      <c r="H25" s="983"/>
      <c r="I25" s="983"/>
      <c r="J25" s="983"/>
      <c r="K25" s="983"/>
      <c r="L25" s="983"/>
      <c r="M25" s="983"/>
      <c r="N25" s="983"/>
      <c r="O25" s="983"/>
      <c r="P25" s="983"/>
      <c r="Q25" s="984"/>
      <c r="R25" s="715">
        <f>SUM(C25:Q25)</f>
        <v>118322.70613999999</v>
      </c>
      <c r="S25" s="67"/>
    </row>
    <row r="26" spans="1:19" s="474" customFormat="1" ht="15.75" thickBot="1">
      <c r="A26" s="720" t="s">
        <v>735</v>
      </c>
      <c r="B26" s="842"/>
      <c r="C26" s="837">
        <f>SUM(C24:C25)</f>
        <v>26381.804195999997</v>
      </c>
      <c r="D26" s="837">
        <f t="shared" ref="D26:R26" si="2">SUM(D24:D25)</f>
        <v>0</v>
      </c>
      <c r="E26" s="837">
        <f t="shared" si="2"/>
        <v>100460.615681824</v>
      </c>
      <c r="F26" s="837">
        <f t="shared" si="2"/>
        <v>99.475887645889003</v>
      </c>
      <c r="G26" s="837">
        <f t="shared" si="2"/>
        <v>11264.419132627794</v>
      </c>
      <c r="H26" s="837">
        <f t="shared" si="2"/>
        <v>0</v>
      </c>
      <c r="I26" s="837">
        <f t="shared" si="2"/>
        <v>0</v>
      </c>
      <c r="J26" s="837">
        <f t="shared" si="2"/>
        <v>0</v>
      </c>
      <c r="K26" s="837">
        <f t="shared" si="2"/>
        <v>878.13477983991424</v>
      </c>
      <c r="L26" s="837">
        <f t="shared" si="2"/>
        <v>0</v>
      </c>
      <c r="M26" s="837">
        <f t="shared" si="2"/>
        <v>0</v>
      </c>
      <c r="N26" s="837">
        <f t="shared" si="2"/>
        <v>0</v>
      </c>
      <c r="O26" s="837">
        <f t="shared" si="2"/>
        <v>0</v>
      </c>
      <c r="P26" s="837">
        <f t="shared" si="2"/>
        <v>0</v>
      </c>
      <c r="Q26" s="837">
        <f t="shared" si="2"/>
        <v>0</v>
      </c>
      <c r="R26" s="837">
        <f t="shared" si="2"/>
        <v>139084.44967793761</v>
      </c>
      <c r="S26" s="67"/>
    </row>
    <row r="27" spans="1:19" s="474" customFormat="1" ht="17.25" thickTop="1" thickBot="1">
      <c r="A27" s="721" t="s">
        <v>115</v>
      </c>
      <c r="B27" s="829"/>
      <c r="C27" s="722">
        <f ca="1">C22+C16+C26</f>
        <v>1484305.1594152709</v>
      </c>
      <c r="D27" s="722">
        <f t="shared" ref="D27:R27" ca="1" si="3">D22+D16+D26</f>
        <v>7021.6339285714284</v>
      </c>
      <c r="E27" s="722">
        <f t="shared" ca="1" si="3"/>
        <v>2264353.1095257811</v>
      </c>
      <c r="F27" s="722">
        <f t="shared" si="3"/>
        <v>75022.128887799801</v>
      </c>
      <c r="G27" s="722">
        <f t="shared" ca="1" si="3"/>
        <v>161687.56389818003</v>
      </c>
      <c r="H27" s="722">
        <f t="shared" si="3"/>
        <v>1652465.4188517486</v>
      </c>
      <c r="I27" s="722">
        <f t="shared" si="3"/>
        <v>317362.34474557888</v>
      </c>
      <c r="J27" s="722">
        <f t="shared" si="3"/>
        <v>0</v>
      </c>
      <c r="K27" s="722">
        <f t="shared" si="3"/>
        <v>3660.3935207523696</v>
      </c>
      <c r="L27" s="722">
        <f t="shared" si="3"/>
        <v>0</v>
      </c>
      <c r="M27" s="722">
        <f t="shared" ca="1" si="3"/>
        <v>0</v>
      </c>
      <c r="N27" s="722">
        <f t="shared" si="3"/>
        <v>116065.1746813506</v>
      </c>
      <c r="O27" s="722">
        <f t="shared" ca="1" si="3"/>
        <v>133167.88750654133</v>
      </c>
      <c r="P27" s="722">
        <f t="shared" si="3"/>
        <v>3474.9451012143541</v>
      </c>
      <c r="Q27" s="722">
        <f t="shared" si="3"/>
        <v>6179.6450248851361</v>
      </c>
      <c r="R27" s="722">
        <f t="shared" ca="1" si="3"/>
        <v>6224765.405087675</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136476.19161745146</v>
      </c>
      <c r="D40" s="712">
        <f ca="1">tertiair!C20</f>
        <v>1277.2968926444805</v>
      </c>
      <c r="E40" s="712">
        <f ca="1">tertiair!D20</f>
        <v>165604.87062053429</v>
      </c>
      <c r="F40" s="712">
        <f>tertiair!E20</f>
        <v>2187.8621214606624</v>
      </c>
      <c r="G40" s="712">
        <f ca="1">tertiair!F20</f>
        <v>21229.793879489713</v>
      </c>
      <c r="H40" s="712">
        <f>tertiair!G20</f>
        <v>0</v>
      </c>
      <c r="I40" s="712">
        <f>tertiair!H20</f>
        <v>0</v>
      </c>
      <c r="J40" s="712">
        <f>tertiair!I20</f>
        <v>0</v>
      </c>
      <c r="K40" s="712">
        <f>tertiair!J20</f>
        <v>0.29672956899975023</v>
      </c>
      <c r="L40" s="712">
        <f>tertiair!K20</f>
        <v>0</v>
      </c>
      <c r="M40" s="712">
        <f ca="1">tertiair!L20</f>
        <v>0</v>
      </c>
      <c r="N40" s="712">
        <f>tertiair!M20</f>
        <v>0</v>
      </c>
      <c r="O40" s="712">
        <f ca="1">tertiair!N20</f>
        <v>0</v>
      </c>
      <c r="P40" s="712">
        <f>tertiair!O20</f>
        <v>0</v>
      </c>
      <c r="Q40" s="795">
        <f>tertiair!P20</f>
        <v>0</v>
      </c>
      <c r="R40" s="875">
        <f t="shared" ca="1" si="4"/>
        <v>326776.31186114962</v>
      </c>
    </row>
    <row r="41" spans="1:18">
      <c r="A41" s="847" t="s">
        <v>224</v>
      </c>
      <c r="B41" s="854"/>
      <c r="C41" s="712">
        <f ca="1">huishoudens!B12</f>
        <v>67678.579671802247</v>
      </c>
      <c r="D41" s="712">
        <f ca="1">huishoudens!C12</f>
        <v>0</v>
      </c>
      <c r="E41" s="712">
        <f>huishoudens!D12</f>
        <v>216625.33212315768</v>
      </c>
      <c r="F41" s="712">
        <f>huishoudens!E12</f>
        <v>10380.47422787098</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294684.38602283091</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65487.64936458521</v>
      </c>
      <c r="D43" s="712">
        <f ca="1">industrie!C22</f>
        <v>379.13047604725824</v>
      </c>
      <c r="E43" s="712">
        <f>industrie!D22</f>
        <v>54033.294426668581</v>
      </c>
      <c r="F43" s="712">
        <f>industrie!E22</f>
        <v>3620.512338321988</v>
      </c>
      <c r="G43" s="712">
        <f>industrie!F22</f>
        <v>18933.185772912737</v>
      </c>
      <c r="H43" s="712">
        <f>industrie!G22</f>
        <v>0</v>
      </c>
      <c r="I43" s="712">
        <f>industrie!H22</f>
        <v>0</v>
      </c>
      <c r="J43" s="712">
        <f>industrie!I22</f>
        <v>0</v>
      </c>
      <c r="K43" s="712">
        <f>industrie!J22</f>
        <v>984.62286471400932</v>
      </c>
      <c r="L43" s="712">
        <f>industrie!K22</f>
        <v>0</v>
      </c>
      <c r="M43" s="712">
        <f>industrie!L22</f>
        <v>0</v>
      </c>
      <c r="N43" s="712">
        <f>industrie!M22</f>
        <v>0</v>
      </c>
      <c r="O43" s="712">
        <f>industrie!N22</f>
        <v>0</v>
      </c>
      <c r="P43" s="712">
        <f>industrie!O22</f>
        <v>0</v>
      </c>
      <c r="Q43" s="795">
        <f>industrie!P22</f>
        <v>0</v>
      </c>
      <c r="R43" s="874">
        <f t="shared" ca="1" si="4"/>
        <v>143438.39524324978</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269642.42065383896</v>
      </c>
      <c r="D46" s="748">
        <f t="shared" ref="D46:Q46" ca="1" si="5">SUM(D39:D45)</f>
        <v>1656.4273686917388</v>
      </c>
      <c r="E46" s="748">
        <f t="shared" ca="1" si="5"/>
        <v>436263.49717036053</v>
      </c>
      <c r="F46" s="748">
        <f t="shared" si="5"/>
        <v>16188.84868765363</v>
      </c>
      <c r="G46" s="748">
        <f t="shared" ca="1" si="5"/>
        <v>40162.97965240245</v>
      </c>
      <c r="H46" s="748">
        <f t="shared" si="5"/>
        <v>0</v>
      </c>
      <c r="I46" s="748">
        <f t="shared" si="5"/>
        <v>0</v>
      </c>
      <c r="J46" s="748">
        <f t="shared" si="5"/>
        <v>0</v>
      </c>
      <c r="K46" s="748">
        <f t="shared" si="5"/>
        <v>984.91959428300902</v>
      </c>
      <c r="L46" s="748">
        <f t="shared" si="5"/>
        <v>0</v>
      </c>
      <c r="M46" s="748">
        <f t="shared" ca="1" si="5"/>
        <v>0</v>
      </c>
      <c r="N46" s="748">
        <f t="shared" si="5"/>
        <v>0</v>
      </c>
      <c r="O46" s="748">
        <f t="shared" ca="1" si="5"/>
        <v>0</v>
      </c>
      <c r="P46" s="748">
        <f t="shared" si="5"/>
        <v>0</v>
      </c>
      <c r="Q46" s="748">
        <f t="shared" si="5"/>
        <v>0</v>
      </c>
      <c r="R46" s="748">
        <f ca="1">SUM(R39:R45)</f>
        <v>764899.09312723042</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1715.3082694900681</v>
      </c>
      <c r="D49" s="712">
        <f ca="1">transport!C58</f>
        <v>0</v>
      </c>
      <c r="E49" s="712">
        <f>transport!D58</f>
        <v>0</v>
      </c>
      <c r="F49" s="712">
        <f>transport!E58</f>
        <v>0</v>
      </c>
      <c r="G49" s="712">
        <f>transport!F58</f>
        <v>0</v>
      </c>
      <c r="H49" s="712">
        <f>transport!G58</f>
        <v>9240.3951244687996</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10955.703393958867</v>
      </c>
    </row>
    <row r="50" spans="1:18">
      <c r="A50" s="850" t="s">
        <v>306</v>
      </c>
      <c r="B50" s="860"/>
      <c r="C50" s="718">
        <f ca="1">transport!B18</f>
        <v>192.58948246659139</v>
      </c>
      <c r="D50" s="718">
        <f>transport!C18</f>
        <v>0</v>
      </c>
      <c r="E50" s="718">
        <f>transport!D18</f>
        <v>842.78658611885203</v>
      </c>
      <c r="F50" s="718">
        <f>transport!E18</f>
        <v>818.59354338130686</v>
      </c>
      <c r="G50" s="718">
        <f>transport!F18</f>
        <v>0</v>
      </c>
      <c r="H50" s="718">
        <f>transport!G18</f>
        <v>431967.87170894811</v>
      </c>
      <c r="I50" s="718">
        <f>transport!H18</f>
        <v>79023.223841649145</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512845.06516256399</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1907.8977519566595</v>
      </c>
      <c r="D52" s="748">
        <f t="shared" ref="D52:Q52" ca="1" si="6">SUM(D48:D51)</f>
        <v>0</v>
      </c>
      <c r="E52" s="748">
        <f t="shared" si="6"/>
        <v>842.78658611885203</v>
      </c>
      <c r="F52" s="748">
        <f t="shared" si="6"/>
        <v>818.59354338130686</v>
      </c>
      <c r="G52" s="748">
        <f t="shared" si="6"/>
        <v>0</v>
      </c>
      <c r="H52" s="748">
        <f t="shared" si="6"/>
        <v>441208.26683341688</v>
      </c>
      <c r="I52" s="748">
        <f t="shared" si="6"/>
        <v>79023.223841649145</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523800.76855652285</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593.66885600357148</v>
      </c>
      <c r="D54" s="718">
        <f ca="1">+landbouw!C12</f>
        <v>0</v>
      </c>
      <c r="E54" s="718">
        <f>+landbouw!D12</f>
        <v>1077.139124168448</v>
      </c>
      <c r="F54" s="718">
        <f>+landbouw!E12</f>
        <v>22.581026495616804</v>
      </c>
      <c r="G54" s="718">
        <f>+landbouw!F12</f>
        <v>3007.5999084116211</v>
      </c>
      <c r="H54" s="718">
        <f>+landbouw!G12</f>
        <v>0</v>
      </c>
      <c r="I54" s="718">
        <f>+landbouw!H12</f>
        <v>0</v>
      </c>
      <c r="J54" s="718">
        <f>+landbouw!I12</f>
        <v>0</v>
      </c>
      <c r="K54" s="718">
        <f>+landbouw!J12</f>
        <v>310.85971206332965</v>
      </c>
      <c r="L54" s="718">
        <f>+landbouw!K12</f>
        <v>0</v>
      </c>
      <c r="M54" s="718">
        <f>+landbouw!L12</f>
        <v>0</v>
      </c>
      <c r="N54" s="718">
        <f>+landbouw!M12</f>
        <v>0</v>
      </c>
      <c r="O54" s="718">
        <f>+landbouw!N12</f>
        <v>0</v>
      </c>
      <c r="P54" s="718">
        <f>+landbouw!O12</f>
        <v>0</v>
      </c>
      <c r="Q54" s="719">
        <f>+landbouw!P12</f>
        <v>0</v>
      </c>
      <c r="R54" s="747">
        <f ca="1">SUM(C54:Q54)</f>
        <v>5011.8486271425863</v>
      </c>
    </row>
    <row r="55" spans="1:18" ht="15" thickBot="1">
      <c r="A55" s="850" t="s">
        <v>734</v>
      </c>
      <c r="B55" s="860"/>
      <c r="C55" s="718">
        <f ca="1">C25*'EF ele_warmte'!B12</f>
        <v>4320.1610129648789</v>
      </c>
      <c r="D55" s="718"/>
      <c r="E55" s="718">
        <f>E25*EF_CO2_aardgas</f>
        <v>19215.905243560002</v>
      </c>
      <c r="F55" s="718"/>
      <c r="G55" s="718"/>
      <c r="H55" s="718"/>
      <c r="I55" s="718"/>
      <c r="J55" s="718"/>
      <c r="K55" s="718"/>
      <c r="L55" s="718"/>
      <c r="M55" s="718"/>
      <c r="N55" s="718"/>
      <c r="O55" s="718"/>
      <c r="P55" s="718"/>
      <c r="Q55" s="719"/>
      <c r="R55" s="747">
        <f ca="1">SUM(C55:Q55)</f>
        <v>23536.066256524882</v>
      </c>
    </row>
    <row r="56" spans="1:18" ht="15.75" thickBot="1">
      <c r="A56" s="848" t="s">
        <v>735</v>
      </c>
      <c r="B56" s="861"/>
      <c r="C56" s="748">
        <f ca="1">SUM(C54:C55)</f>
        <v>4913.8298689684507</v>
      </c>
      <c r="D56" s="748">
        <f t="shared" ref="D56:Q56" ca="1" si="7">SUM(D54:D55)</f>
        <v>0</v>
      </c>
      <c r="E56" s="748">
        <f t="shared" si="7"/>
        <v>20293.044367728449</v>
      </c>
      <c r="F56" s="748">
        <f t="shared" si="7"/>
        <v>22.581026495616804</v>
      </c>
      <c r="G56" s="748">
        <f t="shared" si="7"/>
        <v>3007.5999084116211</v>
      </c>
      <c r="H56" s="748">
        <f t="shared" si="7"/>
        <v>0</v>
      </c>
      <c r="I56" s="748">
        <f t="shared" si="7"/>
        <v>0</v>
      </c>
      <c r="J56" s="748">
        <f t="shared" si="7"/>
        <v>0</v>
      </c>
      <c r="K56" s="748">
        <f t="shared" si="7"/>
        <v>310.85971206332965</v>
      </c>
      <c r="L56" s="748">
        <f t="shared" si="7"/>
        <v>0</v>
      </c>
      <c r="M56" s="748">
        <f t="shared" si="7"/>
        <v>0</v>
      </c>
      <c r="N56" s="748">
        <f t="shared" si="7"/>
        <v>0</v>
      </c>
      <c r="O56" s="748">
        <f t="shared" si="7"/>
        <v>0</v>
      </c>
      <c r="P56" s="748">
        <f t="shared" si="7"/>
        <v>0</v>
      </c>
      <c r="Q56" s="749">
        <f t="shared" si="7"/>
        <v>0</v>
      </c>
      <c r="R56" s="750">
        <f ca="1">SUM(R54:R55)</f>
        <v>28547.914883667469</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276464.14827476407</v>
      </c>
      <c r="D61" s="756">
        <f t="shared" ref="D61:Q61" ca="1" si="8">D46+D52+D56</f>
        <v>1656.4273686917388</v>
      </c>
      <c r="E61" s="756">
        <f t="shared" ca="1" si="8"/>
        <v>457399.32812420785</v>
      </c>
      <c r="F61" s="756">
        <f t="shared" si="8"/>
        <v>17030.023257530553</v>
      </c>
      <c r="G61" s="756">
        <f t="shared" ca="1" si="8"/>
        <v>43170.579560814069</v>
      </c>
      <c r="H61" s="756">
        <f t="shared" si="8"/>
        <v>441208.26683341688</v>
      </c>
      <c r="I61" s="756">
        <f t="shared" si="8"/>
        <v>79023.223841649145</v>
      </c>
      <c r="J61" s="756">
        <f t="shared" si="8"/>
        <v>0</v>
      </c>
      <c r="K61" s="756">
        <f t="shared" si="8"/>
        <v>1295.7793063463387</v>
      </c>
      <c r="L61" s="756">
        <f t="shared" si="8"/>
        <v>0</v>
      </c>
      <c r="M61" s="756">
        <f t="shared" ca="1" si="8"/>
        <v>0</v>
      </c>
      <c r="N61" s="756">
        <f t="shared" si="8"/>
        <v>0</v>
      </c>
      <c r="O61" s="756">
        <f t="shared" ca="1" si="8"/>
        <v>0</v>
      </c>
      <c r="P61" s="756">
        <f t="shared" si="8"/>
        <v>0</v>
      </c>
      <c r="Q61" s="756">
        <f t="shared" si="8"/>
        <v>0</v>
      </c>
      <c r="R61" s="756">
        <f ca="1">R46+R52+R56</f>
        <v>1317247.7765674207</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0.18625829501507271</v>
      </c>
      <c r="D63" s="802">
        <f t="shared" ca="1" si="9"/>
        <v>0.23590340731829404</v>
      </c>
      <c r="E63" s="1008">
        <f t="shared" ca="1" si="9"/>
        <v>0.20200000000000004</v>
      </c>
      <c r="F63" s="802">
        <f t="shared" si="9"/>
        <v>0.22699999999999998</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178643.64228126049</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58042.370167941277</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35.430738408700627</v>
      </c>
      <c r="C76" s="769">
        <f>'lokale energieproductie'!B8*IFERROR(SUM(D76:H76)/SUM(D76:O76),0)</f>
        <v>4877.0692615912985</v>
      </c>
      <c r="D76" s="991">
        <f>'lokale energieproductie'!C8</f>
        <v>5737.0073685698972</v>
      </c>
      <c r="E76" s="992">
        <f>'lokale energieproductie'!D8</f>
        <v>0</v>
      </c>
      <c r="F76" s="992">
        <f>'lokale energieproductie'!E8</f>
        <v>0</v>
      </c>
      <c r="G76" s="992">
        <f>'lokale energieproductie'!F8</f>
        <v>0</v>
      </c>
      <c r="H76" s="992">
        <f>'lokale energieproductie'!G8</f>
        <v>0</v>
      </c>
      <c r="I76" s="992">
        <f>'lokale energieproductie'!I8</f>
        <v>41.677982497682599</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1158.8754884511193</v>
      </c>
      <c r="R76" s="877">
        <v>0</v>
      </c>
    </row>
    <row r="77" spans="1:18" ht="15.75" thickBot="1">
      <c r="A77" s="772" t="s">
        <v>802</v>
      </c>
      <c r="B77" s="769">
        <f>'lokale energieproductie'!B9*IFERROR(SUM(I77:O77)/SUM(D77:O77),0)</f>
        <v>1858.5</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5310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238579.94318761048</v>
      </c>
      <c r="C78" s="774">
        <f>SUM(C72:C77)</f>
        <v>4877.0692615912985</v>
      </c>
      <c r="D78" s="775">
        <f t="shared" ref="D78:H78" si="10">SUM(D76:D77)</f>
        <v>5737.0073685698972</v>
      </c>
      <c r="E78" s="775">
        <f t="shared" si="10"/>
        <v>0</v>
      </c>
      <c r="F78" s="775">
        <f t="shared" si="10"/>
        <v>0</v>
      </c>
      <c r="G78" s="775">
        <f t="shared" si="10"/>
        <v>0</v>
      </c>
      <c r="H78" s="775">
        <f t="shared" si="10"/>
        <v>0</v>
      </c>
      <c r="I78" s="775">
        <f>SUM(I76:I77)</f>
        <v>41.677982497682599</v>
      </c>
      <c r="J78" s="775">
        <f>SUM(J76:J77)</f>
        <v>5310</v>
      </c>
      <c r="K78" s="775">
        <f t="shared" ref="K78:L78" si="11">SUM(K76:K77)</f>
        <v>0</v>
      </c>
      <c r="L78" s="775">
        <f t="shared" si="11"/>
        <v>0</v>
      </c>
      <c r="M78" s="775">
        <f>SUM(M76:M77)</f>
        <v>0</v>
      </c>
      <c r="N78" s="775">
        <f>SUM(N76:N77)</f>
        <v>0</v>
      </c>
      <c r="O78" s="885">
        <f>SUM(O76:O77)</f>
        <v>0</v>
      </c>
      <c r="P78" s="776">
        <v>0</v>
      </c>
      <c r="Q78" s="776">
        <f>SUM(Q76:Q77)</f>
        <v>1158.8754884511193</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50.642580137378353</v>
      </c>
      <c r="C87" s="787">
        <f>'lokale energieproductie'!B17*IFERROR(SUM(D87:H87)/SUM(D87:O87),0)</f>
        <v>6970.9913484340495</v>
      </c>
      <c r="D87" s="798">
        <f>'lokale energieproductie'!C17</f>
        <v>8200.1354885729634</v>
      </c>
      <c r="E87" s="798">
        <f>'lokale energieproductie'!D17</f>
        <v>0</v>
      </c>
      <c r="F87" s="798">
        <f>'lokale energieproductie'!E17</f>
        <v>0</v>
      </c>
      <c r="G87" s="798">
        <f>'lokale energieproductie'!F17</f>
        <v>0</v>
      </c>
      <c r="H87" s="798">
        <f>'lokale energieproductie'!G17</f>
        <v>0</v>
      </c>
      <c r="I87" s="798">
        <f>'lokale energieproductie'!I17</f>
        <v>59.572017502317415</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1656.4273686917386</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50.642580137378353</v>
      </c>
      <c r="C90" s="774">
        <f>SUM(C87:C89)</f>
        <v>6970.9913484340495</v>
      </c>
      <c r="D90" s="774">
        <f t="shared" ref="D90:H90" si="12">SUM(D87:D89)</f>
        <v>8200.1354885729634</v>
      </c>
      <c r="E90" s="774">
        <f t="shared" si="12"/>
        <v>0</v>
      </c>
      <c r="F90" s="774">
        <f t="shared" si="12"/>
        <v>0</v>
      </c>
      <c r="G90" s="774">
        <f t="shared" si="12"/>
        <v>0</v>
      </c>
      <c r="H90" s="774">
        <f t="shared" si="12"/>
        <v>0</v>
      </c>
      <c r="I90" s="774">
        <f>SUM(I87:I89)</f>
        <v>59.572017502317415</v>
      </c>
      <c r="J90" s="774">
        <f>SUM(J87:J89)</f>
        <v>0</v>
      </c>
      <c r="K90" s="774">
        <f t="shared" ref="K90:L90" si="13">SUM(K87:K89)</f>
        <v>0</v>
      </c>
      <c r="L90" s="774">
        <f t="shared" si="13"/>
        <v>0</v>
      </c>
      <c r="M90" s="774">
        <f>SUM(M87:M89)</f>
        <v>0</v>
      </c>
      <c r="N90" s="774">
        <f>SUM(N87:N89)</f>
        <v>0</v>
      </c>
      <c r="O90" s="774">
        <f>SUM(O87:O89)</f>
        <v>0</v>
      </c>
      <c r="P90" s="774">
        <v>0</v>
      </c>
      <c r="Q90" s="774">
        <f>SUM(Q87:Q89)</f>
        <v>1656.4273686917386</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4"/>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178643.64228126049</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58042.370167941277</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4912.5</v>
      </c>
      <c r="C8" s="574">
        <f>B101</f>
        <v>5737.0073685698972</v>
      </c>
      <c r="D8" s="575"/>
      <c r="E8" s="575">
        <f>E101</f>
        <v>0</v>
      </c>
      <c r="F8" s="576"/>
      <c r="G8" s="577"/>
      <c r="H8" s="575">
        <f>I101</f>
        <v>0</v>
      </c>
      <c r="I8" s="575">
        <f>G101+F101</f>
        <v>41.677982497682599</v>
      </c>
      <c r="J8" s="575">
        <f>H101+D101+C101</f>
        <v>0</v>
      </c>
      <c r="K8" s="575"/>
      <c r="L8" s="575"/>
      <c r="M8" s="575"/>
      <c r="N8" s="578"/>
      <c r="O8" s="579">
        <f>C8*$C$12+D8*$D$12+E8*$E$12+F8*$F$12+G8*$G$12+H8*$H$12+I8*$I$12+J8*$J$12</f>
        <v>1158.8754884511193</v>
      </c>
      <c r="P8" s="1264"/>
      <c r="Q8" s="1265"/>
      <c r="S8" s="569"/>
      <c r="T8" s="1252"/>
      <c r="U8" s="1252"/>
    </row>
    <row r="9" spans="1:21" s="560" customFormat="1" ht="17.45" customHeight="1" thickBot="1">
      <c r="A9" s="580" t="s">
        <v>247</v>
      </c>
      <c r="B9" s="581">
        <f>N89+'Eigen informatie GS &amp; warmtenet'!B12</f>
        <v>1858.5</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5310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243457.01244920178</v>
      </c>
      <c r="C10" s="589">
        <f t="shared" ref="C10:L10" si="0">SUM(C8:C9)</f>
        <v>5737.0073685698972</v>
      </c>
      <c r="D10" s="589">
        <f t="shared" si="0"/>
        <v>0</v>
      </c>
      <c r="E10" s="589">
        <f t="shared" si="0"/>
        <v>0</v>
      </c>
      <c r="F10" s="589">
        <f t="shared" si="0"/>
        <v>0</v>
      </c>
      <c r="G10" s="589">
        <f t="shared" si="0"/>
        <v>0</v>
      </c>
      <c r="H10" s="589">
        <f t="shared" si="0"/>
        <v>0</v>
      </c>
      <c r="I10" s="589">
        <f t="shared" si="0"/>
        <v>41.677982497682599</v>
      </c>
      <c r="J10" s="589">
        <f t="shared" si="0"/>
        <v>5310</v>
      </c>
      <c r="K10" s="589">
        <f t="shared" si="0"/>
        <v>0</v>
      </c>
      <c r="L10" s="589">
        <f t="shared" si="0"/>
        <v>0</v>
      </c>
      <c r="M10" s="1004"/>
      <c r="N10" s="1004"/>
      <c r="O10" s="590">
        <f>SUM(O4:O9)</f>
        <v>1158.8754884511193</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7021.6339285714284</v>
      </c>
      <c r="C17" s="605">
        <f>B102</f>
        <v>8200.1354885729634</v>
      </c>
      <c r="D17" s="606"/>
      <c r="E17" s="606">
        <f>E102</f>
        <v>0</v>
      </c>
      <c r="F17" s="607"/>
      <c r="G17" s="608"/>
      <c r="H17" s="605">
        <f>I102</f>
        <v>0</v>
      </c>
      <c r="I17" s="606">
        <f>G102+F102</f>
        <v>59.572017502317415</v>
      </c>
      <c r="J17" s="606">
        <f>H102+D102+C102</f>
        <v>0</v>
      </c>
      <c r="K17" s="606"/>
      <c r="L17" s="606"/>
      <c r="M17" s="606"/>
      <c r="N17" s="1005"/>
      <c r="O17" s="609">
        <f>C17*$C$22+E17*$E$22+H17*$H$22+I17*$I$22+J17*$J$22+D17*$D$22+F17*$F$22+G17*$G$22+K17*$K$22+L17*$L$22</f>
        <v>1656.4273686917386</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7021.6339285714284</v>
      </c>
      <c r="C20" s="588">
        <f>SUM(C17:C19)</f>
        <v>8200.1354885729634</v>
      </c>
      <c r="D20" s="588">
        <f t="shared" ref="D20:L20" si="1">SUM(D17:D19)</f>
        <v>0</v>
      </c>
      <c r="E20" s="588">
        <f t="shared" si="1"/>
        <v>0</v>
      </c>
      <c r="F20" s="588">
        <f t="shared" si="1"/>
        <v>0</v>
      </c>
      <c r="G20" s="588">
        <f t="shared" si="1"/>
        <v>0</v>
      </c>
      <c r="H20" s="588">
        <f t="shared" si="1"/>
        <v>0</v>
      </c>
      <c r="I20" s="588">
        <f t="shared" si="1"/>
        <v>59.572017502317415</v>
      </c>
      <c r="J20" s="588">
        <f t="shared" si="1"/>
        <v>0</v>
      </c>
      <c r="K20" s="588">
        <f t="shared" si="1"/>
        <v>0</v>
      </c>
      <c r="L20" s="588">
        <f t="shared" si="1"/>
        <v>0</v>
      </c>
      <c r="M20" s="588"/>
      <c r="N20" s="588"/>
      <c r="O20" s="614">
        <f>SUM(O17:O19)</f>
        <v>1656.4273686917386</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38.25">
      <c r="A28" s="618"/>
      <c r="B28" s="817">
        <v>44021</v>
      </c>
      <c r="C28" s="817">
        <v>9042</v>
      </c>
      <c r="D28" s="666" t="s">
        <v>882</v>
      </c>
      <c r="E28" s="665" t="s">
        <v>883</v>
      </c>
      <c r="F28" s="665" t="s">
        <v>884</v>
      </c>
      <c r="G28" s="665" t="s">
        <v>885</v>
      </c>
      <c r="H28" s="665" t="s">
        <v>886</v>
      </c>
      <c r="I28" s="665" t="s">
        <v>887</v>
      </c>
      <c r="J28" s="816">
        <v>39812</v>
      </c>
      <c r="K28" s="816">
        <v>39812</v>
      </c>
      <c r="L28" s="665" t="s">
        <v>888</v>
      </c>
      <c r="M28" s="665">
        <v>2200</v>
      </c>
      <c r="N28" s="665">
        <v>0</v>
      </c>
      <c r="O28" s="665">
        <v>0</v>
      </c>
      <c r="P28" s="665">
        <v>0</v>
      </c>
      <c r="Q28" s="665">
        <v>0</v>
      </c>
      <c r="R28" s="665">
        <v>0</v>
      </c>
      <c r="S28" s="665">
        <v>0</v>
      </c>
      <c r="T28" s="665">
        <v>0</v>
      </c>
      <c r="U28" s="665">
        <v>0</v>
      </c>
      <c r="V28" s="665">
        <v>0</v>
      </c>
      <c r="W28" s="665">
        <v>0</v>
      </c>
      <c r="X28" s="665">
        <v>300</v>
      </c>
      <c r="Y28" s="665" t="s">
        <v>33</v>
      </c>
      <c r="Z28" s="667" t="s">
        <v>388</v>
      </c>
    </row>
    <row r="29" spans="1:26" s="619" customFormat="1" ht="63.75">
      <c r="A29" s="618"/>
      <c r="B29" s="817">
        <v>44021</v>
      </c>
      <c r="C29" s="817">
        <v>9031</v>
      </c>
      <c r="D29" s="666" t="s">
        <v>889</v>
      </c>
      <c r="E29" s="665" t="s">
        <v>890</v>
      </c>
      <c r="F29" s="665" t="s">
        <v>891</v>
      </c>
      <c r="G29" s="665" t="s">
        <v>885</v>
      </c>
      <c r="H29" s="665" t="s">
        <v>886</v>
      </c>
      <c r="I29" s="665" t="s">
        <v>890</v>
      </c>
      <c r="J29" s="816">
        <v>40096</v>
      </c>
      <c r="K29" s="816">
        <v>40179</v>
      </c>
      <c r="L29" s="665" t="s">
        <v>888</v>
      </c>
      <c r="M29" s="665">
        <v>9</v>
      </c>
      <c r="N29" s="665">
        <v>40.5</v>
      </c>
      <c r="O29" s="665">
        <v>45.5625</v>
      </c>
      <c r="P29" s="665">
        <v>0</v>
      </c>
      <c r="Q29" s="665">
        <v>0</v>
      </c>
      <c r="R29" s="665">
        <v>0</v>
      </c>
      <c r="S29" s="665">
        <v>0</v>
      </c>
      <c r="T29" s="665">
        <v>0</v>
      </c>
      <c r="U29" s="665">
        <v>101.25</v>
      </c>
      <c r="V29" s="665">
        <v>0</v>
      </c>
      <c r="W29" s="665">
        <v>0</v>
      </c>
      <c r="X29" s="665">
        <v>1600</v>
      </c>
      <c r="Y29" s="665" t="s">
        <v>49</v>
      </c>
      <c r="Z29" s="667" t="s">
        <v>155</v>
      </c>
    </row>
    <row r="30" spans="1:26" s="619" customFormat="1" ht="25.5">
      <c r="A30" s="618"/>
      <c r="B30" s="817">
        <v>44021</v>
      </c>
      <c r="C30" s="817">
        <v>9040</v>
      </c>
      <c r="D30" s="666" t="s">
        <v>892</v>
      </c>
      <c r="E30" s="665" t="s">
        <v>893</v>
      </c>
      <c r="F30" s="665" t="s">
        <v>894</v>
      </c>
      <c r="G30" s="665" t="s">
        <v>885</v>
      </c>
      <c r="H30" s="665" t="s">
        <v>895</v>
      </c>
      <c r="I30" s="665" t="s">
        <v>893</v>
      </c>
      <c r="J30" s="816">
        <v>41003</v>
      </c>
      <c r="K30" s="816">
        <v>41003</v>
      </c>
      <c r="L30" s="665" t="s">
        <v>888</v>
      </c>
      <c r="M30" s="665">
        <v>70</v>
      </c>
      <c r="N30" s="665">
        <v>315.00000000000006</v>
      </c>
      <c r="O30" s="665">
        <v>450.00000000000011</v>
      </c>
      <c r="P30" s="665">
        <v>900.00000000000023</v>
      </c>
      <c r="Q30" s="665">
        <v>0</v>
      </c>
      <c r="R30" s="665">
        <v>0</v>
      </c>
      <c r="S30" s="665">
        <v>0</v>
      </c>
      <c r="T30" s="665">
        <v>0</v>
      </c>
      <c r="U30" s="665">
        <v>0</v>
      </c>
      <c r="V30" s="665">
        <v>0</v>
      </c>
      <c r="W30" s="665">
        <v>0</v>
      </c>
      <c r="X30" s="665">
        <v>1300</v>
      </c>
      <c r="Y30" s="665" t="s">
        <v>53</v>
      </c>
      <c r="Z30" s="667" t="s">
        <v>155</v>
      </c>
    </row>
    <row r="31" spans="1:26" s="619" customFormat="1" ht="25.5">
      <c r="A31" s="618"/>
      <c r="B31" s="817">
        <v>44021</v>
      </c>
      <c r="C31" s="817">
        <v>9000</v>
      </c>
      <c r="D31" s="666" t="s">
        <v>896</v>
      </c>
      <c r="E31" s="665" t="s">
        <v>897</v>
      </c>
      <c r="F31" s="665" t="s">
        <v>898</v>
      </c>
      <c r="G31" s="665" t="s">
        <v>885</v>
      </c>
      <c r="H31" s="665" t="s">
        <v>895</v>
      </c>
      <c r="I31" s="665" t="s">
        <v>897</v>
      </c>
      <c r="J31" s="816">
        <v>40928</v>
      </c>
      <c r="K31" s="816">
        <v>41030</v>
      </c>
      <c r="L31" s="665" t="s">
        <v>888</v>
      </c>
      <c r="M31" s="665">
        <v>5</v>
      </c>
      <c r="N31" s="665">
        <v>22.5</v>
      </c>
      <c r="O31" s="665">
        <v>32.142857142857146</v>
      </c>
      <c r="P31" s="665">
        <v>64.285714285714292</v>
      </c>
      <c r="Q31" s="665">
        <v>0</v>
      </c>
      <c r="R31" s="665">
        <v>0</v>
      </c>
      <c r="S31" s="665">
        <v>0</v>
      </c>
      <c r="T31" s="665">
        <v>0</v>
      </c>
      <c r="U31" s="665">
        <v>0</v>
      </c>
      <c r="V31" s="665">
        <v>0</v>
      </c>
      <c r="W31" s="665">
        <v>0</v>
      </c>
      <c r="X31" s="665">
        <v>1300</v>
      </c>
      <c r="Y31" s="665" t="s">
        <v>53</v>
      </c>
      <c r="Z31" s="667" t="s">
        <v>155</v>
      </c>
    </row>
    <row r="32" spans="1:26" s="619" customFormat="1" ht="51">
      <c r="A32" s="618"/>
      <c r="B32" s="817">
        <v>44021</v>
      </c>
      <c r="C32" s="817">
        <v>9000</v>
      </c>
      <c r="D32" s="666" t="s">
        <v>899</v>
      </c>
      <c r="E32" s="665" t="s">
        <v>900</v>
      </c>
      <c r="F32" s="665" t="s">
        <v>901</v>
      </c>
      <c r="G32" s="665" t="s">
        <v>885</v>
      </c>
      <c r="H32" s="665" t="s">
        <v>895</v>
      </c>
      <c r="I32" s="665" t="s">
        <v>900</v>
      </c>
      <c r="J32" s="816">
        <v>41618</v>
      </c>
      <c r="K32" s="816">
        <v>41660</v>
      </c>
      <c r="L32" s="665" t="s">
        <v>888</v>
      </c>
      <c r="M32" s="665">
        <v>509</v>
      </c>
      <c r="N32" s="665">
        <v>2290.5</v>
      </c>
      <c r="O32" s="665">
        <v>3272.1428571428573</v>
      </c>
      <c r="P32" s="665">
        <v>6544.2857142857147</v>
      </c>
      <c r="Q32" s="665">
        <v>0</v>
      </c>
      <c r="R32" s="665">
        <v>0</v>
      </c>
      <c r="S32" s="665">
        <v>0</v>
      </c>
      <c r="T32" s="665">
        <v>0</v>
      </c>
      <c r="U32" s="665">
        <v>0</v>
      </c>
      <c r="V32" s="665">
        <v>0</v>
      </c>
      <c r="W32" s="665">
        <v>0</v>
      </c>
      <c r="X32" s="665">
        <v>1501</v>
      </c>
      <c r="Y32" s="665" t="s">
        <v>50</v>
      </c>
      <c r="Z32" s="667" t="s">
        <v>155</v>
      </c>
    </row>
    <row r="33" spans="1:26" s="619" customFormat="1" ht="25.5">
      <c r="A33" s="618"/>
      <c r="B33" s="817">
        <v>44021</v>
      </c>
      <c r="C33" s="817">
        <v>9031</v>
      </c>
      <c r="D33" s="666" t="s">
        <v>902</v>
      </c>
      <c r="E33" s="665" t="s">
        <v>903</v>
      </c>
      <c r="F33" s="665" t="s">
        <v>904</v>
      </c>
      <c r="G33" s="665" t="s">
        <v>905</v>
      </c>
      <c r="H33" s="665" t="s">
        <v>905</v>
      </c>
      <c r="I33" s="665" t="s">
        <v>903</v>
      </c>
      <c r="J33" s="816">
        <v>41549</v>
      </c>
      <c r="K33" s="816">
        <v>41688</v>
      </c>
      <c r="L33" s="665" t="s">
        <v>888</v>
      </c>
      <c r="M33" s="665">
        <v>1</v>
      </c>
      <c r="N33" s="665">
        <v>4.5</v>
      </c>
      <c r="O33" s="665">
        <v>22.5</v>
      </c>
      <c r="P33" s="665">
        <v>30</v>
      </c>
      <c r="Q33" s="665">
        <v>0</v>
      </c>
      <c r="R33" s="665">
        <v>0</v>
      </c>
      <c r="S33" s="665">
        <v>0</v>
      </c>
      <c r="T33" s="665">
        <v>0</v>
      </c>
      <c r="U33" s="665">
        <v>0</v>
      </c>
      <c r="V33" s="665">
        <v>0</v>
      </c>
      <c r="W33" s="665">
        <v>0</v>
      </c>
      <c r="X33" s="665">
        <v>1300</v>
      </c>
      <c r="Y33" s="665" t="s">
        <v>53</v>
      </c>
      <c r="Z33" s="667" t="s">
        <v>155</v>
      </c>
    </row>
    <row r="34" spans="1:26" s="619" customFormat="1" ht="38.25">
      <c r="A34" s="618"/>
      <c r="B34" s="817">
        <v>44021</v>
      </c>
      <c r="C34" s="817">
        <v>9050</v>
      </c>
      <c r="D34" s="666" t="s">
        <v>906</v>
      </c>
      <c r="E34" s="665" t="s">
        <v>907</v>
      </c>
      <c r="F34" s="665" t="s">
        <v>908</v>
      </c>
      <c r="G34" s="665" t="s">
        <v>885</v>
      </c>
      <c r="H34" s="665" t="s">
        <v>895</v>
      </c>
      <c r="I34" s="665" t="s">
        <v>907</v>
      </c>
      <c r="J34" s="816">
        <v>41767</v>
      </c>
      <c r="K34" s="816">
        <v>41767</v>
      </c>
      <c r="L34" s="665" t="s">
        <v>888</v>
      </c>
      <c r="M34" s="665">
        <v>5.5</v>
      </c>
      <c r="N34" s="665">
        <v>24.75</v>
      </c>
      <c r="O34" s="665">
        <v>35.357142857142861</v>
      </c>
      <c r="P34" s="665">
        <v>70.714285714285722</v>
      </c>
      <c r="Q34" s="665">
        <v>0</v>
      </c>
      <c r="R34" s="665">
        <v>0</v>
      </c>
      <c r="S34" s="665">
        <v>0</v>
      </c>
      <c r="T34" s="665">
        <v>0</v>
      </c>
      <c r="U34" s="665">
        <v>0</v>
      </c>
      <c r="V34" s="665">
        <v>0</v>
      </c>
      <c r="W34" s="665">
        <v>0</v>
      </c>
      <c r="X34" s="665">
        <v>1300</v>
      </c>
      <c r="Y34" s="665" t="s">
        <v>53</v>
      </c>
      <c r="Z34" s="667" t="s">
        <v>155</v>
      </c>
    </row>
    <row r="35" spans="1:26" s="619" customFormat="1" ht="25.5">
      <c r="A35" s="618"/>
      <c r="B35" s="817">
        <v>44021</v>
      </c>
      <c r="C35" s="817">
        <v>9000</v>
      </c>
      <c r="D35" s="666"/>
      <c r="E35" s="665"/>
      <c r="F35" s="665" t="s">
        <v>909</v>
      </c>
      <c r="G35" s="665" t="s">
        <v>885</v>
      </c>
      <c r="H35" s="665" t="s">
        <v>895</v>
      </c>
      <c r="I35" s="665" t="s">
        <v>910</v>
      </c>
      <c r="J35" s="816">
        <v>41597</v>
      </c>
      <c r="K35" s="816">
        <v>41604</v>
      </c>
      <c r="L35" s="665" t="s">
        <v>888</v>
      </c>
      <c r="M35" s="665">
        <v>70</v>
      </c>
      <c r="N35" s="665">
        <v>315.00000000000006</v>
      </c>
      <c r="O35" s="665">
        <v>450.00000000000011</v>
      </c>
      <c r="P35" s="665">
        <v>900.00000000000023</v>
      </c>
      <c r="Q35" s="665">
        <v>0</v>
      </c>
      <c r="R35" s="665">
        <v>0</v>
      </c>
      <c r="S35" s="665">
        <v>0</v>
      </c>
      <c r="T35" s="665">
        <v>0</v>
      </c>
      <c r="U35" s="665">
        <v>0</v>
      </c>
      <c r="V35" s="665">
        <v>0</v>
      </c>
      <c r="W35" s="665">
        <v>0</v>
      </c>
      <c r="X35" s="665">
        <v>1300</v>
      </c>
      <c r="Y35" s="665" t="s">
        <v>53</v>
      </c>
      <c r="Z35" s="667" t="s">
        <v>155</v>
      </c>
    </row>
    <row r="36" spans="1:26" s="619" customFormat="1" ht="25.5">
      <c r="A36" s="618"/>
      <c r="B36" s="817">
        <v>44021</v>
      </c>
      <c r="C36" s="817">
        <v>9000</v>
      </c>
      <c r="D36" s="666" t="s">
        <v>911</v>
      </c>
      <c r="E36" s="665" t="s">
        <v>912</v>
      </c>
      <c r="F36" s="665" t="s">
        <v>913</v>
      </c>
      <c r="G36" s="665" t="s">
        <v>885</v>
      </c>
      <c r="H36" s="665" t="s">
        <v>895</v>
      </c>
      <c r="I36" s="665" t="s">
        <v>914</v>
      </c>
      <c r="J36" s="816">
        <v>41970</v>
      </c>
      <c r="K36" s="816">
        <v>42224</v>
      </c>
      <c r="L36" s="665" t="s">
        <v>888</v>
      </c>
      <c r="M36" s="665">
        <v>238</v>
      </c>
      <c r="N36" s="665">
        <v>357</v>
      </c>
      <c r="O36" s="665">
        <v>510</v>
      </c>
      <c r="P36" s="665">
        <v>1020.0000000000001</v>
      </c>
      <c r="Q36" s="665">
        <v>0</v>
      </c>
      <c r="R36" s="665">
        <v>0</v>
      </c>
      <c r="S36" s="665">
        <v>0</v>
      </c>
      <c r="T36" s="665">
        <v>0</v>
      </c>
      <c r="U36" s="665">
        <v>0</v>
      </c>
      <c r="V36" s="665">
        <v>0</v>
      </c>
      <c r="W36" s="665">
        <v>0</v>
      </c>
      <c r="X36" s="665">
        <v>1400</v>
      </c>
      <c r="Y36" s="665" t="s">
        <v>158</v>
      </c>
      <c r="Z36" s="667" t="s">
        <v>155</v>
      </c>
    </row>
    <row r="37" spans="1:26" s="619" customFormat="1" ht="25.5">
      <c r="A37" s="618"/>
      <c r="B37" s="817">
        <v>44021</v>
      </c>
      <c r="C37" s="817">
        <v>9000</v>
      </c>
      <c r="D37" s="666" t="s">
        <v>911</v>
      </c>
      <c r="E37" s="665" t="s">
        <v>912</v>
      </c>
      <c r="F37" s="665" t="s">
        <v>915</v>
      </c>
      <c r="G37" s="665" t="s">
        <v>885</v>
      </c>
      <c r="H37" s="665" t="s">
        <v>895</v>
      </c>
      <c r="I37" s="665" t="s">
        <v>916</v>
      </c>
      <c r="J37" s="816">
        <v>41795</v>
      </c>
      <c r="K37" s="816">
        <v>42221</v>
      </c>
      <c r="L37" s="665" t="s">
        <v>888</v>
      </c>
      <c r="M37" s="665">
        <v>238</v>
      </c>
      <c r="N37" s="665">
        <v>357</v>
      </c>
      <c r="O37" s="665">
        <v>510</v>
      </c>
      <c r="P37" s="665">
        <v>1020.0000000000001</v>
      </c>
      <c r="Q37" s="665">
        <v>0</v>
      </c>
      <c r="R37" s="665">
        <v>0</v>
      </c>
      <c r="S37" s="665">
        <v>0</v>
      </c>
      <c r="T37" s="665">
        <v>0</v>
      </c>
      <c r="U37" s="665">
        <v>0</v>
      </c>
      <c r="V37" s="665">
        <v>0</v>
      </c>
      <c r="W37" s="665">
        <v>0</v>
      </c>
      <c r="X37" s="665">
        <v>1400</v>
      </c>
      <c r="Y37" s="665" t="s">
        <v>158</v>
      </c>
      <c r="Z37" s="667" t="s">
        <v>155</v>
      </c>
    </row>
    <row r="38" spans="1:26" s="619" customFormat="1" ht="25.5">
      <c r="A38" s="618"/>
      <c r="B38" s="817">
        <v>44021</v>
      </c>
      <c r="C38" s="817">
        <v>9000</v>
      </c>
      <c r="D38" s="666" t="s">
        <v>917</v>
      </c>
      <c r="E38" s="665" t="s">
        <v>918</v>
      </c>
      <c r="F38" s="665" t="s">
        <v>919</v>
      </c>
      <c r="G38" s="665" t="s">
        <v>885</v>
      </c>
      <c r="H38" s="665" t="s">
        <v>895</v>
      </c>
      <c r="I38" s="665" t="s">
        <v>918</v>
      </c>
      <c r="J38" s="816">
        <v>42110</v>
      </c>
      <c r="K38" s="816">
        <v>42110</v>
      </c>
      <c r="L38" s="665" t="s">
        <v>888</v>
      </c>
      <c r="M38" s="665">
        <v>9</v>
      </c>
      <c r="N38" s="665">
        <v>26.999999999999996</v>
      </c>
      <c r="O38" s="665">
        <v>38.571428571428569</v>
      </c>
      <c r="P38" s="665">
        <v>77.142857142857139</v>
      </c>
      <c r="Q38" s="665">
        <v>0</v>
      </c>
      <c r="R38" s="665">
        <v>0</v>
      </c>
      <c r="S38" s="665">
        <v>0</v>
      </c>
      <c r="T38" s="665">
        <v>0</v>
      </c>
      <c r="U38" s="665">
        <v>0</v>
      </c>
      <c r="V38" s="665">
        <v>0</v>
      </c>
      <c r="W38" s="665">
        <v>0</v>
      </c>
      <c r="X38" s="665">
        <v>1200</v>
      </c>
      <c r="Y38" s="665" t="s">
        <v>920</v>
      </c>
      <c r="Z38" s="667" t="s">
        <v>155</v>
      </c>
    </row>
    <row r="39" spans="1:26" s="619" customFormat="1" ht="25.5">
      <c r="A39" s="618"/>
      <c r="B39" s="817">
        <v>44021</v>
      </c>
      <c r="C39" s="817">
        <v>9000</v>
      </c>
      <c r="D39" s="666" t="s">
        <v>921</v>
      </c>
      <c r="E39" s="665" t="s">
        <v>922</v>
      </c>
      <c r="F39" s="665" t="s">
        <v>923</v>
      </c>
      <c r="G39" s="665" t="s">
        <v>885</v>
      </c>
      <c r="H39" s="665" t="s">
        <v>895</v>
      </c>
      <c r="I39" s="665" t="s">
        <v>924</v>
      </c>
      <c r="J39" s="816">
        <v>42040</v>
      </c>
      <c r="K39" s="816">
        <v>42040</v>
      </c>
      <c r="L39" s="665" t="s">
        <v>888</v>
      </c>
      <c r="M39" s="665">
        <v>9</v>
      </c>
      <c r="N39" s="665">
        <v>33.75</v>
      </c>
      <c r="O39" s="665">
        <v>48.214285714285715</v>
      </c>
      <c r="P39" s="665">
        <v>96.428571428571431</v>
      </c>
      <c r="Q39" s="665">
        <v>0</v>
      </c>
      <c r="R39" s="665">
        <v>0</v>
      </c>
      <c r="S39" s="665">
        <v>0</v>
      </c>
      <c r="T39" s="665">
        <v>0</v>
      </c>
      <c r="U39" s="665">
        <v>0</v>
      </c>
      <c r="V39" s="665">
        <v>0</v>
      </c>
      <c r="W39" s="665">
        <v>0</v>
      </c>
      <c r="X39" s="665">
        <v>1100</v>
      </c>
      <c r="Y39" s="665" t="s">
        <v>51</v>
      </c>
      <c r="Z39" s="667" t="s">
        <v>155</v>
      </c>
    </row>
    <row r="40" spans="1:26" s="619" customFormat="1" ht="25.5">
      <c r="A40" s="618"/>
      <c r="B40" s="817">
        <v>44021</v>
      </c>
      <c r="C40" s="817">
        <v>9000</v>
      </c>
      <c r="D40" s="666" t="s">
        <v>925</v>
      </c>
      <c r="E40" s="665"/>
      <c r="F40" s="665" t="s">
        <v>926</v>
      </c>
      <c r="G40" s="665" t="s">
        <v>927</v>
      </c>
      <c r="H40" s="665" t="s">
        <v>895</v>
      </c>
      <c r="I40" s="665" t="s">
        <v>928</v>
      </c>
      <c r="J40" s="816">
        <v>42527</v>
      </c>
      <c r="K40" s="816">
        <v>42527</v>
      </c>
      <c r="L40" s="665" t="s">
        <v>929</v>
      </c>
      <c r="M40" s="665">
        <v>500</v>
      </c>
      <c r="N40" s="665">
        <v>1125</v>
      </c>
      <c r="O40" s="665">
        <v>1607.1428571428571</v>
      </c>
      <c r="P40" s="665">
        <v>3214.2857142857147</v>
      </c>
      <c r="Q40" s="665">
        <v>0</v>
      </c>
      <c r="R40" s="665">
        <v>0</v>
      </c>
      <c r="S40" s="665">
        <v>0</v>
      </c>
      <c r="T40" s="665">
        <v>0</v>
      </c>
      <c r="U40" s="665">
        <v>0</v>
      </c>
      <c r="V40" s="665">
        <v>0</v>
      </c>
      <c r="W40" s="665">
        <v>0</v>
      </c>
      <c r="X40" s="665">
        <v>300</v>
      </c>
      <c r="Y40" s="665" t="s">
        <v>33</v>
      </c>
      <c r="Z40" s="667" t="s">
        <v>388</v>
      </c>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3863.5</v>
      </c>
      <c r="N58" s="623">
        <f>SUM(N28:N57)</f>
        <v>4912.5</v>
      </c>
      <c r="O58" s="623">
        <f t="shared" ref="O58:W58" si="2">SUM(O28:O57)</f>
        <v>7021.6339285714284</v>
      </c>
      <c r="P58" s="623">
        <f t="shared" si="2"/>
        <v>13937.142857142859</v>
      </c>
      <c r="Q58" s="623">
        <f t="shared" si="2"/>
        <v>0</v>
      </c>
      <c r="R58" s="623">
        <f t="shared" si="2"/>
        <v>0</v>
      </c>
      <c r="S58" s="623">
        <f t="shared" si="2"/>
        <v>0</v>
      </c>
      <c r="T58" s="623">
        <f t="shared" si="2"/>
        <v>0</v>
      </c>
      <c r="U58" s="623">
        <f t="shared" si="2"/>
        <v>101.25</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2700</v>
      </c>
      <c r="N59" s="623">
        <f t="shared" si="3"/>
        <v>1125</v>
      </c>
      <c r="O59" s="623">
        <f t="shared" si="3"/>
        <v>1607.1428571428571</v>
      </c>
      <c r="P59" s="623">
        <f t="shared" si="3"/>
        <v>3214.2857142857147</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1163.5</v>
      </c>
      <c r="N60" s="623">
        <f ca="1">SUMIF($Z$28:AD57,"tertiair",N28:N57)</f>
        <v>3787.5</v>
      </c>
      <c r="O60" s="623">
        <f ca="1">SUMIF($Z$28:AE57,"tertiair",O28:O57)</f>
        <v>5414.4910714285716</v>
      </c>
      <c r="P60" s="623">
        <f ca="1">SUMIF($Z$28:AF57,"tertiair",P28:P57)</f>
        <v>10722.857142857143</v>
      </c>
      <c r="Q60" s="623">
        <f ca="1">SUMIF($Z$28:AG57,"tertiair",Q28:Q57)</f>
        <v>0</v>
      </c>
      <c r="R60" s="623">
        <f ca="1">SUMIF($Z$28:AH57,"tertiair",R28:R57)</f>
        <v>0</v>
      </c>
      <c r="S60" s="623">
        <f ca="1">SUMIF($Z$28:AI57,"tertiair",S28:S57)</f>
        <v>0</v>
      </c>
      <c r="T60" s="623">
        <f ca="1">SUMIF($Z$28:AJ57,"tertiair",T28:T57)</f>
        <v>0</v>
      </c>
      <c r="U60" s="623">
        <f ca="1">SUMIF($Z$28:AK57,"tertiair",U28:U57)</f>
        <v>101.25</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63.75">
      <c r="A64" s="620"/>
      <c r="B64" s="817">
        <v>44021</v>
      </c>
      <c r="C64" s="817">
        <v>9000</v>
      </c>
      <c r="D64" s="668" t="s">
        <v>930</v>
      </c>
      <c r="E64" s="668" t="s">
        <v>931</v>
      </c>
      <c r="F64" s="668" t="s">
        <v>932</v>
      </c>
      <c r="G64" s="668" t="s">
        <v>933</v>
      </c>
      <c r="H64" s="668" t="s">
        <v>934</v>
      </c>
      <c r="I64" s="668" t="s">
        <v>935</v>
      </c>
      <c r="J64" s="816">
        <v>38292</v>
      </c>
      <c r="K64" s="816">
        <v>38687</v>
      </c>
      <c r="L64" s="668" t="s">
        <v>936</v>
      </c>
      <c r="M64" s="668">
        <v>413</v>
      </c>
      <c r="N64" s="668">
        <v>1858.5</v>
      </c>
      <c r="O64" s="668">
        <v>0</v>
      </c>
      <c r="P64" s="668">
        <v>0</v>
      </c>
      <c r="Q64" s="668">
        <v>5310</v>
      </c>
      <c r="R64" s="668">
        <v>0</v>
      </c>
      <c r="S64" s="668">
        <v>0</v>
      </c>
      <c r="T64" s="668">
        <v>0</v>
      </c>
      <c r="U64" s="668">
        <v>0</v>
      </c>
      <c r="V64" s="668">
        <v>0</v>
      </c>
      <c r="W64" s="668">
        <v>0</v>
      </c>
      <c r="X64" s="668">
        <v>1600</v>
      </c>
      <c r="Y64" s="668" t="s">
        <v>49</v>
      </c>
      <c r="Z64" s="669" t="s">
        <v>155</v>
      </c>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413</v>
      </c>
      <c r="N89" s="623">
        <f t="shared" ref="N89:W89" si="5">SUM(N64:N88)</f>
        <v>1858.5</v>
      </c>
      <c r="O89" s="623">
        <f t="shared" si="5"/>
        <v>0</v>
      </c>
      <c r="P89" s="623">
        <f t="shared" si="5"/>
        <v>0</v>
      </c>
      <c r="Q89" s="623">
        <f t="shared" si="5"/>
        <v>5310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413</v>
      </c>
      <c r="N91" s="623">
        <f t="shared" si="7"/>
        <v>1858.5</v>
      </c>
      <c r="O91" s="623">
        <f t="shared" si="7"/>
        <v>0</v>
      </c>
      <c r="P91" s="623">
        <f t="shared" si="7"/>
        <v>0</v>
      </c>
      <c r="Q91" s="623">
        <f t="shared" si="7"/>
        <v>5310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0.58836560496115964</v>
      </c>
      <c r="C98" s="648">
        <f>IF(ISERROR(N58/(O58+N58)),0,N58/(N58+O58))</f>
        <v>0.41163439503884047</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5737.0073685698972</v>
      </c>
      <c r="C101" s="657">
        <f t="shared" si="9"/>
        <v>0</v>
      </c>
      <c r="D101" s="657">
        <f t="shared" si="9"/>
        <v>0</v>
      </c>
      <c r="E101" s="657">
        <f t="shared" si="9"/>
        <v>0</v>
      </c>
      <c r="F101" s="657">
        <f t="shared" si="9"/>
        <v>0</v>
      </c>
      <c r="G101" s="657">
        <f t="shared" si="9"/>
        <v>41.677982497682599</v>
      </c>
      <c r="H101" s="657">
        <f t="shared" si="9"/>
        <v>0</v>
      </c>
      <c r="I101" s="658">
        <f t="shared" si="9"/>
        <v>0</v>
      </c>
      <c r="J101" s="615"/>
      <c r="K101" s="615"/>
      <c r="L101" s="653"/>
      <c r="M101" s="653"/>
      <c r="N101" s="653"/>
      <c r="O101" s="640"/>
      <c r="P101" s="640"/>
    </row>
    <row r="102" spans="1:16" ht="15.75" thickBot="1">
      <c r="A102" s="659" t="s">
        <v>285</v>
      </c>
      <c r="B102" s="660">
        <f t="shared" ref="B102:I102" si="10">$B$98*P58</f>
        <v>8200.1354885729634</v>
      </c>
      <c r="C102" s="660">
        <f t="shared" si="10"/>
        <v>0</v>
      </c>
      <c r="D102" s="660">
        <f t="shared" si="10"/>
        <v>0</v>
      </c>
      <c r="E102" s="660">
        <f t="shared" si="10"/>
        <v>0</v>
      </c>
      <c r="F102" s="660">
        <f t="shared" si="10"/>
        <v>0</v>
      </c>
      <c r="G102" s="660">
        <f t="shared" si="10"/>
        <v>59.572017502317415</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363358.74150638736</v>
      </c>
      <c r="C4" s="478">
        <f>huishoudens!C8</f>
        <v>0</v>
      </c>
      <c r="D4" s="478">
        <f>huishoudens!D8</f>
        <v>1072402.6342730578</v>
      </c>
      <c r="E4" s="478">
        <f>huishoudens!E8</f>
        <v>45728.961356259824</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81396.618942398505</v>
      </c>
      <c r="O4" s="478">
        <f>huishoudens!O8</f>
        <v>3323.1300174732783</v>
      </c>
      <c r="P4" s="479">
        <f>huishoudens!P8</f>
        <v>4656.0100139967799</v>
      </c>
      <c r="Q4" s="480">
        <f>SUM(B4:P4)</f>
        <v>1570866.096109574</v>
      </c>
    </row>
    <row r="5" spans="1:17">
      <c r="A5" s="477" t="s">
        <v>155</v>
      </c>
      <c r="B5" s="478">
        <f ca="1">tertiair!B16</f>
        <v>719316.97253000014</v>
      </c>
      <c r="C5" s="478">
        <f ca="1">tertiair!C16</f>
        <v>5414.4910714285716</v>
      </c>
      <c r="D5" s="478">
        <f ca="1">tertiair!D16</f>
        <v>819826.09218086279</v>
      </c>
      <c r="E5" s="478">
        <f>tertiair!E16</f>
        <v>9638.1591253773677</v>
      </c>
      <c r="F5" s="478">
        <f ca="1">tertiair!F16</f>
        <v>79512.336627302284</v>
      </c>
      <c r="G5" s="478">
        <f>tertiair!G16</f>
        <v>0</v>
      </c>
      <c r="H5" s="478">
        <f>tertiair!H16</f>
        <v>0</v>
      </c>
      <c r="I5" s="478">
        <f>tertiair!I16</f>
        <v>0</v>
      </c>
      <c r="J5" s="478">
        <f>tertiair!J16</f>
        <v>0.83821912146822097</v>
      </c>
      <c r="K5" s="478">
        <f>tertiair!K16</f>
        <v>0</v>
      </c>
      <c r="L5" s="478">
        <f ca="1">tertiair!L16</f>
        <v>0</v>
      </c>
      <c r="M5" s="478">
        <f>tertiair!M16</f>
        <v>0</v>
      </c>
      <c r="N5" s="478">
        <f ca="1">tertiair!N16</f>
        <v>28529.321829268913</v>
      </c>
      <c r="O5" s="478">
        <f>tertiair!O16</f>
        <v>151.8150837410758</v>
      </c>
      <c r="P5" s="479">
        <f>tertiair!P16</f>
        <v>1523.6350108883557</v>
      </c>
      <c r="Q5" s="477">
        <f t="shared" ref="Q5:Q14" ca="1" si="0">SUM(B5:P5)</f>
        <v>1663913.661677991</v>
      </c>
    </row>
    <row r="6" spans="1:17">
      <c r="A6" s="477" t="s">
        <v>193</v>
      </c>
      <c r="B6" s="478">
        <f>'openbare verlichting'!B8</f>
        <v>13408.469880000001</v>
      </c>
      <c r="C6" s="478"/>
      <c r="D6" s="478"/>
      <c r="E6" s="478"/>
      <c r="F6" s="478"/>
      <c r="G6" s="478"/>
      <c r="H6" s="478"/>
      <c r="I6" s="478"/>
      <c r="J6" s="478"/>
      <c r="K6" s="478"/>
      <c r="L6" s="478"/>
      <c r="M6" s="478"/>
      <c r="N6" s="478"/>
      <c r="O6" s="478"/>
      <c r="P6" s="479"/>
      <c r="Q6" s="477">
        <f t="shared" si="0"/>
        <v>13408.469880000001</v>
      </c>
    </row>
    <row r="7" spans="1:17">
      <c r="A7" s="477" t="s">
        <v>111</v>
      </c>
      <c r="B7" s="478">
        <f>landbouw!B8</f>
        <v>3187.3418360000001</v>
      </c>
      <c r="C7" s="478">
        <f>landbouw!C8</f>
        <v>0</v>
      </c>
      <c r="D7" s="478">
        <f>landbouw!D8</f>
        <v>5332.3719018239999</v>
      </c>
      <c r="E7" s="478">
        <f>landbouw!E8</f>
        <v>99.475887645889003</v>
      </c>
      <c r="F7" s="478">
        <f>landbouw!F8</f>
        <v>11264.419132627794</v>
      </c>
      <c r="G7" s="478">
        <f>landbouw!G8</f>
        <v>0</v>
      </c>
      <c r="H7" s="478">
        <f>landbouw!H8</f>
        <v>0</v>
      </c>
      <c r="I7" s="478">
        <f>landbouw!I8</f>
        <v>0</v>
      </c>
      <c r="J7" s="478">
        <f>landbouw!J8</f>
        <v>878.13477983991424</v>
      </c>
      <c r="K7" s="478">
        <f>landbouw!K8</f>
        <v>0</v>
      </c>
      <c r="L7" s="478">
        <f>landbouw!L8</f>
        <v>0</v>
      </c>
      <c r="M7" s="478">
        <f>landbouw!M8</f>
        <v>0</v>
      </c>
      <c r="N7" s="478">
        <f>landbouw!N8</f>
        <v>0</v>
      </c>
      <c r="O7" s="478">
        <f>landbouw!O8</f>
        <v>0</v>
      </c>
      <c r="P7" s="479">
        <f>landbouw!P8</f>
        <v>0</v>
      </c>
      <c r="Q7" s="477">
        <f t="shared" si="0"/>
        <v>20761.743537937597</v>
      </c>
    </row>
    <row r="8" spans="1:17">
      <c r="A8" s="477" t="s">
        <v>629</v>
      </c>
      <c r="B8" s="478">
        <f>industrie!B18</f>
        <v>351595.88118899998</v>
      </c>
      <c r="C8" s="478">
        <f>industrie!C18</f>
        <v>1607.1428571428571</v>
      </c>
      <c r="D8" s="478">
        <f>industrie!D18</f>
        <v>267491.55656766624</v>
      </c>
      <c r="E8" s="478">
        <f>industrie!E18</f>
        <v>15949.393560889814</v>
      </c>
      <c r="F8" s="478">
        <f>industrie!F18</f>
        <v>70910.808138249951</v>
      </c>
      <c r="G8" s="478">
        <f>industrie!G18</f>
        <v>0</v>
      </c>
      <c r="H8" s="478">
        <f>industrie!H18</f>
        <v>0</v>
      </c>
      <c r="I8" s="478">
        <f>industrie!I18</f>
        <v>0</v>
      </c>
      <c r="J8" s="478">
        <f>industrie!J18</f>
        <v>2781.4205217909871</v>
      </c>
      <c r="K8" s="478">
        <f>industrie!K18</f>
        <v>0</v>
      </c>
      <c r="L8" s="478">
        <f>industrie!L18</f>
        <v>0</v>
      </c>
      <c r="M8" s="478">
        <f>industrie!M18</f>
        <v>0</v>
      </c>
      <c r="N8" s="478">
        <f>industrie!N18</f>
        <v>23241.94673487392</v>
      </c>
      <c r="O8" s="478">
        <f>industrie!O18</f>
        <v>0</v>
      </c>
      <c r="P8" s="479">
        <f>industrie!P18</f>
        <v>0</v>
      </c>
      <c r="Q8" s="477">
        <f t="shared" si="0"/>
        <v>733578.14956961363</v>
      </c>
    </row>
    <row r="9" spans="1:17" s="483" customFormat="1">
      <c r="A9" s="481" t="s">
        <v>555</v>
      </c>
      <c r="B9" s="482">
        <f>transport!B14</f>
        <v>1033.9914388833331</v>
      </c>
      <c r="C9" s="482">
        <f>transport!C14</f>
        <v>0</v>
      </c>
      <c r="D9" s="482">
        <f>transport!D14</f>
        <v>4172.2108223705545</v>
      </c>
      <c r="E9" s="482">
        <f>transport!E14</f>
        <v>3606.1389576269025</v>
      </c>
      <c r="F9" s="482">
        <f>transport!F14</f>
        <v>0</v>
      </c>
      <c r="G9" s="482">
        <f>transport!G14</f>
        <v>1617857.1974117905</v>
      </c>
      <c r="H9" s="482">
        <f>transport!H14</f>
        <v>317362.34474557888</v>
      </c>
      <c r="I9" s="482">
        <f>transport!I14</f>
        <v>0</v>
      </c>
      <c r="J9" s="482">
        <f>transport!J14</f>
        <v>0</v>
      </c>
      <c r="K9" s="482">
        <f>transport!K14</f>
        <v>0</v>
      </c>
      <c r="L9" s="482">
        <f>transport!L14</f>
        <v>0</v>
      </c>
      <c r="M9" s="482">
        <f>transport!M14</f>
        <v>114141.64590452838</v>
      </c>
      <c r="N9" s="482">
        <f>transport!N14</f>
        <v>0</v>
      </c>
      <c r="O9" s="482">
        <f>transport!O14</f>
        <v>0</v>
      </c>
      <c r="P9" s="482">
        <f>transport!P14</f>
        <v>0</v>
      </c>
      <c r="Q9" s="481">
        <f>SUM(B9:P9)</f>
        <v>2058173.5292807787</v>
      </c>
    </row>
    <row r="10" spans="1:17">
      <c r="A10" s="477" t="s">
        <v>545</v>
      </c>
      <c r="B10" s="478">
        <f>transport!B54</f>
        <v>9209.298675</v>
      </c>
      <c r="C10" s="478">
        <f>transport!C54</f>
        <v>0</v>
      </c>
      <c r="D10" s="478">
        <f>transport!D54</f>
        <v>0</v>
      </c>
      <c r="E10" s="478">
        <f>transport!E54</f>
        <v>0</v>
      </c>
      <c r="F10" s="478">
        <f>transport!F54</f>
        <v>0</v>
      </c>
      <c r="G10" s="478">
        <f>transport!G54</f>
        <v>34608.221439958048</v>
      </c>
      <c r="H10" s="478">
        <f>transport!H54</f>
        <v>0</v>
      </c>
      <c r="I10" s="478">
        <f>transport!I54</f>
        <v>0</v>
      </c>
      <c r="J10" s="478">
        <f>transport!J54</f>
        <v>0</v>
      </c>
      <c r="K10" s="478">
        <f>transport!K54</f>
        <v>0</v>
      </c>
      <c r="L10" s="478">
        <f>transport!L54</f>
        <v>0</v>
      </c>
      <c r="M10" s="478">
        <f>transport!M54</f>
        <v>1923.5287768222138</v>
      </c>
      <c r="N10" s="478">
        <f>transport!N54</f>
        <v>0</v>
      </c>
      <c r="O10" s="478">
        <f>transport!O54</f>
        <v>0</v>
      </c>
      <c r="P10" s="479">
        <f>transport!P54</f>
        <v>0</v>
      </c>
      <c r="Q10" s="477">
        <f t="shared" si="0"/>
        <v>45741.048891780258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23194.462359999998</v>
      </c>
      <c r="C14" s="485"/>
      <c r="D14" s="485">
        <f>'SEAP template'!E25</f>
        <v>95128.243780000004</v>
      </c>
      <c r="E14" s="485"/>
      <c r="F14" s="485"/>
      <c r="G14" s="485"/>
      <c r="H14" s="485"/>
      <c r="I14" s="485"/>
      <c r="J14" s="485"/>
      <c r="K14" s="485"/>
      <c r="L14" s="485"/>
      <c r="M14" s="485"/>
      <c r="N14" s="485"/>
      <c r="O14" s="485"/>
      <c r="P14" s="486"/>
      <c r="Q14" s="477">
        <f t="shared" si="0"/>
        <v>118322.70613999999</v>
      </c>
    </row>
    <row r="15" spans="1:17" s="489" customFormat="1">
      <c r="A15" s="487" t="s">
        <v>549</v>
      </c>
      <c r="B15" s="488">
        <f ca="1">SUM(B4:B14)</f>
        <v>1484305.1594152707</v>
      </c>
      <c r="C15" s="488">
        <f t="shared" ref="C15:Q15" ca="1" si="1">SUM(C4:C14)</f>
        <v>7021.6339285714284</v>
      </c>
      <c r="D15" s="488">
        <f t="shared" ca="1" si="1"/>
        <v>2264353.1095257811</v>
      </c>
      <c r="E15" s="488">
        <f t="shared" si="1"/>
        <v>75022.128887799787</v>
      </c>
      <c r="F15" s="488">
        <f t="shared" ca="1" si="1"/>
        <v>161687.56389818003</v>
      </c>
      <c r="G15" s="488">
        <f t="shared" si="1"/>
        <v>1652465.4188517486</v>
      </c>
      <c r="H15" s="488">
        <f t="shared" si="1"/>
        <v>317362.34474557888</v>
      </c>
      <c r="I15" s="488">
        <f t="shared" si="1"/>
        <v>0</v>
      </c>
      <c r="J15" s="488">
        <f t="shared" si="1"/>
        <v>3660.3935207523696</v>
      </c>
      <c r="K15" s="488">
        <f t="shared" si="1"/>
        <v>0</v>
      </c>
      <c r="L15" s="488">
        <f t="shared" ca="1" si="1"/>
        <v>0</v>
      </c>
      <c r="M15" s="488">
        <f t="shared" si="1"/>
        <v>116065.1746813506</v>
      </c>
      <c r="N15" s="488">
        <f t="shared" ca="1" si="1"/>
        <v>133167.88750654133</v>
      </c>
      <c r="O15" s="488">
        <f t="shared" si="1"/>
        <v>3474.9451012143541</v>
      </c>
      <c r="P15" s="488">
        <f t="shared" si="1"/>
        <v>6179.6450248851361</v>
      </c>
      <c r="Q15" s="488">
        <f t="shared" ca="1" si="1"/>
        <v>6224765.4050876759</v>
      </c>
    </row>
    <row r="17" spans="1:17">
      <c r="A17" s="490" t="s">
        <v>550</v>
      </c>
      <c r="B17" s="807">
        <f ca="1">huishoudens!B10</f>
        <v>0.18625829501507271</v>
      </c>
      <c r="C17" s="807">
        <f ca="1">huishoudens!C10</f>
        <v>0.23590340731829401</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67678.579671802247</v>
      </c>
      <c r="C22" s="478">
        <f t="shared" ref="C22:C32" ca="1" si="3">C4*$C$17</f>
        <v>0</v>
      </c>
      <c r="D22" s="478">
        <f t="shared" ref="D22:D32" si="4">D4*$D$17</f>
        <v>216625.33212315768</v>
      </c>
      <c r="E22" s="478">
        <f t="shared" ref="E22:E32" si="5">E4*$E$17</f>
        <v>10380.47422787098</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294684.38602283091</v>
      </c>
    </row>
    <row r="23" spans="1:17">
      <c r="A23" s="477" t="s">
        <v>155</v>
      </c>
      <c r="B23" s="478">
        <f t="shared" ca="1" si="2"/>
        <v>133978.75287884171</v>
      </c>
      <c r="C23" s="478">
        <f t="shared" ca="1" si="3"/>
        <v>1277.2968926444805</v>
      </c>
      <c r="D23" s="478">
        <f t="shared" ca="1" si="4"/>
        <v>165604.87062053429</v>
      </c>
      <c r="E23" s="478">
        <f t="shared" si="5"/>
        <v>2187.8621214606624</v>
      </c>
      <c r="F23" s="478">
        <f t="shared" ca="1" si="6"/>
        <v>21229.793879489713</v>
      </c>
      <c r="G23" s="478">
        <f t="shared" si="7"/>
        <v>0</v>
      </c>
      <c r="H23" s="478">
        <f t="shared" si="8"/>
        <v>0</v>
      </c>
      <c r="I23" s="478">
        <f t="shared" si="9"/>
        <v>0</v>
      </c>
      <c r="J23" s="478">
        <f t="shared" si="10"/>
        <v>0.29672956899975023</v>
      </c>
      <c r="K23" s="478">
        <f t="shared" si="11"/>
        <v>0</v>
      </c>
      <c r="L23" s="478">
        <f t="shared" ca="1" si="12"/>
        <v>0</v>
      </c>
      <c r="M23" s="478">
        <f t="shared" si="13"/>
        <v>0</v>
      </c>
      <c r="N23" s="478">
        <f t="shared" ca="1" si="14"/>
        <v>0</v>
      </c>
      <c r="O23" s="478">
        <f t="shared" si="15"/>
        <v>0</v>
      </c>
      <c r="P23" s="479">
        <f t="shared" si="16"/>
        <v>0</v>
      </c>
      <c r="Q23" s="477">
        <f t="shared" ref="Q23:Q31" ca="1" si="17">SUM(B23:P23)</f>
        <v>324278.87312253984</v>
      </c>
    </row>
    <row r="24" spans="1:17">
      <c r="A24" s="477" t="s">
        <v>193</v>
      </c>
      <c r="B24" s="478">
        <f t="shared" ca="1" si="2"/>
        <v>2497.4387386097569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2497.4387386097569</v>
      </c>
    </row>
    <row r="25" spans="1:17">
      <c r="A25" s="477" t="s">
        <v>111</v>
      </c>
      <c r="B25" s="478">
        <f t="shared" ca="1" si="2"/>
        <v>593.66885600357148</v>
      </c>
      <c r="C25" s="478">
        <f t="shared" ca="1" si="3"/>
        <v>0</v>
      </c>
      <c r="D25" s="478">
        <f t="shared" si="4"/>
        <v>1077.139124168448</v>
      </c>
      <c r="E25" s="478">
        <f t="shared" si="5"/>
        <v>22.581026495616804</v>
      </c>
      <c r="F25" s="478">
        <f t="shared" si="6"/>
        <v>3007.5999084116211</v>
      </c>
      <c r="G25" s="478">
        <f t="shared" si="7"/>
        <v>0</v>
      </c>
      <c r="H25" s="478">
        <f t="shared" si="8"/>
        <v>0</v>
      </c>
      <c r="I25" s="478">
        <f t="shared" si="9"/>
        <v>0</v>
      </c>
      <c r="J25" s="478">
        <f t="shared" si="10"/>
        <v>310.85971206332965</v>
      </c>
      <c r="K25" s="478">
        <f t="shared" si="11"/>
        <v>0</v>
      </c>
      <c r="L25" s="478">
        <f t="shared" si="12"/>
        <v>0</v>
      </c>
      <c r="M25" s="478">
        <f t="shared" si="13"/>
        <v>0</v>
      </c>
      <c r="N25" s="478">
        <f t="shared" si="14"/>
        <v>0</v>
      </c>
      <c r="O25" s="478">
        <f t="shared" si="15"/>
        <v>0</v>
      </c>
      <c r="P25" s="479">
        <f t="shared" si="16"/>
        <v>0</v>
      </c>
      <c r="Q25" s="477">
        <f t="shared" ca="1" si="17"/>
        <v>5011.8486271425863</v>
      </c>
    </row>
    <row r="26" spans="1:17">
      <c r="A26" s="477" t="s">
        <v>629</v>
      </c>
      <c r="B26" s="478">
        <f t="shared" ca="1" si="2"/>
        <v>65487.64936458521</v>
      </c>
      <c r="C26" s="478">
        <f t="shared" ca="1" si="3"/>
        <v>379.13047604725824</v>
      </c>
      <c r="D26" s="478">
        <f t="shared" si="4"/>
        <v>54033.294426668581</v>
      </c>
      <c r="E26" s="478">
        <f t="shared" si="5"/>
        <v>3620.512338321988</v>
      </c>
      <c r="F26" s="478">
        <f t="shared" si="6"/>
        <v>18933.185772912737</v>
      </c>
      <c r="G26" s="478">
        <f t="shared" si="7"/>
        <v>0</v>
      </c>
      <c r="H26" s="478">
        <f t="shared" si="8"/>
        <v>0</v>
      </c>
      <c r="I26" s="478">
        <f t="shared" si="9"/>
        <v>0</v>
      </c>
      <c r="J26" s="478">
        <f t="shared" si="10"/>
        <v>984.62286471400932</v>
      </c>
      <c r="K26" s="478">
        <f t="shared" si="11"/>
        <v>0</v>
      </c>
      <c r="L26" s="478">
        <f t="shared" si="12"/>
        <v>0</v>
      </c>
      <c r="M26" s="478">
        <f t="shared" si="13"/>
        <v>0</v>
      </c>
      <c r="N26" s="478">
        <f t="shared" si="14"/>
        <v>0</v>
      </c>
      <c r="O26" s="478">
        <f t="shared" si="15"/>
        <v>0</v>
      </c>
      <c r="P26" s="479">
        <f t="shared" si="16"/>
        <v>0</v>
      </c>
      <c r="Q26" s="477">
        <f t="shared" ca="1" si="17"/>
        <v>143438.39524324978</v>
      </c>
    </row>
    <row r="27" spans="1:17" s="483" customFormat="1">
      <c r="A27" s="481" t="s">
        <v>555</v>
      </c>
      <c r="B27" s="801">
        <f t="shared" ca="1" si="2"/>
        <v>192.58948246659139</v>
      </c>
      <c r="C27" s="482">
        <f t="shared" ca="1" si="3"/>
        <v>0</v>
      </c>
      <c r="D27" s="482">
        <f t="shared" si="4"/>
        <v>842.78658611885203</v>
      </c>
      <c r="E27" s="482">
        <f t="shared" si="5"/>
        <v>818.59354338130686</v>
      </c>
      <c r="F27" s="482">
        <f t="shared" si="6"/>
        <v>0</v>
      </c>
      <c r="G27" s="482">
        <f t="shared" si="7"/>
        <v>431967.87170894811</v>
      </c>
      <c r="H27" s="482">
        <f t="shared" si="8"/>
        <v>79023.223841649145</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512845.06516256399</v>
      </c>
    </row>
    <row r="28" spans="1:17" ht="16.5" customHeight="1">
      <c r="A28" s="477" t="s">
        <v>545</v>
      </c>
      <c r="B28" s="478">
        <f t="shared" ca="1" si="2"/>
        <v>1715.3082694900681</v>
      </c>
      <c r="C28" s="478">
        <f t="shared" ca="1" si="3"/>
        <v>0</v>
      </c>
      <c r="D28" s="478">
        <f t="shared" si="4"/>
        <v>0</v>
      </c>
      <c r="E28" s="478">
        <f t="shared" si="5"/>
        <v>0</v>
      </c>
      <c r="F28" s="478">
        <f t="shared" si="6"/>
        <v>0</v>
      </c>
      <c r="G28" s="478">
        <f t="shared" si="7"/>
        <v>9240.3951244687996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10955.703393958867</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4320.1610129648789</v>
      </c>
      <c r="C32" s="478">
        <f t="shared" ca="1" si="3"/>
        <v>0</v>
      </c>
      <c r="D32" s="478">
        <f t="shared" si="4"/>
        <v>19215.905243560002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23536.066256524882</v>
      </c>
    </row>
    <row r="33" spans="1:17" s="489" customFormat="1">
      <c r="A33" s="487" t="s">
        <v>549</v>
      </c>
      <c r="B33" s="488">
        <f ca="1">SUM(B22:B32)</f>
        <v>276464.14827476407</v>
      </c>
      <c r="C33" s="488">
        <f t="shared" ref="C33:Q33" ca="1" si="19">SUM(C22:C32)</f>
        <v>1656.4273686917388</v>
      </c>
      <c r="D33" s="488">
        <f t="shared" ca="1" si="19"/>
        <v>457399.32812420779</v>
      </c>
      <c r="E33" s="488">
        <f t="shared" si="19"/>
        <v>17030.023257530553</v>
      </c>
      <c r="F33" s="488">
        <f t="shared" ca="1" si="19"/>
        <v>43170.579560814069</v>
      </c>
      <c r="G33" s="488">
        <f t="shared" si="19"/>
        <v>441208.26683341688</v>
      </c>
      <c r="H33" s="488">
        <f t="shared" si="19"/>
        <v>79023.223841649145</v>
      </c>
      <c r="I33" s="488">
        <f t="shared" si="19"/>
        <v>0</v>
      </c>
      <c r="J33" s="488">
        <f t="shared" si="19"/>
        <v>1295.7793063463387</v>
      </c>
      <c r="K33" s="488">
        <f t="shared" si="19"/>
        <v>0</v>
      </c>
      <c r="L33" s="488">
        <f t="shared" ca="1" si="19"/>
        <v>0</v>
      </c>
      <c r="M33" s="488">
        <f t="shared" si="19"/>
        <v>0</v>
      </c>
      <c r="N33" s="488">
        <f t="shared" ca="1" si="19"/>
        <v>0</v>
      </c>
      <c r="O33" s="488">
        <f t="shared" si="19"/>
        <v>0</v>
      </c>
      <c r="P33" s="488">
        <f t="shared" si="19"/>
        <v>0</v>
      </c>
      <c r="Q33" s="488">
        <f t="shared" ca="1" si="19"/>
        <v>1317247.7765674207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178643.64228126049</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58042.370167941277</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35.430738408700627</v>
      </c>
      <c r="C8" s="1062">
        <f>'SEAP template'!C76</f>
        <v>4877.0692615912985</v>
      </c>
      <c r="D8" s="1062">
        <f>'SEAP template'!D76</f>
        <v>5737.0073685698972</v>
      </c>
      <c r="E8" s="1062">
        <f>'SEAP template'!E76</f>
        <v>0</v>
      </c>
      <c r="F8" s="1062">
        <f>'SEAP template'!F76</f>
        <v>0</v>
      </c>
      <c r="G8" s="1062">
        <f>'SEAP template'!G76</f>
        <v>0</v>
      </c>
      <c r="H8" s="1062">
        <f>'SEAP template'!H76</f>
        <v>0</v>
      </c>
      <c r="I8" s="1062">
        <f>'SEAP template'!I76</f>
        <v>41.677982497682599</v>
      </c>
      <c r="J8" s="1062">
        <f>'SEAP template'!J76</f>
        <v>0</v>
      </c>
      <c r="K8" s="1062">
        <f>'SEAP template'!K76</f>
        <v>0</v>
      </c>
      <c r="L8" s="1062">
        <f>'SEAP template'!L76</f>
        <v>0</v>
      </c>
      <c r="M8" s="1062">
        <f>'SEAP template'!M76</f>
        <v>0</v>
      </c>
      <c r="N8" s="1062">
        <f>'SEAP template'!N76</f>
        <v>0</v>
      </c>
      <c r="O8" s="1062">
        <f>'SEAP template'!O76</f>
        <v>0</v>
      </c>
      <c r="P8" s="1063">
        <f>'SEAP template'!Q76</f>
        <v>1158.8754884511193</v>
      </c>
    </row>
    <row r="9" spans="1:16">
      <c r="A9" s="1068" t="s">
        <v>803</v>
      </c>
      <c r="B9" s="1062">
        <f>'SEAP template'!B77</f>
        <v>1858.5</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5310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238579.94318761048</v>
      </c>
      <c r="C10" s="1064">
        <f>SUM(C4:C9)</f>
        <v>4877.0692615912985</v>
      </c>
      <c r="D10" s="1064">
        <f t="shared" ref="D10:H10" si="0">SUM(D8:D9)</f>
        <v>5737.0073685698972</v>
      </c>
      <c r="E10" s="1064">
        <f t="shared" si="0"/>
        <v>0</v>
      </c>
      <c r="F10" s="1064">
        <f t="shared" si="0"/>
        <v>0</v>
      </c>
      <c r="G10" s="1064">
        <f t="shared" si="0"/>
        <v>0</v>
      </c>
      <c r="H10" s="1064">
        <f t="shared" si="0"/>
        <v>0</v>
      </c>
      <c r="I10" s="1064">
        <f>SUM(I8:I9)</f>
        <v>41.677982497682599</v>
      </c>
      <c r="J10" s="1064">
        <f>SUM(J8:J9)</f>
        <v>5310</v>
      </c>
      <c r="K10" s="1064">
        <f t="shared" ref="K10:L10" si="1">SUM(K8:K9)</f>
        <v>0</v>
      </c>
      <c r="L10" s="1064">
        <f t="shared" si="1"/>
        <v>0</v>
      </c>
      <c r="M10" s="1064">
        <f>SUM(M8:M9)</f>
        <v>0</v>
      </c>
      <c r="N10" s="1064">
        <f>SUM(N8:N9)</f>
        <v>0</v>
      </c>
      <c r="O10" s="1064">
        <f>SUM(O8:O9)</f>
        <v>0</v>
      </c>
      <c r="P10" s="1064">
        <f>SUM(P8:P9)</f>
        <v>1158.8754884511193</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0.18625829501507271</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50.642580137378353</v>
      </c>
      <c r="C17" s="1065">
        <f>'SEAP template'!C87</f>
        <v>6970.9913484340495</v>
      </c>
      <c r="D17" s="1063">
        <f>'SEAP template'!D87</f>
        <v>8200.1354885729634</v>
      </c>
      <c r="E17" s="1063">
        <f>'SEAP template'!E87</f>
        <v>0</v>
      </c>
      <c r="F17" s="1063">
        <f>'SEAP template'!F87</f>
        <v>0</v>
      </c>
      <c r="G17" s="1063">
        <f>'SEAP template'!G87</f>
        <v>0</v>
      </c>
      <c r="H17" s="1063">
        <f>'SEAP template'!H87</f>
        <v>0</v>
      </c>
      <c r="I17" s="1063">
        <f>'SEAP template'!I87</f>
        <v>59.572017502317415</v>
      </c>
      <c r="J17" s="1063">
        <f>'SEAP template'!J87</f>
        <v>0</v>
      </c>
      <c r="K17" s="1063">
        <f>'SEAP template'!K87</f>
        <v>0</v>
      </c>
      <c r="L17" s="1063">
        <f>'SEAP template'!L87</f>
        <v>0</v>
      </c>
      <c r="M17" s="1063">
        <f>'SEAP template'!M87</f>
        <v>0</v>
      </c>
      <c r="N17" s="1063">
        <f>'SEAP template'!N87</f>
        <v>0</v>
      </c>
      <c r="O17" s="1063">
        <f>'SEAP template'!O87</f>
        <v>0</v>
      </c>
      <c r="P17" s="1063">
        <f>'SEAP template'!Q87</f>
        <v>1656.4273686917386</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50.642580137378353</v>
      </c>
      <c r="C20" s="1064">
        <f>SUM(C17:C19)</f>
        <v>6970.9913484340495</v>
      </c>
      <c r="D20" s="1064">
        <f t="shared" ref="D20:H20" si="2">SUM(D17:D19)</f>
        <v>8200.1354885729634</v>
      </c>
      <c r="E20" s="1064">
        <f t="shared" si="2"/>
        <v>0</v>
      </c>
      <c r="F20" s="1064">
        <f t="shared" si="2"/>
        <v>0</v>
      </c>
      <c r="G20" s="1064">
        <f t="shared" si="2"/>
        <v>0</v>
      </c>
      <c r="H20" s="1064">
        <f t="shared" si="2"/>
        <v>0</v>
      </c>
      <c r="I20" s="1064">
        <f>SUM(I17:I19)</f>
        <v>59.572017502317415</v>
      </c>
      <c r="J20" s="1064">
        <f>SUM(J17:J19)</f>
        <v>0</v>
      </c>
      <c r="K20" s="1064">
        <f t="shared" ref="K20:L20" si="3">SUM(K17:K19)</f>
        <v>0</v>
      </c>
      <c r="L20" s="1064">
        <f t="shared" si="3"/>
        <v>0</v>
      </c>
      <c r="M20" s="1064">
        <f>SUM(M17:M19)</f>
        <v>0</v>
      </c>
      <c r="N20" s="1064">
        <f>SUM(N17:N19)</f>
        <v>0</v>
      </c>
      <c r="O20" s="1064">
        <f>SUM(O17:O19)</f>
        <v>0</v>
      </c>
      <c r="P20" s="1064">
        <f>SUM(P17:P19)</f>
        <v>1656.4273686917386</v>
      </c>
    </row>
    <row r="21" spans="1:16">
      <c r="B21" s="913"/>
    </row>
    <row r="22" spans="1:16">
      <c r="A22" s="490" t="s">
        <v>815</v>
      </c>
      <c r="B22" s="807" t="s">
        <v>813</v>
      </c>
      <c r="C22" s="807">
        <f ca="1">'EF ele_warmte'!B22</f>
        <v>0.23590340731829401</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0.18625829501507271</v>
      </c>
      <c r="C17" s="527">
        <f ca="1">'EF ele_warmte'!B22</f>
        <v>0.23590340731829401</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2</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3.1266666666666669</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3</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57.2</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2019-06-29T17:11:00Z</dcterms:modified>
</cp:coreProperties>
</file>