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F16" i="16"/>
  <c r="F30" i="48"/>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J27" i="14"/>
  <c r="K33" i="48"/>
  <c r="I15"/>
  <c r="O78" i="14"/>
  <c r="O9" i="59"/>
  <c r="O10" s="1"/>
  <c r="N78" i="14"/>
  <c r="N9" i="59"/>
  <c r="N10" s="1"/>
  <c r="E78" i="14"/>
  <c r="E9" i="59"/>
  <c r="E10" s="1"/>
  <c r="H78" i="14"/>
  <c r="H9" i="59"/>
  <c r="H10" s="1"/>
  <c r="M24" i="48"/>
  <c r="M32"/>
  <c r="I33"/>
  <c r="K15"/>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76" i="14"/>
  <c r="I8" i="59" s="1"/>
  <c r="I10" s="1"/>
  <c r="I90" i="14"/>
  <c r="I17" i="59"/>
  <c r="I20" s="1"/>
  <c r="J78" i="14"/>
  <c r="J8" i="59"/>
  <c r="J10" s="1"/>
  <c r="E27" i="48"/>
  <c r="G15"/>
  <c r="O17" i="18"/>
  <c r="O20" s="1"/>
  <c r="Q76" i="14"/>
  <c r="P8" i="59" s="1"/>
  <c r="P10" s="1"/>
  <c r="D78" i="14"/>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4" i="48"/>
  <c r="N23"/>
  <c r="R11" i="14"/>
  <c r="J22" i="48"/>
  <c r="R10" i="14"/>
  <c r="Q90" l="1"/>
  <c r="B17" i="6" s="1"/>
  <c r="B22" s="1"/>
  <c r="P17" i="59"/>
  <c r="P20" s="1"/>
  <c r="I78" i="14"/>
  <c r="Q5" i="48"/>
  <c r="B76" i="14"/>
  <c r="B8" i="59" s="1"/>
  <c r="B1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16" i="22"/>
  <c r="C18" i="15"/>
  <c r="C20" s="1"/>
  <c r="D40" i="14" s="1"/>
  <c r="C10" i="13"/>
  <c r="C12" s="1"/>
  <c r="C17" i="19"/>
  <c r="C19" s="1"/>
  <c r="D39" i="14" s="1"/>
  <c r="C22" i="59"/>
  <c r="C20" i="16"/>
  <c r="C22" s="1"/>
  <c r="D43" i="14" s="1"/>
  <c r="C56" i="22"/>
  <c r="C58" s="1"/>
  <c r="D49" i="14" s="1"/>
  <c r="D52" s="1"/>
  <c r="C29" i="20"/>
  <c r="C90" i="14"/>
  <c r="C17" i="59"/>
  <c r="C20" s="1"/>
  <c r="B90" i="14"/>
  <c r="B17" i="59"/>
  <c r="B20" s="1"/>
  <c r="J26" i="48"/>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<sst xmlns="http://schemas.openxmlformats.org/spreadsheetml/2006/main" count="2385" uniqueCount="893">
  <si>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</si>
  <si>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</si>
  <si>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</si>
  <si>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</si>
  <si>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</si>
  <si>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</si>
  <si>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</si>
  <si>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</si>
  <si>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</si>
  <si>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</si>
  <si>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</si>
  <si>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</si>
  <si>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</si>
  <si>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</si>
  <si>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</si>
  <si>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</si>
  <si>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</si>
  <si>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</si>
  <si>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</si>
  <si>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</si>
  <si>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</si>
  <si>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</si>
  <si>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</si>
  <si>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</si>
  <si>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</si>
  <si>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</si>
  <si>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</si>
  <si>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</si>
  <si>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</si>
  <si>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</si>
  <si>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</si>
  <si>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</si>
  <si>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</si>
  <si>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</si>
  <si>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</si>
  <si>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</si>
  <si>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</si>
  <si>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</si>
  <si>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</si>
  <si>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</si>
  <si>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</si>
  <si>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</si>
  <si>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</si>
  <si>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</si>
  <si>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</si>
  <si>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</si>
  <si>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</si>
  <si>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</si>
  <si>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</si>
  <si>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</si>
  <si>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</si>
  <si>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</si>
  <si>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</si>
  <si>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</si>
  <si>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</si>
  <si>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</si>
  <si>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</si>
  <si>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</si>
  <si>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</si>
  <si>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</si>
  <si>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</si>
  <si>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</si>
  <si>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</si>
  <si>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</si>
  <si>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</si>
  <si>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</si>
  <si>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</si>
  <si>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</si>
  <si>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</si>
  <si>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</si>
  <si>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</si>
  <si>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</si>
  <si>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</si>
  <si>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</si>
  <si>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</si>
  <si>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</si>
  <si>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</si>
  <si>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</si>
  <si>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</si>
  <si>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</si>
  <si>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</si>
  <si>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</si>
  <si>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</si>
  <si>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</si>
  <si>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</si>
  <si>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</si>
  <si>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</si>
  <si>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</si>
  <si>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</si>
  <si>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</si>
  <si>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</si>
  <si>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</si>
  <si>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</si>
  <si>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</si>
  <si>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</si>
  <si>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</si>
  <si>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</si>
  <si>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</si>
  <si>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</si>
  <si>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</si>
  <si>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</si>
  <si>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</si>
  <si>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</si>
  <si>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</si>
  <si>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</si>
  <si>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</si>
  <si>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</si>
  <si>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</si>
  <si>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</si>
  <si>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</si>
  <si>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</si>
  <si>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</si>
  <si>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</si>
  <si>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</si>
  <si>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</si>
  <si>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</si>
  <si>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</si>
  <si>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</si>
  <si>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</si>
  <si>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</si>
  <si>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</si>
  <si>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</si>
  <si>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</si>
  <si>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</si>
  <si>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</si>
  <si>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</si>
  <si>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</si>
  <si>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</si>
  <si>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</si>
  <si>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</si>
  <si>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</si>
  <si>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</si>
  <si>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</si>
  <si>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</si>
  <si>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</si>
  <si>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</si>
  <si>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</si>
  <si>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</si>
  <si>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</si>
  <si>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</si>
  <si>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</si>
  <si>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</si>
  <si>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</si>
  <si>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</si>
  <si>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</si>
  <si>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</si>
  <si>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</si>
  <si>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</si>
  <si>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</si>
  <si>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</si>
  <si>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</si>
  <si>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</si>
  <si>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</si>
  <si>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</si>
  <si>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</si>
  <si>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</si>
  <si>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</si>
  <si>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</si>
  <si>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</si>
  <si>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</si>
  <si>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</si>
  <si>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</si>
  <si>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</si>
  <si>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</si>
  <si>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</si>
  <si>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</si>
  <si>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</si>
  <si>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</si>
  <si>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</si>
  <si>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</si>
  <si>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</si>
  <si>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</si>
  <si>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</si>
  <si>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</si>
  <si>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</si>
  <si>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</si>
  <si>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</si>
  <si>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</si>
  <si>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</si>
  <si>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</si>
  <si>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</si>
  <si>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</si>
  <si>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</si>
  <si>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</si>
  <si>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</si>
  <si>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</si>
  <si>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</si>
  <si>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</si>
  <si>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</si>
  <si>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</si>
  <si>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</si>
  <si>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</si>
  <si>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</si>
  <si>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</si>
  <si>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</si>
  <si>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</si>
  <si>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</si>
  <si>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</si>
  <si>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</si>
  <si>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</si>
  <si>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</si>
  <si>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</si>
  <si>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</si>
  <si>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</si>
  <si>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</si>
  <si>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</si>
  <si>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</si>
  <si>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</si>
  <si>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</si>
  <si>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</si>
  <si>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</si>
  <si>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</si>
  <si>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</si>
  <si>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</si>
  <si>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</si>
  <si>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</si>
  <si>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</si>
  <si>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</si>
  <si>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</si>
  <si>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</si>
  <si>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</si>
  <si>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</si>
  <si>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</si>
  <si>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</si>
  <si>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</si>
  <si>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</si>
  <si>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</si>
  <si>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</si>
  <si>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</si>
  <si>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</si>
  <si>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</si>
  <si>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</si>
  <si>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</si>
  <si>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</si>
  <si>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</si>
  <si>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</si>
  <si>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</si>
  <si>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</si>
  <si>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</si>
  <si>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</si>
  <si>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</si>
  <si>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</si>
  <si>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</si>
  <si>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</si>
  <si>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</si>
  <si>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</si>
  <si>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</si>
  <si>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</si>
  <si>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</si>
  <si>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</si>
  <si>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</si>
  <si>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</si>
  <si>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</si>
  <si>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</si>
  <si>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</si>
  <si>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</si>
  <si>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</si>
  <si>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</si>
  <si>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</si>
  <si>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</si>
  <si>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</si>
  <si>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</si>
  <si>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</si>
  <si>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</si>
  <si>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</si>
  <si>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</si>
  <si>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</si>
  <si>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</si>
  <si>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</si>
  <si>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</si>
  <si>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</si>
  <si>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</si>
  <si>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</si>
  <si>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</si>
  <si>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</si>
  <si>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</si>
  <si>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</si>
  <si>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</si>
  <si>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</si>
  <si>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</si>
  <si>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</si>
  <si>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</si>
  <si>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</si>
  <si>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</si>
  <si>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</si>
  <si>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</si>
  <si>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</si>
  <si>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</si>
  <si>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</si>
  <si>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</si>
  <si>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</si>
  <si>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</si>
  <si>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</si>
  <si>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</si>
  <si>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</si>
  <si>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</si>
  <si>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</si>
  <si>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</si>
  <si>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</si>
  <si>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</si>
  <si>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</si>
  <si>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</si>
  <si>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</si>
  <si>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</si>
  <si>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</si>
  <si>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</si>
  <si>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</si>
  <si>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</si>
  <si>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</si>
  <si>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</si>
  <si>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</si>
  <si>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</si>
  <si>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</si>
  <si>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</si>
  <si>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</si>
  <si>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</si>
  <si>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</si>
  <si>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</si>
  <si>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</si>
  <si>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</si>
  <si>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</si>
  <si>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</si>
  <si>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</si>
  <si>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</si>
  <si>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</si>
  <si>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</si>
  <si>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</si>
  <si>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</si>
  <si>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</si>
  <si>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</si>
  <si>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</si>
  <si>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</si>
  <si>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</si>
  <si>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</si>
  <si>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</si>
  <si>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</si>
  <si>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</si>
  <si>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</si>
  <si>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</si>
  <si>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</si>
  <si>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</si>
  <si>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</si>
  <si>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</si>
  <si>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</si>
  <si>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</si>
  <si>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</si>
  <si>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</si>
  <si>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</si>
  <si>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</si>
  <si>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</si>
  <si>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</si>
  <si>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</si>
  <si>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</si>
  <si>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</si>
  <si>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</si>
  <si>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</si>
  <si>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</si>
  <si>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</si>
  <si>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</si>
  <si>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</si>
  <si>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</si>
  <si>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</si>
  <si>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</si>
  <si>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</si>
  <si>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</si>
  <si>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</si>
  <si>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</si>
  <si>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</si>
  <si>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</si>
  <si>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</si>
  <si>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</si>
  <si>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</si>
  <si>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</si>
  <si>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</si>
  <si>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</si>
  <si>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</si>
  <si>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</si>
  <si>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</si>
  <si>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</si>
  <si>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</si>
  <si>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</si>
  <si>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</si>
  <si>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</si>
  <si>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</si>
  <si>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</si>
  <si>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</si>
  <si>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</si>
  <si>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</si>
  <si>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</si>
  <si>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</si>
  <si>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</si>
  <si>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</si>
  <si>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</si>
  <si>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</si>
  <si>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</si>
  <si>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</si>
  <si>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</si>
  <si>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</si>
  <si>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</si>
  <si>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</si>
  <si>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</si>
  <si>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</si>
  <si>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</si>
  <si>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</si>
  <si>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</si>
  <si>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</si>
  <si>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</si>
  <si>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</si>
  <si>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</si>
  <si>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</si>
  <si>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</si>
  <si>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</si>
  <si>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</si>
  <si>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</si>
  <si>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</si>
  <si>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</si>
  <si>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</si>
  <si>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</si>
  <si>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</si>
  <si>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</si>
  <si>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</si>
  <si>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</si>
  <si>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</si>
  <si>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</si>
  <si>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</si>
  <si>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</si>
  <si>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</si>
  <si>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</si>
  <si>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</si>
  <si>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</si>
  <si>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</si>
  <si>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</si>
  <si>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</si>
  <si>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</si>
  <si>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</si>
  <si>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</si>
  <si>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</si>
  <si>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</si>
  <si>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</si>
  <si>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</si>
  <si>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</si>
  <si>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</si>
  <si>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</si>
  <si>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</si>
  <si>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</si>
  <si>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</si>
  <si>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</si>
  <si>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</si>
  <si>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</si>
  <si>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</si>
  <si>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</si>
  <si>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</si>
  <si>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</si>
  <si>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</si>
  <si>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</si>
  <si>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</si>
  <si>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</si>
  <si>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</si>
  <si>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</si>
  <si>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</si>
  <si>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</si>
  <si>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</si>
  <si>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</si>
  <si>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</si>
  <si>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</si>
  <si>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</si>
  <si>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</si>
  <si>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</si>
  <si>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</si>
  <si>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</si>
  <si>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</si>
  <si>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</si>
  <si>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</si>
  <si>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</si>
  <si>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</si>
  <si>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</si>
  <si>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</si>
  <si>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</si>
  <si>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</si>
  <si>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</si>
  <si>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</si>
  <si>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</si>
  <si>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</si>
  <si>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</si>
  <si>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</si>
  <si>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</si>
  <si>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</si>
  <si>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</si>
  <si>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</si>
  <si>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</si>
  <si>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</si>
  <si>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</si>
  <si>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</si>
  <si>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</si>
  <si>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</si>
  <si>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</si>
  <si>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</si>
  <si>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</si>
  <si>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</si>
  <si>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</si>
  <si>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</si>
  <si>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</si>
  <si>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</si>
  <si>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</si>
  <si>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</si>
  <si>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</si>
  <si>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</si>
  <si>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</si>
  <si>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</si>
  <si>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</si>
  <si>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</si>
  <si>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</si>
  <si>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</si>
  <si>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</si>
  <si>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</si>
  <si>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</si>
  <si>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</si>
  <si>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</si>
  <si>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</si>
  <si>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</si>
  <si>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</si>
  <si>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</si>
  <si>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</si>
  <si>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</si>
  <si>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</si>
  <si>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</si>
  <si>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</si>
  <si>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</si>
  <si>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</si>
  <si>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</si>
  <si>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</si>
  <si>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</si>
  <si>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</si>
  <si>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</si>
  <si>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</si>
  <si>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</si>
  <si>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</si>
  <si>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</si>
  <si>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</si>
  <si>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</si>
  <si>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</si>
  <si>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</si>
  <si>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</si>
  <si>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</si>
  <si>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</si>
  <si>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</si>
  <si>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</si>
  <si>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</si>
  <si>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</si>
  <si>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</si>
  <si>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</si>
  <si>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</si>
  <si>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</si>
  <si>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</si>
  <si>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</si>
  <si>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</si>
  <si>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</si>
  <si>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</si>
  <si>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</si>
  <si>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</si>
  <si>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</si>
  <si>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</si>
  <si>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</si>
  <si>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</si>
  <si>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</si>
  <si>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</si>
  <si>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</si>
  <si>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</si>
  <si>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</si>
  <si>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</si>
  <si>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</si>
  <si>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</si>
  <si>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</si>
  <si>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</si>
  <si>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</si>
  <si>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</si>
  <si>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</si>
  <si>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</si>
  <si>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</si>
  <si>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</si>
  <si>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</si>
  <si>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</si>
  <si>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</si>
  <si>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</si>
  <si>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</si>
  <si>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</si>
  <si>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</si>
  <si>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</si>
  <si>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</si>
  <si>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</si>
  <si>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</si>
  <si>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</si>
  <si>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</si>
  <si>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</si>
  <si>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</si>
  <si>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</si>
  <si>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</si>
  <si>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</si>
  <si>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</si>
  <si>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</si>
  <si>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</si>
  <si>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</si>
  <si>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</si>
  <si>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</si>
  <si>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</si>
  <si>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</si>
  <si>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</si>
  <si>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</si>
  <si>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</si>
  <si>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</si>
  <si>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</si>
  <si>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</si>
  <si>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</si>
  <si>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</si>
  <si>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</si>
  <si>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</si>
  <si>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</si>
  <si>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</si>
  <si>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</si>
  <si>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</si>
  <si>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</si>
  <si>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</si>
  <si>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</si>
  <si>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</si>
  <si>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</si>
  <si>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</si>
  <si>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</si>
  <si>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</si>
  <si>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</si>
  <si>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</si>
  <si>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</si>
  <si>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</si>
  <si>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</si>
  <si>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</si>
  <si>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</si>
  <si>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</si>
  <si>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</si>
  <si>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</si>
  <si>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</si>
  <si>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</si>
  <si>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</si>
  <si>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</si>
  <si>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</si>
  <si>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</si>
  <si>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</si>
  <si>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</si>
  <si>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</si>
  <si>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</si>
  <si>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</si>
  <si>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</si>
  <si>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</si>
  <si>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</si>
  <si>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</si>
  <si>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</si>
  <si>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</si>
  <si>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</si>
  <si>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</si>
  <si>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</si>
  <si>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</si>
  <si>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</si>
  <si>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</si>
  <si>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</si>
  <si>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</si>
  <si>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</si>
  <si>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</si>
  <si>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</si>
  <si>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</si>
  <si>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</si>
  <si>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</si>
  <si>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</si>
  <si>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</si>
  <si>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</si>
  <si>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</si>
  <si>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</si>
  <si>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</si>
  <si>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</si>
  <si>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</si>
  <si>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</si>
  <si>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</si>
  <si>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</si>
  <si>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</si>
  <si>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</si>
  <si>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</si>
  <si>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</si>
  <si>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</si>
  <si>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</si>
  <si>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</si>
  <si>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</si>
  <si>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</si>
  <si>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</si>
  <si>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</si>
  <si>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</si>
  <si>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</si>
  <si>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</si>
  <si>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</si>
  <si>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</si>
  <si>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</si>
  <si>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</si>
  <si>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</si>
  <si>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</si>
  <si>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</si>
  <si>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</si>
  <si>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</si>
  <si>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</si>
  <si>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</si>
  <si>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</si>
  <si>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</si>
  <si>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</si>
  <si>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</si>
  <si>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</si>
  <si>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</si>
  <si>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</si>
  <si>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</si>
  <si>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</si>
  <si>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</si>
  <si>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</si>
  <si>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</si>
  <si>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</si>
  <si>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</si>
  <si>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</si>
  <si>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</si>
  <si>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</si>
  <si>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</si>
  <si>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</si>
  <si>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</si>
  <si>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</si>
  <si>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</si>
  <si>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</si>
  <si>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</si>
  <si>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</si>
  <si>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</si>
  <si>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</si>
  <si>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</si>
  <si>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</si>
  <si>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</si>
  <si>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</si>
  <si>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</si>
  <si>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</si>
  <si>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</si>
  <si>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</si>
  <si>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</si>
  <si>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</si>
  <si>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</si>
  <si>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</si>
  <si>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</si>
  <si>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</si>
  <si>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</si>
  <si>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</si>
  <si>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</si>
  <si>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</si>
  <si>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</si>
  <si>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</si>
  <si>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</si>
  <si>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</si>
  <si>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</si>
  <si>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</si>
  <si>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</si>
  <si>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</si>
  <si>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</si>
  <si>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</si>
  <si>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</si>
  <si>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</si>
  <si>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</si>
  <si>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</si>
  <si>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</si>
  <si>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</si>
  <si>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</si>
  <si>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</si>
  <si>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</si>
  <si>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</si>
  <si>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</si>
  <si>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</si>
  <si>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</si>
  <si>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</si>
  <si>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</si>
  <si>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</si>
  <si>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</si>
  <si>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</si>
  <si>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</si>
  <si>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</si>
  <si>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</si>
  <si>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</si>
  <si>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</si>
  <si>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</si>
  <si>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</si>
  <si>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</si>
  <si>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</si>
  <si>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</si>
  <si>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</si>
  <si>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</si>
  <si>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</si>
  <si>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</si>
  <si>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</si>
  <si>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</si>
  <si>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</si>
  <si>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</si>
  <si>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</si>
  <si>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</si>
  <si>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</si>
  <si>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</si>
  <si>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</si>
  <si>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</si>
  <si>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</si>
  <si>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</si>
  <si>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</si>
  <si>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</si>
  <si>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</si>
  <si>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</si>
  <si>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</si>
  <si>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</si>
  <si>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</si>
  <si>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</si>
  <si>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</si>
  <si>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</si>
  <si>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</si>
  <si>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</si>
  <si>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</si>
  <si>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</si>
  <si>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</si>
  <si>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</si>
  <si>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</si>
  <si>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</si>
  <si>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</si>
  <si>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</si>
  <si>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</si>
  <si>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</si>
  <si>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</si>
  <si>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</si>
  <si>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</si>
  <si>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</si>
  <si>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</si>
  <si>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</si>
  <si>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</si>
  <si>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</si>
  <si>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</si>
  <si>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</si>
  <si>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</si>
  <si>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</si>
  <si>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</si>
  <si>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</si>
  <si>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</si>
  <si>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</si>
  <si>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</si>
  <si>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</si>
  <si>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</si>
  <si>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</si>
  <si>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</si>
  <si>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</si>
  <si>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</si>
  <si>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</si>
  <si>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</si>
  <si>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</si>
  <si>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</si>
  <si>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</si>
  <si>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</si>
  <si>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</si>
  <si>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</si>
  <si>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</si>
  <si>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</si>
  <si>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</si>
  <si>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</si>
  <si>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</si>
  <si>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</si>
  <si>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</si>
  <si>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</si>
  <si>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</si>
  <si>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</si>
  <si>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</si>
  <si>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</si>
  <si>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</si>
  <si>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</si>
  <si>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</si>
  <si>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</si>
  <si>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</si>
  <si>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38014</t>
  </si>
  <si>
    <t>KOKSIJDE</t>
  </si>
  <si>
    <t>Mestbank (maart 2019)</t>
  </si>
  <si>
    <t>Fluvius (februari 2019)</t>
  </si>
  <si>
    <t>referentietaak LNE (2017); Jaarverslag De Lijn (2018)</t>
  </si>
  <si>
    <t>VEA (30 april 2019)</t>
  </si>
  <si>
    <t>VEA (mei 2018)</t>
  </si>
  <si>
    <t>VEA (mei 2019)</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</si>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</sst>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163016.48953119275</c:v>
                </c:pt>
                <c:pt idx="1">
                  <c:v>124261.95892181405</c:v>
                </c:pt>
                <c:pt idx="2">
                  <c:v>2851.3449999999998</c:v>
                </c:pt>
                <c:pt idx="3">
                  <c:v>6244.0187869460915</c:v>
                </c:pt>
                <c:pt idx="4">
                  <c:v>10461.04185661776</c:v>
                </c:pt>
                <c:pt idx="5">
                  <c:v>102022.66825695636</c:v>
                </c:pt>
                <c:pt idx="6">
                  <c:v>2598.8554083130293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5600"/>
        <c:axId val="76667136"/>
      </c:barChart>
      <c:catAx>
        <c:axId val="76665600"/>
        <c:scaling>
          <c:orientation val="minMax"/>
        </c:scaling>
        <c:axPos val="b"/>
        <c:numFmt formatCode="General" sourceLinked="0"/>
        <c:tickLblPos val="nextTo"/>
        <c:crossAx val="76667136"/>
        <c:crosses val="autoZero"/>
        <c:auto val="1"/>
        <c:lblAlgn val="ctr"/>
        <c:lblOffset val="100"/>
      </c:catAx>
      <c:valAx>
        <c:axId val="76667136"/>
        <c:scaling>
          <c:orientation val="minMax"/>
        </c:scaling>
        <c:axPos val="l"/>
        <c:majorGridlines/>
        <c:numFmt formatCode="#,##0" sourceLinked="1"/>
        <c:tickLblPos val="nextTo"/>
        <c:crossAx val="76665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163016.48953119275</c:v>
                </c:pt>
                <c:pt idx="1">
                  <c:v>124261.95892181405</c:v>
                </c:pt>
                <c:pt idx="2">
                  <c:v>2851.3449999999998</c:v>
                </c:pt>
                <c:pt idx="3">
                  <c:v>6244.0187869460915</c:v>
                </c:pt>
                <c:pt idx="4">
                  <c:v>10461.04185661776</c:v>
                </c:pt>
                <c:pt idx="5">
                  <c:v>102022.66825695636</c:v>
                </c:pt>
                <c:pt idx="6">
                  <c:v>2598.8554083130293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33320.547174943298</c:v>
                </c:pt>
                <c:pt idx="1">
                  <c:v>24974.221993729276</c:v>
                </c:pt>
                <c:pt idx="2">
                  <c:v>610.1993154437946</c:v>
                </c:pt>
                <c:pt idx="3">
                  <c:v>1619.3130651637707</c:v>
                </c:pt>
                <c:pt idx="4">
                  <c:v>2249.7486944357788</c:v>
                </c:pt>
                <c:pt idx="5">
                  <c:v>25438.514669472559</c:v>
                </c:pt>
                <c:pt idx="6">
                  <c:v>604.71134867874844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3088"/>
        <c:axId val="76887168"/>
      </c:barChart>
      <c:catAx>
        <c:axId val="76873088"/>
        <c:scaling>
          <c:orientation val="minMax"/>
        </c:scaling>
        <c:axPos val="b"/>
        <c:numFmt formatCode="General" sourceLinked="0"/>
        <c:tickLblPos val="nextTo"/>
        <c:crossAx val="76887168"/>
        <c:crosses val="autoZero"/>
        <c:auto val="1"/>
        <c:lblAlgn val="ctr"/>
        <c:lblOffset val="100"/>
      </c:catAx>
      <c:valAx>
        <c:axId val="76887168"/>
        <c:scaling>
          <c:orientation val="minMax"/>
        </c:scaling>
        <c:axPos val="l"/>
        <c:majorGridlines/>
        <c:numFmt formatCode="#,##0" sourceLinked="1"/>
        <c:tickLblPos val="nextTo"/>
        <c:crossAx val="7687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33320.547174943298</c:v>
                </c:pt>
                <c:pt idx="1">
                  <c:v>24974.221993729276</c:v>
                </c:pt>
                <c:pt idx="2">
                  <c:v>610.1993154437946</c:v>
                </c:pt>
                <c:pt idx="3">
                  <c:v>1619.3130651637707</c:v>
                </c:pt>
                <c:pt idx="4">
                  <c:v>2249.7486944357788</c:v>
                </c:pt>
                <c:pt idx="5">
                  <c:v>25438.514669472559</c:v>
                </c:pt>
                <c:pt idx="6">
                  <c:v>604.71134867874844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38014</v>
      </c>
      <c r="B6" s="415"/>
      <c r="C6" s="416"/>
    </row>
    <row r="7" spans="1:7" s="413" customFormat="1" ht="15.75" customHeight="1">
      <c r="A7" s="417" t="str">
        <f>txtMunicipality</f>
        <v>KOKSIJDE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0.21400402807930807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0.21400402807930807</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11355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2144.0700000000002</v>
      </c>
    </row>
    <row r="15" spans="1:6">
      <c r="A15" s="348" t="s">
        <v>183</v>
      </c>
      <c r="B15" s="334">
        <v>6</v>
      </c>
    </row>
    <row r="16" spans="1:6">
      <c r="A16" s="348" t="s">
        <v>6</v>
      </c>
      <c r="B16" s="334">
        <v>239</v>
      </c>
    </row>
    <row r="17" spans="1:6">
      <c r="A17" s="348" t="s">
        <v>7</v>
      </c>
      <c r="B17" s="334">
        <v>119</v>
      </c>
    </row>
    <row r="18" spans="1:6">
      <c r="A18" s="348" t="s">
        <v>8</v>
      </c>
      <c r="B18" s="334">
        <v>198</v>
      </c>
    </row>
    <row r="19" spans="1:6">
      <c r="A19" s="348" t="s">
        <v>9</v>
      </c>
      <c r="B19" s="334">
        <v>215</v>
      </c>
    </row>
    <row r="20" spans="1:6">
      <c r="A20" s="348" t="s">
        <v>10</v>
      </c>
      <c r="B20" s="334">
        <v>399</v>
      </c>
    </row>
    <row r="21" spans="1:6">
      <c r="A21" s="348" t="s">
        <v>11</v>
      </c>
      <c r="B21" s="334">
        <v>6492</v>
      </c>
    </row>
    <row r="22" spans="1:6">
      <c r="A22" s="348" t="s">
        <v>12</v>
      </c>
      <c r="B22" s="334">
        <v>7610</v>
      </c>
    </row>
    <row r="23" spans="1:6">
      <c r="A23" s="348" t="s">
        <v>13</v>
      </c>
      <c r="B23" s="334">
        <v>173</v>
      </c>
    </row>
    <row r="24" spans="1:6">
      <c r="A24" s="348" t="s">
        <v>14</v>
      </c>
      <c r="B24" s="334">
        <v>91</v>
      </c>
    </row>
    <row r="25" spans="1:6">
      <c r="A25" s="348" t="s">
        <v>15</v>
      </c>
      <c r="B25" s="334">
        <v>1618</v>
      </c>
    </row>
    <row r="26" spans="1:6">
      <c r="A26" s="348" t="s">
        <v>16</v>
      </c>
      <c r="B26" s="334">
        <v>118</v>
      </c>
    </row>
    <row r="27" spans="1:6">
      <c r="A27" s="348" t="s">
        <v>17</v>
      </c>
      <c r="B27" s="334">
        <v>2</v>
      </c>
    </row>
    <row r="28" spans="1:6" s="356" customFormat="1">
      <c r="A28" s="355" t="s">
        <v>18</v>
      </c>
      <c r="B28" s="355">
        <v>257866</v>
      </c>
    </row>
    <row r="29" spans="1:6">
      <c r="A29" s="355" t="s">
        <v>713</v>
      </c>
      <c r="B29" s="355">
        <v>193</v>
      </c>
      <c r="C29" s="356"/>
      <c r="D29" s="356"/>
      <c r="E29" s="356"/>
      <c r="F29" s="356"/>
    </row>
    <row r="30" spans="1:6">
      <c r="A30" s="341" t="s">
        <v>714</v>
      </c>
      <c r="B30" s="341">
        <v>51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v>
      </c>
      <c r="D36" s="334">
        <v>1119490.0290000001</v>
      </c>
      <c r="E36" s="334">
        <v>3</v>
      </c>
      <c r="F36" s="334">
        <v>8130.9319999999998</v>
      </c>
    </row>
    <row r="37" spans="1:6">
      <c r="A37" s="348" t="s">
        <v>24</v>
      </c>
      <c r="B37" s="348" t="s">
        <v>27</v>
      </c>
      <c r="C37" s="334">
        <v>0</v>
      </c>
      <c r="D37" s="334">
        <v>0</v>
      </c>
      <c r="E37" s="334">
        <v>0</v>
      </c>
      <c r="F37" s="334">
        <v>0</v>
      </c>
    </row>
    <row r="38" spans="1:6">
      <c r="A38" s="348" t="s">
        <v>24</v>
      </c>
      <c r="B38" s="348" t="s">
        <v>28</v>
      </c>
      <c r="C38" s="334">
        <v>1</v>
      </c>
      <c r="D38" s="334">
        <v>9351.8870000000006</v>
      </c>
      <c r="E38" s="334">
        <v>1</v>
      </c>
      <c r="F38" s="334">
        <v>5953.4719999999998</v>
      </c>
    </row>
    <row r="39" spans="1:6">
      <c r="A39" s="348" t="s">
        <v>29</v>
      </c>
      <c r="B39" s="348" t="s">
        <v>30</v>
      </c>
      <c r="C39" s="334">
        <v>11657</v>
      </c>
      <c r="D39" s="334">
        <v>124643055.2</v>
      </c>
      <c r="E39" s="334">
        <v>20325</v>
      </c>
      <c r="F39" s="334">
        <v>46156023.729999997</v>
      </c>
    </row>
    <row r="40" spans="1:6">
      <c r="A40" s="348" t="s">
        <v>29</v>
      </c>
      <c r="B40" s="348" t="s">
        <v>28</v>
      </c>
      <c r="C40" s="334">
        <v>0</v>
      </c>
      <c r="D40" s="334">
        <v>0</v>
      </c>
      <c r="E40" s="334">
        <v>0</v>
      </c>
      <c r="F40" s="334">
        <v>0</v>
      </c>
    </row>
    <row r="41" spans="1:6">
      <c r="A41" s="348" t="s">
        <v>31</v>
      </c>
      <c r="B41" s="348" t="s">
        <v>32</v>
      </c>
      <c r="C41" s="334">
        <v>220</v>
      </c>
      <c r="D41" s="334">
        <v>2911729.4610000001</v>
      </c>
      <c r="E41" s="334">
        <v>486</v>
      </c>
      <c r="F41" s="334">
        <v>2176796.6179999998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8599.9570000000003</v>
      </c>
      <c r="E44" s="334">
        <v>7</v>
      </c>
      <c r="F44" s="334">
        <v>115845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6</v>
      </c>
      <c r="D47" s="334">
        <v>94301.437999999995</v>
      </c>
      <c r="E47" s="334">
        <v>6</v>
      </c>
      <c r="F47" s="334">
        <v>34420.839</v>
      </c>
    </row>
    <row r="48" spans="1:6">
      <c r="A48" s="348" t="s">
        <v>31</v>
      </c>
      <c r="B48" s="348" t="s">
        <v>28</v>
      </c>
      <c r="C48" s="334">
        <v>27</v>
      </c>
      <c r="D48" s="334">
        <v>320742.11</v>
      </c>
      <c r="E48" s="334">
        <v>38</v>
      </c>
      <c r="F48" s="334">
        <v>183593.163</v>
      </c>
    </row>
    <row r="49" spans="1:6">
      <c r="A49" s="348" t="s">
        <v>31</v>
      </c>
      <c r="B49" s="348" t="s">
        <v>39</v>
      </c>
      <c r="C49" s="334">
        <v>0</v>
      </c>
      <c r="D49" s="334">
        <v>0</v>
      </c>
      <c r="E49" s="334">
        <v>6</v>
      </c>
      <c r="F49" s="334">
        <v>8915.8979999999992</v>
      </c>
    </row>
    <row r="50" spans="1:6">
      <c r="A50" s="348" t="s">
        <v>31</v>
      </c>
      <c r="B50" s="348" t="s">
        <v>40</v>
      </c>
      <c r="C50" s="334">
        <v>21</v>
      </c>
      <c r="D50" s="334">
        <v>1333730.138</v>
      </c>
      <c r="E50" s="334">
        <v>29</v>
      </c>
      <c r="F50" s="334">
        <v>984538.90899999999</v>
      </c>
    </row>
    <row r="51" spans="1:6">
      <c r="A51" s="348" t="s">
        <v>41</v>
      </c>
      <c r="B51" s="348" t="s">
        <v>42</v>
      </c>
      <c r="C51" s="334">
        <v>12</v>
      </c>
      <c r="D51" s="334">
        <v>121479.268</v>
      </c>
      <c r="E51" s="334">
        <v>134</v>
      </c>
      <c r="F51" s="334">
        <v>1097250.716</v>
      </c>
    </row>
    <row r="52" spans="1:6">
      <c r="A52" s="348" t="s">
        <v>41</v>
      </c>
      <c r="B52" s="348" t="s">
        <v>28</v>
      </c>
      <c r="C52" s="334">
        <v>7</v>
      </c>
      <c r="D52" s="334">
        <v>107369.10799999999</v>
      </c>
      <c r="E52" s="334">
        <v>9</v>
      </c>
      <c r="F52" s="334">
        <v>157277.53200000001</v>
      </c>
    </row>
    <row r="53" spans="1:6">
      <c r="A53" s="348" t="s">
        <v>43</v>
      </c>
      <c r="B53" s="348" t="s">
        <v>44</v>
      </c>
      <c r="C53" s="334">
        <v>2588</v>
      </c>
      <c r="D53" s="334">
        <v>20368604.829999998</v>
      </c>
      <c r="E53" s="334">
        <v>6041</v>
      </c>
      <c r="F53" s="334">
        <v>10908298.15</v>
      </c>
    </row>
    <row r="54" spans="1:6">
      <c r="A54" s="348" t="s">
        <v>45</v>
      </c>
      <c r="B54" s="348" t="s">
        <v>46</v>
      </c>
      <c r="C54" s="334">
        <v>0</v>
      </c>
      <c r="D54" s="334">
        <v>0</v>
      </c>
      <c r="E54" s="334">
        <v>1</v>
      </c>
      <c r="F54" s="334">
        <v>2851345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82</v>
      </c>
      <c r="D57" s="334">
        <v>4775972.8140000002</v>
      </c>
      <c r="E57" s="334">
        <v>167</v>
      </c>
      <c r="F57" s="334">
        <v>7916929.8710000003</v>
      </c>
    </row>
    <row r="58" spans="1:6">
      <c r="A58" s="348" t="s">
        <v>48</v>
      </c>
      <c r="B58" s="348" t="s">
        <v>50</v>
      </c>
      <c r="C58" s="334">
        <v>92</v>
      </c>
      <c r="D58" s="334">
        <v>2615104.58</v>
      </c>
      <c r="E58" s="334">
        <v>167</v>
      </c>
      <c r="F58" s="334">
        <v>1294024.054</v>
      </c>
    </row>
    <row r="59" spans="1:6">
      <c r="A59" s="348" t="s">
        <v>48</v>
      </c>
      <c r="B59" s="348" t="s">
        <v>51</v>
      </c>
      <c r="C59" s="334">
        <v>242</v>
      </c>
      <c r="D59" s="334">
        <v>4746777.7410000004</v>
      </c>
      <c r="E59" s="334">
        <v>514</v>
      </c>
      <c r="F59" s="334">
        <v>10119502.48</v>
      </c>
    </row>
    <row r="60" spans="1:6">
      <c r="A60" s="348" t="s">
        <v>48</v>
      </c>
      <c r="B60" s="348" t="s">
        <v>52</v>
      </c>
      <c r="C60" s="334">
        <v>619</v>
      </c>
      <c r="D60" s="334">
        <v>25493051.350000001</v>
      </c>
      <c r="E60" s="334">
        <v>614</v>
      </c>
      <c r="F60" s="334">
        <v>13236276.060000001</v>
      </c>
    </row>
    <row r="61" spans="1:6">
      <c r="A61" s="348" t="s">
        <v>48</v>
      </c>
      <c r="B61" s="348" t="s">
        <v>53</v>
      </c>
      <c r="C61" s="334">
        <v>840</v>
      </c>
      <c r="D61" s="334">
        <v>25536698.75</v>
      </c>
      <c r="E61" s="334">
        <v>3016</v>
      </c>
      <c r="F61" s="334">
        <v>13465825.25</v>
      </c>
    </row>
    <row r="62" spans="1:6">
      <c r="A62" s="348" t="s">
        <v>48</v>
      </c>
      <c r="B62" s="348" t="s">
        <v>54</v>
      </c>
      <c r="C62" s="334">
        <v>14</v>
      </c>
      <c r="D62" s="334">
        <v>872297.81299999997</v>
      </c>
      <c r="E62" s="334">
        <v>15</v>
      </c>
      <c r="F62" s="334">
        <v>410494.03600000002</v>
      </c>
    </row>
    <row r="63" spans="1:6">
      <c r="A63" s="348" t="s">
        <v>48</v>
      </c>
      <c r="B63" s="348" t="s">
        <v>28</v>
      </c>
      <c r="C63" s="334">
        <v>109</v>
      </c>
      <c r="D63" s="334">
        <v>5133347.2070000004</v>
      </c>
      <c r="E63" s="334">
        <v>106</v>
      </c>
      <c r="F63" s="334">
        <v>3311525.1320000002</v>
      </c>
    </row>
    <row r="64" spans="1:6">
      <c r="A64" s="348" t="s">
        <v>55</v>
      </c>
      <c r="B64" s="348" t="s">
        <v>56</v>
      </c>
      <c r="C64" s="334">
        <v>0</v>
      </c>
      <c r="D64" s="334">
        <v>0</v>
      </c>
      <c r="E64" s="334">
        <v>0</v>
      </c>
      <c r="F64" s="334">
        <v>0</v>
      </c>
    </row>
    <row r="65" spans="1:6">
      <c r="A65" s="348" t="s">
        <v>55</v>
      </c>
      <c r="B65" s="348" t="s">
        <v>28</v>
      </c>
      <c r="C65" s="334">
        <v>3</v>
      </c>
      <c r="D65" s="334">
        <v>87468.678</v>
      </c>
      <c r="E65" s="334">
        <v>3</v>
      </c>
      <c r="F65" s="334">
        <v>23616.343000000001</v>
      </c>
    </row>
    <row r="66" spans="1:6">
      <c r="A66" s="348" t="s">
        <v>55</v>
      </c>
      <c r="B66" s="348" t="s">
        <v>57</v>
      </c>
      <c r="C66" s="334">
        <v>0</v>
      </c>
      <c r="D66" s="334">
        <v>0</v>
      </c>
      <c r="E66" s="334">
        <v>25</v>
      </c>
      <c r="F66" s="334">
        <v>574660.23300000001</v>
      </c>
    </row>
    <row r="67" spans="1:6">
      <c r="A67" s="355" t="s">
        <v>55</v>
      </c>
      <c r="B67" s="355" t="s">
        <v>58</v>
      </c>
      <c r="C67" s="334">
        <v>0</v>
      </c>
      <c r="D67" s="334">
        <v>0</v>
      </c>
      <c r="E67" s="334">
        <v>0</v>
      </c>
      <c r="F67" s="334">
        <v>0</v>
      </c>
    </row>
    <row r="68" spans="1:6">
      <c r="A68" s="341" t="s">
        <v>55</v>
      </c>
      <c r="B68" s="341" t="s">
        <v>59</v>
      </c>
      <c r="C68" s="334">
        <v>6</v>
      </c>
      <c r="D68" s="334">
        <v>54683.357000000004</v>
      </c>
      <c r="E68" s="334">
        <v>20</v>
      </c>
      <c r="F68" s="334">
        <v>1624392.203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79788306</v>
      </c>
      <c r="E73" s="476"/>
    </row>
    <row r="74" spans="1:6">
      <c r="A74" s="348" t="s">
        <v>63</v>
      </c>
      <c r="B74" s="348" t="s">
        <v>651</v>
      </c>
      <c r="C74" s="1307" t="s">
        <v>653</v>
      </c>
      <c r="D74" s="476">
        <v>9536066.5</v>
      </c>
      <c r="E74" s="476"/>
    </row>
    <row r="75" spans="1:6">
      <c r="A75" s="348" t="s">
        <v>64</v>
      </c>
      <c r="B75" s="348" t="s">
        <v>650</v>
      </c>
      <c r="C75" s="1307" t="s">
        <v>654</v>
      </c>
      <c r="D75" s="476">
        <v>5776888</v>
      </c>
      <c r="E75" s="476"/>
    </row>
    <row r="76" spans="1:6">
      <c r="A76" s="348" t="s">
        <v>64</v>
      </c>
      <c r="B76" s="348" t="s">
        <v>651</v>
      </c>
      <c r="C76" s="1307" t="s">
        <v>655</v>
      </c>
      <c r="D76" s="476">
        <v>93879.5</v>
      </c>
      <c r="E76" s="476"/>
    </row>
    <row r="77" spans="1:6">
      <c r="A77" s="348" t="s">
        <v>65</v>
      </c>
      <c r="B77" s="348" t="s">
        <v>650</v>
      </c>
      <c r="C77" s="1307" t="s">
        <v>656</v>
      </c>
      <c r="D77" s="476">
        <v>14659546</v>
      </c>
      <c r="E77" s="476"/>
    </row>
    <row r="78" spans="1:6">
      <c r="A78" s="341" t="s">
        <v>65</v>
      </c>
      <c r="B78" s="341" t="s">
        <v>651</v>
      </c>
      <c r="C78" s="341" t="s">
        <v>657</v>
      </c>
      <c r="D78" s="1308">
        <v>5149933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346367</v>
      </c>
      <c r="C83" s="476"/>
    </row>
    <row r="84" spans="1:6">
      <c r="A84" s="341" t="s">
        <v>336</v>
      </c>
      <c r="B84" s="1308">
        <v>383572</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3422.874576299585</v>
      </c>
    </row>
    <row r="92" spans="1:6">
      <c r="A92" s="341" t="s">
        <v>68</v>
      </c>
      <c r="B92" s="342">
        <v>607.2925703812756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5266</v>
      </c>
    </row>
    <row r="98" spans="1:6">
      <c r="A98" s="348" t="s">
        <v>71</v>
      </c>
      <c r="B98" s="334">
        <v>0</v>
      </c>
    </row>
    <row r="99" spans="1:6">
      <c r="A99" s="348" t="s">
        <v>72</v>
      </c>
      <c r="B99" s="334">
        <v>87</v>
      </c>
    </row>
    <row r="100" spans="1:6">
      <c r="A100" s="348" t="s">
        <v>73</v>
      </c>
      <c r="B100" s="334">
        <v>1499</v>
      </c>
    </row>
    <row r="101" spans="1:6">
      <c r="A101" s="348" t="s">
        <v>74</v>
      </c>
      <c r="B101" s="334">
        <v>72</v>
      </c>
    </row>
    <row r="102" spans="1:6">
      <c r="A102" s="348" t="s">
        <v>75</v>
      </c>
      <c r="B102" s="334">
        <v>190</v>
      </c>
    </row>
    <row r="103" spans="1:6">
      <c r="A103" s="348" t="s">
        <v>76</v>
      </c>
      <c r="B103" s="334">
        <v>69</v>
      </c>
    </row>
    <row r="104" spans="1:6">
      <c r="A104" s="348" t="s">
        <v>77</v>
      </c>
      <c r="B104" s="334">
        <v>1638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47</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203</v>
      </c>
    </row>
    <row r="130" spans="1:6">
      <c r="A130" s="348" t="s">
        <v>294</v>
      </c>
      <c r="B130" s="334">
        <v>5</v>
      </c>
    </row>
    <row r="131" spans="1:6">
      <c r="A131" s="348" t="s">
        <v>295</v>
      </c>
      <c r="B131" s="334">
        <v>2</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119464.52591616071</v>
      </c>
      <c r="C3" s="43" t="s">
        <v>169</v>
      </c>
      <c r="D3" s="43"/>
      <c r="E3" s="154"/>
      <c r="F3" s="43"/>
      <c r="G3" s="43"/>
      <c r="H3" s="43"/>
      <c r="I3" s="43"/>
      <c r="J3" s="43"/>
      <c r="K3" s="96"/>
    </row>
    <row r="4" spans="1:11">
      <c r="A4" s="383" t="s">
        <v>170</v>
      </c>
      <c r="B4" s="49">
        <f>IF(ISERROR('SEAP template'!B78),0,'SEAP template'!B78)</f>
        <v>4030.1671466808607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54.896470588235296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0.21400402807930807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78.423529411764719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2851.3449999999998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2851.3449999999998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0.21400402807930807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610.1993154437946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46156.023729999994</v>
      </c>
      <c r="C5" s="17">
        <f>IF(ISERROR('Eigen informatie GS &amp; warmtenet'!B59),0,'Eigen informatie GS &amp; warmtenet'!B59)</f>
        <v>0</v>
      </c>
      <c r="D5" s="30">
        <f>(SUM(HH_hh_gas_kWh,HH_rest_gas_kWh)/1000)*0.902</f>
        <v>112428.03579040001</v>
      </c>
      <c r="E5" s="17">
        <f>B46*B57</f>
        <v>0</v>
      </c>
      <c r="F5" s="17">
        <f>B51*B62</f>
        <v>0</v>
      </c>
      <c r="G5" s="18"/>
      <c r="H5" s="17"/>
      <c r="I5" s="17"/>
      <c r="J5" s="17">
        <f>B50*B61+C50*C61</f>
        <v>0</v>
      </c>
      <c r="K5" s="17"/>
      <c r="L5" s="17"/>
      <c r="M5" s="17"/>
      <c r="N5" s="17">
        <f>B48*B59+C48*C59</f>
        <v>0</v>
      </c>
      <c r="O5" s="17">
        <f>B69*B70*B71</f>
        <v>503.92538772430612</v>
      </c>
      <c r="P5" s="17">
        <f>B77*B78*B79/1000-B77*B78*B79/1000/B80</f>
        <v>505.63004676888113</v>
      </c>
    </row>
    <row r="6" spans="1:16">
      <c r="A6" s="16" t="s">
        <v>615</v>
      </c>
      <c r="B6" s="809">
        <f>kWh_PV_kleiner_dan_10kW</f>
        <v>3422.874576299585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49578.898306299576</v>
      </c>
      <c r="C8" s="21">
        <f>C5</f>
        <v>0</v>
      </c>
      <c r="D8" s="21">
        <f>D5</f>
        <v>112428.03579040001</v>
      </c>
      <c r="E8" s="21">
        <f>E5</f>
        <v>0</v>
      </c>
      <c r="F8" s="21">
        <f>F5</f>
        <v>0</v>
      </c>
      <c r="G8" s="21"/>
      <c r="H8" s="21"/>
      <c r="I8" s="21"/>
      <c r="J8" s="21">
        <f>J5</f>
        <v>0</v>
      </c>
      <c r="K8" s="21"/>
      <c r="L8" s="21">
        <f>L5</f>
        <v>0</v>
      </c>
      <c r="M8" s="21">
        <f>M5</f>
        <v>0</v>
      </c>
      <c r="N8" s="21">
        <f>N5</f>
        <v>0</v>
      </c>
      <c r="O8" s="21">
        <f>O5</f>
        <v>503.92538772430612</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0.21400402807930807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10610.083945282493</v>
      </c>
      <c r="C12" s="23">
        <f ca="1">C10*C8</f>
        <v>0</v>
      </c>
      <c r="D12" s="23">
        <f>D8*D10</f>
        <v>22710.463229660803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5266</v>
      </c>
      <c r="C18" s="166" t="s">
        <v>110</v>
      </c>
      <c r="D18" s="228"/>
      <c r="E18" s="15"/>
    </row>
    <row r="19" spans="1:7">
      <c r="A19" s="171" t="s">
        <v>71</v>
      </c>
      <c r="B19" s="37">
        <f>aantalw2001_ander</f>
        <v>0</v>
      </c>
      <c r="C19" s="166" t="s">
        <v>110</v>
      </c>
      <c r="D19" s="229"/>
      <c r="E19" s="15"/>
    </row>
    <row r="20" spans="1:7">
      <c r="A20" s="171" t="s">
        <v>72</v>
      </c>
      <c r="B20" s="37">
        <f>aantalw2001_propaan</f>
        <v>87</v>
      </c>
      <c r="C20" s="167">
        <f>IF(ISERROR(B20/SUM($B$20,$B$21,$B$22)*100),0,B20/SUM($B$20,$B$21,$B$22)*100)</f>
        <v>5.2472858866103742</v>
      </c>
      <c r="D20" s="229"/>
      <c r="E20" s="15"/>
    </row>
    <row r="21" spans="1:7">
      <c r="A21" s="171" t="s">
        <v>73</v>
      </c>
      <c r="B21" s="37">
        <f>aantalw2001_elektriciteit</f>
        <v>1499</v>
      </c>
      <c r="C21" s="167">
        <f>IF(ISERROR(B21/SUM($B$20,$B$21,$B$22)*100),0,B21/SUM($B$20,$B$21,$B$22)*100)</f>
        <v>90.410132689987933</v>
      </c>
      <c r="D21" s="229"/>
      <c r="E21" s="15"/>
    </row>
    <row r="22" spans="1:7">
      <c r="A22" s="171" t="s">
        <v>74</v>
      </c>
      <c r="B22" s="37">
        <f>aantalw2001_hout</f>
        <v>72</v>
      </c>
      <c r="C22" s="167">
        <f>IF(ISERROR(B22/SUM($B$20,$B$21,$B$22)*100),0,B22/SUM($B$20,$B$21,$B$22)*100)</f>
        <v>4.3425814234016888</v>
      </c>
      <c r="D22" s="229"/>
      <c r="E22" s="15"/>
    </row>
    <row r="23" spans="1:7">
      <c r="A23" s="171" t="s">
        <v>75</v>
      </c>
      <c r="B23" s="37">
        <f>aantalw2001_niet_gespec</f>
        <v>190</v>
      </c>
      <c r="C23" s="166" t="s">
        <v>110</v>
      </c>
      <c r="D23" s="228"/>
      <c r="E23" s="15"/>
    </row>
    <row r="24" spans="1:7">
      <c r="A24" s="171" t="s">
        <v>76</v>
      </c>
      <c r="B24" s="37">
        <f>aantalw2001_steenkool</f>
        <v>69</v>
      </c>
      <c r="C24" s="166" t="s">
        <v>110</v>
      </c>
      <c r="D24" s="229"/>
      <c r="E24" s="15"/>
    </row>
    <row r="25" spans="1:7">
      <c r="A25" s="171" t="s">
        <v>77</v>
      </c>
      <c r="B25" s="37">
        <f>aantalw2001_stookolie</f>
        <v>1638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11355</v>
      </c>
      <c r="C28" s="36"/>
      <c r="D28" s="228"/>
    </row>
    <row r="29" spans="1:7" s="15" customFormat="1">
      <c r="A29" s="230" t="s">
        <v>838</v>
      </c>
      <c r="B29" s="37">
        <f>SUM(HH_hh_gas_aantal,HH_rest_gas_aantal)</f>
        <v>11657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11657</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11657</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49754.576883000002</v>
      </c>
      <c r="C5" s="17">
        <f>IF(ISERROR('Eigen informatie GS &amp; warmtenet'!B60),0,'Eigen informatie GS &amp; warmtenet'!B60)</f>
        <v>0</v>
      </c>
      <c r="D5" s="30">
        <f>SUM(D6:D12)</f>
        <v>62394.271730010005</v>
      </c>
      <c r="E5" s="17">
        <f>SUM(E6:E12)</f>
        <v>589.90304879502946</v>
      </c>
      <c r="F5" s="17">
        <f>SUM(F6:F12)</f>
        <v>5969.3550387675677</v>
      </c>
      <c r="G5" s="18"/>
      <c r="H5" s="17"/>
      <c r="I5" s="17"/>
      <c r="J5" s="17">
        <f>SUM(J6:J12)</f>
        <v>0.1407445966587037</v>
      </c>
      <c r="K5" s="17"/>
      <c r="L5" s="17"/>
      <c r="M5" s="17"/>
      <c r="N5" s="17">
        <f>SUM(N6:N12)</f>
        <v>5512.5397533454397</v>
      </c>
      <c r="O5" s="17">
        <f>B38*B39*B40</f>
        <v>24.486303829205774</v>
      </c>
      <c r="P5" s="17">
        <f>B46*B47*B48/1000-B46*B47*B48/1000/B49</f>
        <v>105.07827661299004</v>
      </c>
      <c r="R5" s="32"/>
    </row>
    <row r="6" spans="1:18">
      <c r="A6" s="32" t="s">
        <v>53</v>
      </c>
      <c r="B6" s="37">
        <f>B26</f>
        <v>13465.82525</v>
      </c>
      <c r="C6" s="33"/>
      <c r="D6" s="37">
        <f>IF(ISERROR(TER_kantoor_gas_kWh/1000),0,TER_kantoor_gas_kWh/1000)*0.902</f>
        <v>23034.1022725</v>
      </c>
      <c r="E6" s="33">
        <f>$C$26*'E Balans VL '!I12/100/3.6*1000000</f>
        <v>108.35517830303314</v>
      </c>
      <c r="F6" s="33">
        <f>$C$26*('E Balans VL '!L12+'E Balans VL '!N12)/100/3.6*1000000</f>
        <v>1646.3387927589217</v>
      </c>
      <c r="G6" s="34"/>
      <c r="H6" s="33"/>
      <c r="I6" s="33"/>
      <c r="J6" s="33">
        <f>$C$26*('E Balans VL '!D12+'E Balans VL '!E12)/100/3.6*1000000</f>
        <v>0</v>
      </c>
      <c r="K6" s="33"/>
      <c r="L6" s="33"/>
      <c r="M6" s="33"/>
      <c r="N6" s="33">
        <f>$C$26*'E Balans VL '!Y12/100/3.6*1000000</f>
        <v>7.2372179517539115</v>
      </c>
      <c r="O6" s="33"/>
      <c r="P6" s="33"/>
      <c r="R6" s="32"/>
    </row>
    <row r="7" spans="1:18">
      <c r="A7" s="32" t="s">
        <v>52</v>
      </c>
      <c r="B7" s="37">
        <f t="shared" ref="B7:B12" si="0">B27</f>
        <v>13236.27606</v>
      </c>
      <c r="C7" s="33"/>
      <c r="D7" s="37">
        <f>IF(ISERROR(TER_horeca_gas_kWh/1000),0,TER_horeca_gas_kWh/1000)*0.902</f>
        <v>22994.732317700003</v>
      </c>
      <c r="E7" s="33">
        <f>$C$27*'E Balans VL '!I9/100/3.6*1000000</f>
        <v>142.12510227277193</v>
      </c>
      <c r="F7" s="33">
        <f>$C$27*('E Balans VL '!L9+'E Balans VL '!N9)/100/3.6*1000000</f>
        <v>1592.0030476272566</v>
      </c>
      <c r="G7" s="34"/>
      <c r="H7" s="33"/>
      <c r="I7" s="33"/>
      <c r="J7" s="33">
        <f>$C$27*('E Balans VL '!D9+'E Balans VL '!E9)/100/3.6*1000000</f>
        <v>0</v>
      </c>
      <c r="K7" s="33"/>
      <c r="L7" s="33"/>
      <c r="M7" s="33"/>
      <c r="N7" s="33">
        <f>$C$27*'E Balans VL '!Y9/100/3.6*1000000</f>
        <v>1.9843860495641947</v>
      </c>
      <c r="O7" s="33"/>
      <c r="P7" s="33"/>
      <c r="R7" s="32"/>
    </row>
    <row r="8" spans="1:18">
      <c r="A8" s="6" t="s">
        <v>51</v>
      </c>
      <c r="B8" s="37">
        <f t="shared" si="0"/>
        <v>10119.502480000001</v>
      </c>
      <c r="C8" s="33"/>
      <c r="D8" s="37">
        <f>IF(ISERROR(TER_handel_gas_kWh/1000),0,TER_handel_gas_kWh/1000)*0.902</f>
        <v>4281.5935223820006</v>
      </c>
      <c r="E8" s="33">
        <f>$C$28*'E Balans VL '!I13/100/3.6*1000000</f>
        <v>271.57646600689355</v>
      </c>
      <c r="F8" s="33">
        <f>$C$28*('E Balans VL '!L13+'E Balans VL '!N13)/100/3.6*1000000</f>
        <v>965.71242770046933</v>
      </c>
      <c r="G8" s="34"/>
      <c r="H8" s="33"/>
      <c r="I8" s="33"/>
      <c r="J8" s="33">
        <f>$C$28*('E Balans VL '!D13+'E Balans VL '!E13)/100/3.6*1000000</f>
        <v>0</v>
      </c>
      <c r="K8" s="33"/>
      <c r="L8" s="33"/>
      <c r="M8" s="33"/>
      <c r="N8" s="33">
        <f>$C$28*'E Balans VL '!Y13/100/3.6*1000000</f>
        <v>4.0114858457160709</v>
      </c>
      <c r="O8" s="33"/>
      <c r="P8" s="33"/>
      <c r="R8" s="32"/>
    </row>
    <row r="9" spans="1:18">
      <c r="A9" s="32" t="s">
        <v>50</v>
      </c>
      <c r="B9" s="37">
        <f t="shared" si="0"/>
        <v>1294.024054</v>
      </c>
      <c r="C9" s="33"/>
      <c r="D9" s="37">
        <f>IF(ISERROR(TER_gezond_gas_kWh/1000),0,TER_gezond_gas_kWh/1000)*0.902</f>
        <v>2358.8243311600004</v>
      </c>
      <c r="E9" s="33">
        <f>$C$29*'E Balans VL '!I10/100/3.6*1000000</f>
        <v>2.4254224297247093</v>
      </c>
      <c r="F9" s="33">
        <f>$C$29*('E Balans VL '!L10+'E Balans VL '!N10)/100/3.6*1000000</f>
        <v>106.38058429851968</v>
      </c>
      <c r="G9" s="34"/>
      <c r="H9" s="33"/>
      <c r="I9" s="33"/>
      <c r="J9" s="33">
        <f>$C$29*('E Balans VL '!D10+'E Balans VL '!E10)/100/3.6*1000000</f>
        <v>0</v>
      </c>
      <c r="K9" s="33"/>
      <c r="L9" s="33"/>
      <c r="M9" s="33"/>
      <c r="N9" s="33">
        <f>$C$29*'E Balans VL '!Y10/100/3.6*1000000</f>
        <v>10.06847262079126</v>
      </c>
      <c r="O9" s="33"/>
      <c r="P9" s="33"/>
      <c r="R9" s="32"/>
    </row>
    <row r="10" spans="1:18">
      <c r="A10" s="32" t="s">
        <v>49</v>
      </c>
      <c r="B10" s="37">
        <f t="shared" si="0"/>
        <v>7916.9298710000003</v>
      </c>
      <c r="C10" s="33"/>
      <c r="D10" s="37">
        <f>IF(ISERROR(TER_ander_gas_kWh/1000),0,TER_ander_gas_kWh/1000)*0.902</f>
        <v>4307.9274782280008</v>
      </c>
      <c r="E10" s="33">
        <f>$C$30*'E Balans VL '!I14/100/3.6*1000000</f>
        <v>12.204027617157367</v>
      </c>
      <c r="F10" s="33">
        <f>$C$30*('E Balans VL '!L14+'E Balans VL '!N14)/100/3.6*1000000</f>
        <v>1229.105548061402</v>
      </c>
      <c r="G10" s="34"/>
      <c r="H10" s="33"/>
      <c r="I10" s="33"/>
      <c r="J10" s="33">
        <f>$C$30*('E Balans VL '!D14+'E Balans VL '!E14)/100/3.6*1000000</f>
        <v>0.1343982339508055</v>
      </c>
      <c r="K10" s="33"/>
      <c r="L10" s="33"/>
      <c r="M10" s="33"/>
      <c r="N10" s="33">
        <f>$C$30*'E Balans VL '!Y14/100/3.6*1000000</f>
        <v>5237.587066955869</v>
      </c>
      <c r="O10" s="33"/>
      <c r="P10" s="33"/>
      <c r="R10" s="32"/>
    </row>
    <row r="11" spans="1:18">
      <c r="A11" s="32" t="s">
        <v>54</v>
      </c>
      <c r="B11" s="37">
        <f t="shared" si="0"/>
        <v>410.49403599999999</v>
      </c>
      <c r="C11" s="33"/>
      <c r="D11" s="37">
        <f>IF(ISERROR(TER_onderwijs_gas_kWh/1000),0,TER_onderwijs_gas_kWh/1000)*0.902</f>
        <v>786.81262732599998</v>
      </c>
      <c r="E11" s="33">
        <f>$C$31*'E Balans VL '!I11/100/3.6*1000000</f>
        <v>10.470401615431435</v>
      </c>
      <c r="F11" s="33">
        <f>$C$31*('E Balans VL '!L11+'E Balans VL '!N11)/100/3.6*1000000</f>
        <v>49.365771546002328</v>
      </c>
      <c r="G11" s="34"/>
      <c r="H11" s="33"/>
      <c r="I11" s="33"/>
      <c r="J11" s="33">
        <f>$C$31*('E Balans VL '!D11+'E Balans VL '!E11)/100/3.6*1000000</f>
        <v>0</v>
      </c>
      <c r="K11" s="33"/>
      <c r="L11" s="33"/>
      <c r="M11" s="33"/>
      <c r="N11" s="33">
        <f>$C$31*'E Balans VL '!Y11/100/3.6*1000000</f>
        <v>0.91292871992321578</v>
      </c>
      <c r="O11" s="33"/>
      <c r="P11" s="33"/>
      <c r="R11" s="32"/>
    </row>
    <row r="12" spans="1:18">
      <c r="A12" s="32" t="s">
        <v>259</v>
      </c>
      <c r="B12" s="37">
        <f t="shared" si="0"/>
        <v>3311.5251320000002</v>
      </c>
      <c r="C12" s="33"/>
      <c r="D12" s="37">
        <f>IF(ISERROR(TER_rest_gas_kWh/1000),0,TER_rest_gas_kWh/1000)*0.902</f>
        <v>4630.2791807140011</v>
      </c>
      <c r="E12" s="33">
        <f>$C$32*'E Balans VL '!I8/100/3.6*1000000</f>
        <v>42.746450550017258</v>
      </c>
      <c r="F12" s="33">
        <f>$C$32*('E Balans VL '!L8+'E Balans VL '!N8)/100/3.6*1000000</f>
        <v>380.44886677499642</v>
      </c>
      <c r="G12" s="34"/>
      <c r="H12" s="33"/>
      <c r="I12" s="33"/>
      <c r="J12" s="33">
        <f>$C$32*('E Balans VL '!D8+'E Balans VL '!E8)/100/3.6*1000000</f>
        <v>6.3463627078982118E-3</v>
      </c>
      <c r="K12" s="33"/>
      <c r="L12" s="33"/>
      <c r="M12" s="33"/>
      <c r="N12" s="33">
        <f>$C$32*'E Balans VL '!Y8/100/3.6*1000000</f>
        <v>250.73819520182244</v>
      </c>
      <c r="O12" s="33"/>
      <c r="P12" s="33"/>
      <c r="R12" s="32"/>
    </row>
    <row r="13" spans="1:18">
      <c r="A13" s="16" t="s">
        <v>482</v>
      </c>
      <c r="B13" s="247">
        <f ca="1">'lokale energieproductie'!N91+'lokale energieproductie'!N60</f>
        <v>206.25</v>
      </c>
      <c r="C13" s="247">
        <f ca="1">'lokale energieproductie'!O91+'lokale energieproductie'!O60</f>
        <v>294.64285714285717</v>
      </c>
      <c r="D13" s="310">
        <f ca="1">('lokale energieproductie'!P60+'lokale energieproductie'!P91)*(-1)</f>
        <v>-589.28571428571433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49960.826883000002</v>
      </c>
      <c r="C16" s="21">
        <f t="shared" ca="1" si="1"/>
        <v>294.64285714285717</v>
      </c>
      <c r="D16" s="21">
        <f t="shared" ca="1" si="1"/>
        <v>61804.986015724287</v>
      </c>
      <c r="E16" s="21">
        <f t="shared" si="1"/>
        <v>589.90304879502946</v>
      </c>
      <c r="F16" s="21">
        <f t="shared" ca="1" si="1"/>
        <v>5969.3550387675677</v>
      </c>
      <c r="G16" s="21">
        <f t="shared" si="1"/>
        <v>0</v>
      </c>
      <c r="H16" s="21">
        <f t="shared" si="1"/>
        <v>0</v>
      </c>
      <c r="I16" s="21">
        <f t="shared" si="1"/>
        <v>0</v>
      </c>
      <c r="J16" s="21">
        <f t="shared" si="1"/>
        <v>0.1407445966587037</v>
      </c>
      <c r="K16" s="21">
        <f t="shared" si="1"/>
        <v>0</v>
      </c>
      <c r="L16" s="21">
        <f t="shared" ca="1" si="1"/>
        <v>0</v>
      </c>
      <c r="M16" s="21">
        <f t="shared" si="1"/>
        <v>0</v>
      </c>
      <c r="N16" s="21">
        <f t="shared" ca="1" si="1"/>
        <v>5512.5397533454397</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0.21400402807930807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10691.818199134981</v>
      </c>
      <c r="C20" s="23">
        <f t="shared" ref="C20:P20" ca="1" si="2">C16*C18</f>
        <v>70.021008403361364</v>
      </c>
      <c r="D20" s="23">
        <f t="shared" ca="1" si="2"/>
        <v>12484.607175176307</v>
      </c>
      <c r="E20" s="23">
        <f t="shared" si="2"/>
        <v>133.90799207647169</v>
      </c>
      <c r="F20" s="23">
        <f t="shared" ca="1" si="2"/>
        <v>1593.8177953509407</v>
      </c>
      <c r="G20" s="23">
        <f t="shared" si="2"/>
        <v>0</v>
      </c>
      <c r="H20" s="23">
        <f t="shared" si="2"/>
        <v>0</v>
      </c>
      <c r="I20" s="23">
        <f t="shared" si="2"/>
        <v>0</v>
      </c>
      <c r="J20" s="23">
        <f t="shared" si="2"/>
        <v>4.9823587217181109E-2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13465.82525</v>
      </c>
      <c r="C26" s="39">
        <f>IF(ISERROR(B26*3.6/1000000/'E Balans VL '!Z12*100),0,B26*3.6/1000000/'E Balans VL '!Z12*100)</f>
        <v>0.28566516286337584</v>
      </c>
      <c r="D26" s="237" t="s">
        <v>716</v>
      </c>
      <c r="F26" s="6"/>
    </row>
    <row r="27" spans="1:18">
      <c r="A27" s="231" t="s">
        <v>52</v>
      </c>
      <c r="B27" s="33">
        <f>IF(ISERROR(TER_horeca_ele_kWh/1000),0,TER_horeca_ele_kWh/1000)</f>
        <v>13236.27606</v>
      </c>
      <c r="C27" s="39">
        <f>IF(ISERROR(B27*3.6/1000000/'E Balans VL '!Z9*100),0,B27*3.6/1000000/'E Balans VL '!Z9*100)</f>
        <v>0.99680884095627553</v>
      </c>
      <c r="D27" s="237" t="s">
        <v>716</v>
      </c>
      <c r="F27" s="6"/>
    </row>
    <row r="28" spans="1:18">
      <c r="A28" s="171" t="s">
        <v>51</v>
      </c>
      <c r="B28" s="33">
        <f>IF(ISERROR(TER_handel_ele_kWh/1000),0,TER_handel_ele_kWh/1000)</f>
        <v>10119.502480000001</v>
      </c>
      <c r="C28" s="39">
        <f>IF(ISERROR(B28*3.6/1000000/'E Balans VL '!Z13*100),0,B28*3.6/1000000/'E Balans VL '!Z13*100)</f>
        <v>0.29373330079954846</v>
      </c>
      <c r="D28" s="237" t="s">
        <v>716</v>
      </c>
      <c r="F28" s="6"/>
    </row>
    <row r="29" spans="1:18">
      <c r="A29" s="231" t="s">
        <v>50</v>
      </c>
      <c r="B29" s="33">
        <f>IF(ISERROR(TER_gezond_ele_kWh/1000),0,TER_gezond_ele_kWh/1000)</f>
        <v>1294.024054</v>
      </c>
      <c r="C29" s="39">
        <f>IF(ISERROR(B29*3.6/1000000/'E Balans VL '!Z10*100),0,B29*3.6/1000000/'E Balans VL '!Z10*100)</f>
        <v>0.13050386903243702</v>
      </c>
      <c r="D29" s="237" t="s">
        <v>716</v>
      </c>
      <c r="F29" s="6"/>
    </row>
    <row r="30" spans="1:18">
      <c r="A30" s="231" t="s">
        <v>49</v>
      </c>
      <c r="B30" s="33">
        <f>IF(ISERROR(TER_ander_ele_kWh/1000),0,TER_ander_ele_kWh/1000)</f>
        <v>7916.9298710000003</v>
      </c>
      <c r="C30" s="39">
        <f>IF(ISERROR(B30*3.6/1000000/'E Balans VL '!Z14*100),0,B30*3.6/1000000/'E Balans VL '!Z14*100)</f>
        <v>0.57448126886807294</v>
      </c>
      <c r="D30" s="237" t="s">
        <v>716</v>
      </c>
      <c r="F30" s="6"/>
    </row>
    <row r="31" spans="1:18">
      <c r="A31" s="231" t="s">
        <v>54</v>
      </c>
      <c r="B31" s="33">
        <f>IF(ISERROR(TER_onderwijs_ele_kWh/1000),0,TER_onderwijs_ele_kWh/1000)</f>
        <v>410.49403599999999</v>
      </c>
      <c r="C31" s="39">
        <f>IF(ISERROR(B31*3.6/1000000/'E Balans VL '!Z11*100),0,B31*3.6/1000000/'E Balans VL '!Z11*100)</f>
        <v>0.11700751635550795</v>
      </c>
      <c r="D31" s="237" t="s">
        <v>716</v>
      </c>
    </row>
    <row r="32" spans="1:18">
      <c r="A32" s="231" t="s">
        <v>259</v>
      </c>
      <c r="B32" s="33">
        <f>IF(ISERROR(TER_rest_ele_kWh/1000),0,TER_rest_ele_kWh/1000)</f>
        <v>3311.5251320000002</v>
      </c>
      <c r="C32" s="39">
        <f>IF(ISERROR(B32*3.6/1000000/'E Balans VL '!Z8*100),0,B32*3.6/1000000/'E Balans VL '!Z8*100)</f>
        <v>2.7127339355254475E-2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3504.1104269999996</v>
      </c>
      <c r="C5" s="17">
        <f>IF(ISERROR('Eigen informatie GS &amp; warmtenet'!B61),0,'Eigen informatie GS &amp; warmtenet'!B61)</f>
        <v>0</v>
      </c>
      <c r="D5" s="30">
        <f>SUM(D6:D15)</f>
        <v>4211.5309998080002</v>
      </c>
      <c r="E5" s="17">
        <f>SUM(E6:E15)</f>
        <v>614.55695176740937</v>
      </c>
      <c r="F5" s="17">
        <f>SUM(F6:F15)</f>
        <v>1901.5355563849878</v>
      </c>
      <c r="G5" s="18"/>
      <c r="H5" s="17"/>
      <c r="I5" s="17"/>
      <c r="J5" s="17">
        <f>SUM(J6:J15)</f>
        <v>5.3990527001832529</v>
      </c>
      <c r="K5" s="17"/>
      <c r="L5" s="17"/>
      <c r="M5" s="17"/>
      <c r="N5" s="17">
        <f>SUM(N6:N15)</f>
        <v>223.90886895717969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v>
      </c>
      <c r="C8" s="33"/>
      <c r="D8" s="37">
        <f>IF( ISERROR(IND_metaal_Gas_kWH/1000),0,IND_metaal_Gas_kWH/1000)*0.902</f>
        <v>7.7571612139999999</v>
      </c>
      <c r="E8" s="33">
        <f>C30*'E Balans VL '!I18/100/3.6*1000000</f>
        <v>0.83574036738002522</v>
      </c>
      <c r="F8" s="33">
        <f>C30*'E Balans VL '!L18/100/3.6*1000000+C30*'E Balans VL '!N18/100/3.6*1000000</f>
        <v>10.956800967829505</v>
      </c>
      <c r="G8" s="34"/>
      <c r="H8" s="33"/>
      <c r="I8" s="33"/>
      <c r="J8" s="40">
        <f>C30*'E Balans VL '!D18/100/3.6*1000000+C30*'E Balans VL '!E18/100/3.6*1000000</f>
        <v>0.11651757419824586</v>
      </c>
      <c r="K8" s="33"/>
      <c r="L8" s="33"/>
      <c r="M8" s="33"/>
      <c r="N8" s="33">
        <f>C30*'E Balans VL '!Y18/100/3.6*1000000</f>
        <v>1.4645872956107757</v>
      </c>
      <c r="O8" s="33"/>
      <c r="P8" s="33"/>
      <c r="R8" s="32"/>
    </row>
    <row r="9" spans="1:18">
      <c r="A9" s="6" t="s">
        <v>32</v>
      </c>
      <c r="B9" s="37">
        <f t="shared" si="0"/>
        <v>2176.7966179999999</v>
      </c>
      <c r="C9" s="33"/>
      <c r="D9" s="37">
        <f>IF( ISERROR(IND_andere_gas_kWh/1000),0,IND_andere_gas_kWh/1000)*0.902</f>
        <v>2626.379973822</v>
      </c>
      <c r="E9" s="33">
        <f>C31*'E Balans VL '!I19/100/3.6*1000000</f>
        <v>603.21945026522485</v>
      </c>
      <c r="F9" s="33">
        <f>C31*'E Balans VL '!L19/100/3.6*1000000+C31*'E Balans VL '!N19/100/3.6*1000000</f>
        <v>1804.1337410921458</v>
      </c>
      <c r="G9" s="34"/>
      <c r="H9" s="33"/>
      <c r="I9" s="33"/>
      <c r="J9" s="40">
        <f>C31*'E Balans VL '!D19/100/3.6*1000000+C31*'E Balans VL '!E19/100/3.6*1000000</f>
        <v>0</v>
      </c>
      <c r="K9" s="33"/>
      <c r="L9" s="33"/>
      <c r="M9" s="33"/>
      <c r="N9" s="33">
        <f>C31*'E Balans VL '!Y19/100/3.6*1000000</f>
        <v>158.00880936177421</v>
      </c>
      <c r="O9" s="33"/>
      <c r="P9" s="33"/>
      <c r="R9" s="32"/>
    </row>
    <row r="10" spans="1:18">
      <c r="A10" s="6" t="s">
        <v>40</v>
      </c>
      <c r="B10" s="37">
        <f t="shared" si="0"/>
        <v>984.53890899999999</v>
      </c>
      <c r="C10" s="33"/>
      <c r="D10" s="37">
        <f>IF( ISERROR(IND_voed_gas_kWh/1000),0,IND_voed_gas_kWh/1000)*0.902</f>
        <v>1203.0245844760002</v>
      </c>
      <c r="E10" s="33">
        <f>C32*'E Balans VL '!I20/100/3.6*1000000</f>
        <v>1.7429673536391377</v>
      </c>
      <c r="F10" s="33">
        <f>C32*'E Balans VL '!L20/100/3.6*1000000+C32*'E Balans VL '!N20/100/3.6*1000000</f>
        <v>53.173826976077947</v>
      </c>
      <c r="G10" s="34"/>
      <c r="H10" s="33"/>
      <c r="I10" s="33"/>
      <c r="J10" s="40">
        <f>C32*'E Balans VL '!D20/100/3.6*1000000+C32*'E Balans VL '!E20/100/3.6*1000000</f>
        <v>0</v>
      </c>
      <c r="K10" s="33"/>
      <c r="L10" s="33"/>
      <c r="M10" s="33"/>
      <c r="N10" s="33">
        <f>C32*'E Balans VL '!Y20/100/3.6*1000000</f>
        <v>57.209229630241651</v>
      </c>
      <c r="O10" s="33"/>
      <c r="P10" s="33"/>
      <c r="R10" s="32"/>
    </row>
    <row r="11" spans="1:18">
      <c r="A11" s="6" t="s">
        <v>39</v>
      </c>
      <c r="B11" s="37">
        <f t="shared" si="0"/>
        <v>8.9158979999999985</v>
      </c>
      <c r="C11" s="33"/>
      <c r="D11" s="37">
        <f>IF( ISERROR(IND_textiel_gas_kWh/1000),0,IND_textiel_gas_kWh/1000)*0.902</f>
        <v>0</v>
      </c>
      <c r="E11" s="33">
        <f>C33*'E Balans VL '!I21/100/3.6*1000000</f>
        <v>3.1429465875366297E-2</v>
      </c>
      <c r="F11" s="33">
        <f>C33*'E Balans VL '!L21/100/3.6*1000000+C33*'E Balans VL '!N21/100/3.6*1000000</f>
        <v>0.26169493878918726</v>
      </c>
      <c r="G11" s="34"/>
      <c r="H11" s="33"/>
      <c r="I11" s="33"/>
      <c r="J11" s="40">
        <f>C33*'E Balans VL '!D21/100/3.6*1000000+C33*'E Balans VL '!E21/100/3.6*1000000</f>
        <v>0</v>
      </c>
      <c r="K11" s="33"/>
      <c r="L11" s="33"/>
      <c r="M11" s="33"/>
      <c r="N11" s="33">
        <f>C33*'E Balans VL '!Y21/100/3.6*1000000</f>
        <v>0.39283318960239932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34.420839000000001</v>
      </c>
      <c r="C13" s="33"/>
      <c r="D13" s="37">
        <f>IF( ISERROR(IND_papier_gas_kWh/1000),0,IND_papier_gas_kWh/1000)*0.902</f>
        <v>85.059897075999999</v>
      </c>
      <c r="E13" s="33">
        <f>C35*'E Balans VL '!I23/100/3.6*1000000</f>
        <v>5.0644873602756775E-2</v>
      </c>
      <c r="F13" s="33">
        <f>C35*'E Balans VL '!L23/100/3.6*1000000+C35*'E Balans VL '!N23/100/3.6*1000000</f>
        <v>0.36855447410854331</v>
      </c>
      <c r="G13" s="34"/>
      <c r="H13" s="33"/>
      <c r="I13" s="33"/>
      <c r="J13" s="40">
        <f>C35*'E Balans VL '!D23/100/3.6*1000000+C35*'E Balans VL '!E23/100/3.6*1000000</f>
        <v>3.7658328085644346</v>
      </c>
      <c r="K13" s="33"/>
      <c r="L13" s="33"/>
      <c r="M13" s="33"/>
      <c r="N13" s="33">
        <f>C35*'E Balans VL '!Y23/100/3.6*1000000</f>
        <v>-0.31182330723548896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183.593163</v>
      </c>
      <c r="C15" s="33"/>
      <c r="D15" s="37">
        <f>IF( ISERROR(IND_rest_gas_kWh/1000),0,IND_rest_gas_kWh/1000)*0.902</f>
        <v>289.30938321999997</v>
      </c>
      <c r="E15" s="33">
        <f>C37*'E Balans VL '!I15/100/3.6*1000000</f>
        <v>8.6767194416871636</v>
      </c>
      <c r="F15" s="33">
        <f>C37*'E Balans VL '!L15/100/3.6*1000000+C37*'E Balans VL '!N15/100/3.6*1000000</f>
        <v>32.640937936037034</v>
      </c>
      <c r="G15" s="34"/>
      <c r="H15" s="33"/>
      <c r="I15" s="33"/>
      <c r="J15" s="40">
        <f>C37*'E Balans VL '!D15/100/3.6*1000000+C37*'E Balans VL '!E15/100/3.6*1000000</f>
        <v>1.5167023174205729</v>
      </c>
      <c r="K15" s="33"/>
      <c r="L15" s="33"/>
      <c r="M15" s="33"/>
      <c r="N15" s="33">
        <f>C37*'E Balans VL '!Y15/100/3.6*1000000</f>
        <v>7.1452327871861421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3504.1104269999996</v>
      </c>
      <c r="C18" s="21">
        <f>C5+C16</f>
        <v>0</v>
      </c>
      <c r="D18" s="21">
        <f>MAX((D5+D16),0)</f>
        <v>4211.5309998080002</v>
      </c>
      <c r="E18" s="21">
        <f>MAX((E5+E16),0)</f>
        <v>614.55695176740937</v>
      </c>
      <c r="F18" s="21">
        <f>MAX((F5+F16),0)</f>
        <v>1901.5355563849878</v>
      </c>
      <c r="G18" s="21"/>
      <c r="H18" s="21"/>
      <c r="I18" s="21"/>
      <c r="J18" s="21">
        <f>MAX((J5+J16),0)</f>
        <v>5.3990527001832529</v>
      </c>
      <c r="K18" s="21"/>
      <c r="L18" s="21">
        <f>MAX((L5+L16),0)</f>
        <v>0</v>
      </c>
      <c r="M18" s="21"/>
      <c r="N18" s="21">
        <f>MAX((N5+N16),0)</f>
        <v>223.90886895717969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0.21400402807930807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749.89374621270417</v>
      </c>
      <c r="C22" s="23">
        <f ca="1">C18*C20</f>
        <v>0</v>
      </c>
      <c r="D22" s="23">
        <f>D18*D20</f>
        <v>850.72926196121614</v>
      </c>
      <c r="E22" s="23">
        <f>E18*E20</f>
        <v>139.50442805120193</v>
      </c>
      <c r="F22" s="23">
        <f>F18*F20</f>
        <v>507.70999355479177</v>
      </c>
      <c r="G22" s="23"/>
      <c r="H22" s="23"/>
      <c r="I22" s="23"/>
      <c r="J22" s="23">
        <f>J18*J20</f>
        <v>1.9112646558648714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115.845</v>
      </c>
      <c r="C30" s="39">
        <f>IF(ISERROR(B30*3.6/1000000/'E Balans VL '!Z18*100),0,B30*3.6/1000000/'E Balans VL '!Z18*100)</f>
        <v>6.6875510915244234E-3</v>
      </c>
      <c r="D30" s="237" t="s">
        <v>716</v>
      </c>
    </row>
    <row r="31" spans="1:18">
      <c r="A31" s="6" t="s">
        <v>32</v>
      </c>
      <c r="B31" s="37">
        <f>IF( ISERROR(IND_ander_ele_kWh/1000),0,IND_ander_ele_kWh/1000)</f>
        <v>2176.7966179999999</v>
      </c>
      <c r="C31" s="39">
        <f>IF(ISERROR(B31*3.6/1000000/'E Balans VL '!Z19*100),0,B31*3.6/1000000/'E Balans VL '!Z19*100)</f>
        <v>0.10948581407237072</v>
      </c>
      <c r="D31" s="237" t="s">
        <v>716</v>
      </c>
    </row>
    <row r="32" spans="1:18">
      <c r="A32" s="171" t="s">
        <v>40</v>
      </c>
      <c r="B32" s="37">
        <f>IF( ISERROR(IND_voed_ele_kWh/1000),0,IND_voed_ele_kWh/1000)</f>
        <v>984.53890899999999</v>
      </c>
      <c r="C32" s="39">
        <f>IF(ISERROR(B32*3.6/1000000/'E Balans VL '!Z20*100),0,B32*3.6/1000000/'E Balans VL '!Z20*100)</f>
        <v>3.2790992105991332E-2</v>
      </c>
      <c r="D32" s="237" t="s">
        <v>716</v>
      </c>
    </row>
    <row r="33" spans="1:5">
      <c r="A33" s="171" t="s">
        <v>39</v>
      </c>
      <c r="B33" s="37">
        <f>IF( ISERROR(IND_textiel_ele_kWh/1000),0,IND_textiel_ele_kWh/1000)</f>
        <v>8.9158979999999985</v>
      </c>
      <c r="C33" s="39">
        <f>IF(ISERROR(B33*3.6/1000000/'E Balans VL '!Z21*100),0,B33*3.6/1000000/'E Balans VL '!Z21*100)</f>
        <v>1.3901019746812783E-3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34.420839000000001</v>
      </c>
      <c r="C35" s="39">
        <f>IF(ISERROR(B35*3.6/1000000/'E Balans VL '!Z22*100),0,B35*3.6/1000000/'E Balans VL '!Z22*100)</f>
        <v>6.4206490840901199E-3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183.593163</v>
      </c>
      <c r="C37" s="39">
        <f>IF(ISERROR(B37*3.6/1000000/'E Balans VL '!Z15*100),0,B37*3.6/1000000/'E Balans VL '!Z15*100)</f>
        <v>1.4325287309903817E-3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1254.5282480000001</v>
      </c>
      <c r="C5" s="17">
        <f>'Eigen informatie GS &amp; warmtenet'!B62</f>
        <v>0</v>
      </c>
      <c r="D5" s="30">
        <f>IF(ISERROR(SUM(LB_lb_gas_kWh,LB_rest_gas_kWh)/1000),0,SUM(LB_lb_gas_kWh,LB_rest_gas_kWh)/1000)*0.902</f>
        <v>206.42123515200001</v>
      </c>
      <c r="E5" s="17">
        <f>B17*'E Balans VL '!I25/3.6*1000000/100</f>
        <v>39.15341292770016</v>
      </c>
      <c r="F5" s="17">
        <f>B17*('E Balans VL '!L25/3.6*1000000+'E Balans VL '!N25/3.6*1000000)/100</f>
        <v>4433.6418013223811</v>
      </c>
      <c r="G5" s="18"/>
      <c r="H5" s="17"/>
      <c r="I5" s="17"/>
      <c r="J5" s="17">
        <f>('E Balans VL '!D25+'E Balans VL '!E25)/3.6*1000000*landbouw!B17/100</f>
        <v>345.63123240115294</v>
      </c>
      <c r="K5" s="17"/>
      <c r="L5" s="17">
        <f>L6*(-1)</f>
        <v>0</v>
      </c>
      <c r="M5" s="17"/>
      <c r="N5" s="17">
        <f>N6*(-1)</f>
        <v>0</v>
      </c>
      <c r="O5" s="17"/>
      <c r="P5" s="17"/>
      <c r="R5" s="32"/>
    </row>
    <row r="6" spans="1:18">
      <c r="A6" s="16" t="s">
        <v>482</v>
      </c>
      <c r="B6" s="17" t="s">
        <v>210</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1254.5282480000001</v>
      </c>
      <c r="C8" s="21">
        <f>C5+C6</f>
        <v>35.357142857142861</v>
      </c>
      <c r="D8" s="21">
        <f>MAX((D5+D6),0)</f>
        <v>135.70694943771429</v>
      </c>
      <c r="E8" s="21">
        <f>MAX((E5+E6),0)</f>
        <v>39.15341292770016</v>
      </c>
      <c r="F8" s="21">
        <f>MAX((F5+F6),0)</f>
        <v>4433.6418013223811</v>
      </c>
      <c r="G8" s="21"/>
      <c r="H8" s="21"/>
      <c r="I8" s="21"/>
      <c r="J8" s="21">
        <f>MAX((J5+J6),0)</f>
        <v>345.63123240115294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0.21400402807930807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268.47409841127717</v>
      </c>
      <c r="C12" s="23">
        <f ca="1">C8*C10</f>
        <v>8.4025210084033635</v>
      </c>
      <c r="D12" s="23">
        <f>D8*D10</f>
        <v>27.412803786418287</v>
      </c>
      <c r="E12" s="23">
        <f>E8*E10</f>
        <v>8.8878247345879373</v>
      </c>
      <c r="F12" s="23">
        <f>F8*F10</f>
        <v>1183.7823609530758</v>
      </c>
      <c r="G12" s="23"/>
      <c r="H12" s="23"/>
      <c r="I12" s="23"/>
      <c r="J12" s="23">
        <f>J8*J10</f>
        <v>122.35345627000814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0.18649461737554759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113.05330845769497</v>
      </c>
      <c r="C26" s="247">
        <f>B26*'GWP N2O_CH4'!B5</f>
        <v>2374.1194776115944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87.44669765483151</v>
      </c>
      <c r="C27" s="247">
        <f>B27*'GWP N2O_CH4'!B5</f>
        <v>1836.3806507514616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1.8269860382012173</v>
      </c>
      <c r="C28" s="247">
        <f>B28*'GWP N2O_CH4'!B4</f>
        <v>566.36567184237731</v>
      </c>
      <c r="D28" s="50"/>
    </row>
    <row r="29" spans="1:4">
      <c r="A29" s="41" t="s">
        <v>276</v>
      </c>
      <c r="B29" s="247">
        <f>B34*'ha_N2O bodem landbouw'!B4</f>
        <v>14.47645753341209</v>
      </c>
      <c r="C29" s="247">
        <f>B29*'GWP N2O_CH4'!B4</f>
        <v>4487.7018353577478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3.1744264943198864E-3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1.9593936669999996E-4</v>
      </c>
      <c r="C5" s="463" t="s">
        <v>210</v>
      </c>
      <c r="D5" s="448">
        <f>SUM(D6:D11)</f>
        <v>7.1600126200803199E-4</v>
      </c>
      <c r="E5" s="448">
        <f>SUM(E6:E11)</f>
        <v>5.8018121411325006E-4</v>
      </c>
      <c r="F5" s="461" t="s">
        <v>210</v>
      </c>
      <c r="G5" s="448">
        <f>SUM(G6:G11)</f>
        <v>0.29147562316706815</v>
      </c>
      <c r="H5" s="448">
        <f>SUM(H6:H11)</f>
        <v>5.3961430603339557E-2</v>
      </c>
      <c r="I5" s="463" t="s">
        <v>210</v>
      </c>
      <c r="J5" s="463" t="s">
        <v>210</v>
      </c>
      <c r="K5" s="463" t="s">
        <v>210</v>
      </c>
      <c r="L5" s="463" t="s">
        <v>210</v>
      </c>
      <c r="M5" s="448">
        <f>SUM(M6:M11)</f>
        <v>2.0352430111813827E-2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1.5598613822999998E-4</v>
      </c>
      <c r="C6" s="449"/>
      <c r="D6" s="917">
        <f>vkm_2011_GW_PW*SUMIFS(TableVerdeelsleutelVkm[CNG],TableVerdeelsleutelVkm[Voertuigtype],"Lichte voertuigen")*SUMIFS(TableECFTransport[EnergieConsumptieFactor (PJ per km)],TableECFTransport[Index],CONCATENATE($A6,"_CNG_CNG"))</f>
        <v>5.4239037213160799E-4</v>
      </c>
      <c r="E6" s="917">
        <f>vkm_2011_GW_PW*SUMIFS(TableVerdeelsleutelVkm[LPG],TableVerdeelsleutelVkm[Voertuigtype],"Lichte voertuigen")*SUMIFS(TableECFTransport[EnergieConsumptieFactor (PJ per km)],TableECFTransport[Index],CONCATENATE($A6,"_LPG_LPG"))</f>
        <v>4.273142516136E-4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0.1163199078603777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4.0704241964420691E-2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9.3831799034743025E-3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9.0212630161722721E-2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2.2727468626934415E-5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5.201942099008568E-3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1.1293816039999998E-5</v>
      </c>
      <c r="C8" s="449"/>
      <c r="D8" s="451">
        <f>vkm_2011_NGW_PW*SUMIFS(TableVerdeelsleutelVkm[CNG],TableVerdeelsleutelVkm[Voertuigtype],"Lichte voertuigen")*SUMIFS(TableECFTransport[EnergieConsumptieFactor (PJ per km)],TableECFTransport[Index],CONCATENATE($A8,"_CNG_CNG"))</f>
        <v>6.9498735546239996E-5</v>
      </c>
      <c r="E8" s="451">
        <f>vkm_2011_NGW_PW*SUMIFS(TableVerdeelsleutelVkm[LPG],TableVerdeelsleutelVkm[Voertuigtype],"Lichte voertuigen")*SUMIFS(TableECFTransport[EnergieConsumptieFactor (PJ per km)],TableECFTransport[Index],CONCATENATE($A8,"_LPG_LPG"))</f>
        <v>5.0759926211800005E-5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1.2822165132730746E-2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5.0821256903564845E-3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1.0734824643469792E-3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1.1361953260961759E-3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2.7008708087314962E-7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6.5515509323022856E-5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2.8659412429999994E-5</v>
      </c>
      <c r="C10" s="449"/>
      <c r="D10" s="451">
        <f>vkm_2011_SW_PW*SUMIFS(TableVerdeelsleutelVkm[CNG],TableVerdeelsleutelVkm[Voertuigtype],"Lichte voertuigen")*SUMIFS(TableECFTransport[EnergieConsumptieFactor (PJ per km)],TableECFTransport[Index],CONCATENATE($A10,"_CNG_CNG"))</f>
        <v>1.04112154330184E-4</v>
      </c>
      <c r="E10" s="451">
        <f>vkm_2011_SW_PW*SUMIFS(TableVerdeelsleutelVkm[LPG],TableVerdeelsleutelVkm[Voertuigtype],"Lichte voertuigen")*SUMIFS(TableECFTransport[EnergieConsumptieFactor (PJ per km)],TableECFTransport[Index],CONCATENATE($A10,"_LPG_LPG"))</f>
        <v>1.0210703628784999E-4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2.4690026337654027E-2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8.1394332991545932E-3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1.9587494504257311E-3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4.6294698348486783E-2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1.2632093699973474E-5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2.6695606852352241E-3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54.4276018611111</v>
      </c>
      <c r="C14" s="21"/>
      <c r="D14" s="21">
        <f t="shared" ref="D14:M14" si="0">((D5)*10^9/3600)+D12</f>
        <v>198.88923944667553</v>
      </c>
      <c r="E14" s="21">
        <f t="shared" si="0"/>
        <v>161.16144836479168</v>
      </c>
      <c r="F14" s="21"/>
      <c r="G14" s="21">
        <f t="shared" si="0"/>
        <v>80965.450879741169</v>
      </c>
      <c r="H14" s="21">
        <f t="shared" si="0"/>
        <v>14989.286278705431</v>
      </c>
      <c r="I14" s="21"/>
      <c r="J14" s="21"/>
      <c r="K14" s="21"/>
      <c r="L14" s="21"/>
      <c r="M14" s="21">
        <f t="shared" si="0"/>
        <v>5653.4528088371744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0.21400402807930807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11.647726036974619</v>
      </c>
      <c r="C18" s="23"/>
      <c r="D18" s="23">
        <f t="shared" ref="D18:M18" si="1">D14*D16</f>
        <v>40.175626368228457</v>
      </c>
      <c r="E18" s="23">
        <f t="shared" si="1"/>
        <v>36.583648778807714</v>
      </c>
      <c r="F18" s="23"/>
      <c r="G18" s="23">
        <f t="shared" si="1"/>
        <v>21617.775384890894</v>
      </c>
      <c r="H18" s="23">
        <f t="shared" si="1"/>
        <v>3732.3322833976522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4.8675286800000002E-3</v>
      </c>
      <c r="C50" s="321">
        <f t="shared" ref="C50:P50" si="2">SUM(C51:C52)</f>
        <v>0</v>
      </c>
      <c r="D50" s="321">
        <f t="shared" si="2"/>
        <v>0</v>
      </c>
      <c r="E50" s="321">
        <f t="shared" si="2"/>
        <v>0</v>
      </c>
      <c r="F50" s="321">
        <f t="shared" si="2"/>
        <v>0</v>
      </c>
      <c r="G50" s="321">
        <f t="shared" si="2"/>
        <v>4.2520228873855308E-3</v>
      </c>
      <c r="H50" s="321">
        <f t="shared" si="2"/>
        <v>0</v>
      </c>
      <c r="I50" s="321">
        <f t="shared" si="2"/>
        <v>0</v>
      </c>
      <c r="J50" s="321">
        <f t="shared" si="2"/>
        <v>0</v>
      </c>
      <c r="K50" s="321">
        <f t="shared" si="2"/>
        <v>0</v>
      </c>
      <c r="L50" s="321">
        <f t="shared" si="2"/>
        <v>0</v>
      </c>
      <c r="M50" s="321">
        <f t="shared" si="2"/>
        <v>2.3632790254137553E-4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4.2520228873855308E-3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2.3632790254137553E-4</v>
      </c>
      <c r="N51" s="323"/>
      <c r="O51" s="323"/>
      <c r="P51" s="326"/>
    </row>
    <row r="52" spans="1:18">
      <c r="A52" s="4" t="s">
        <v>329</v>
      </c>
      <c r="B52" s="918">
        <f>vkm_2011_tram*SUMIFS(TableECFTransport[EnergieConsumptieFactor (PJ per km)],TableECFTransport[Index],"Tram_gemiddeld_Electric_Electric")</f>
        <v>4.8675286800000002E-3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1352.0913000000003</v>
      </c>
      <c r="C54" s="21">
        <f t="shared" ref="C54:P54" si="3">(C50)*10^9/3600</f>
        <v>0</v>
      </c>
      <c r="D54" s="21">
        <f t="shared" si="3"/>
        <v>0</v>
      </c>
      <c r="E54" s="21">
        <f t="shared" si="3"/>
        <v>0</v>
      </c>
      <c r="F54" s="21">
        <f t="shared" si="3"/>
        <v>0</v>
      </c>
      <c r="G54" s="21">
        <f t="shared" si="3"/>
        <v>1181.1174687182029</v>
      </c>
      <c r="H54" s="21">
        <f t="shared" si="3"/>
        <v>0</v>
      </c>
      <c r="I54" s="21">
        <f t="shared" si="3"/>
        <v>0</v>
      </c>
      <c r="J54" s="21">
        <f t="shared" si="3"/>
        <v>0</v>
      </c>
      <c r="K54" s="21">
        <f t="shared" si="3"/>
        <v>0</v>
      </c>
      <c r="L54" s="21">
        <f t="shared" si="3"/>
        <v>0</v>
      </c>
      <c r="M54" s="21">
        <f t="shared" si="3"/>
        <v>65.646639594826539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0.21400402807930807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289.35298453098824</v>
      </c>
      <c r="C58" s="23">
        <f t="shared" ref="C58:P58" ca="1" si="4">C54*C56</f>
        <v>0</v>
      </c>
      <c r="D58" s="23">
        <f t="shared" si="4"/>
        <v>0</v>
      </c>
      <c r="E58" s="23">
        <f t="shared" si="4"/>
        <v>0</v>
      </c>
      <c r="F58" s="23">
        <f t="shared" si="4"/>
        <v>0</v>
      </c>
      <c r="G58" s="23">
        <f t="shared" si="4"/>
        <v>315.3583641477602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52812.171883000003</v>
      </c>
      <c r="D10" s="712">
        <f ca="1">tertiair!C16</f>
        <v>294.64285714285717</v>
      </c>
      <c r="E10" s="712">
        <f ca="1">tertiair!D16</f>
        <v>61804.986015724287</v>
      </c>
      <c r="F10" s="712">
        <f>tertiair!E16</f>
        <v>589.90304879502946</v>
      </c>
      <c r="G10" s="712">
        <f ca="1">tertiair!F16</f>
        <v>5969.3550387675677</v>
      </c>
      <c r="H10" s="712">
        <f>tertiair!G16</f>
        <v>0</v>
      </c>
      <c r="I10" s="712">
        <f>tertiair!H16</f>
        <v>0</v>
      </c>
      <c r="J10" s="712">
        <f>tertiair!I16</f>
        <v>0</v>
      </c>
      <c r="K10" s="712">
        <f>tertiair!J16</f>
        <v>0.1407445966587037</v>
      </c>
      <c r="L10" s="712">
        <f>tertiair!K16</f>
        <v>0</v>
      </c>
      <c r="M10" s="712">
        <f ca="1">tertiair!L16</f>
        <v>0</v>
      </c>
      <c r="N10" s="712">
        <f>tertiair!M16</f>
        <v>0</v>
      </c>
      <c r="O10" s="712">
        <f ca="1">tertiair!N16</f>
        <v>5512.5397533454397</v>
      </c>
      <c r="P10" s="712">
        <f>tertiair!O16</f>
        <v>24.486303829205774</v>
      </c>
      <c r="Q10" s="713">
        <f>tertiair!P16</f>
        <v>105.07827661299004</v>
      </c>
      <c r="R10" s="715">
        <f ca="1">SUM(C10:Q10)</f>
        <v>127113.30392181405</v>
      </c>
      <c r="S10" s="67"/>
    </row>
    <row r="11" spans="1:19" s="474" customFormat="1">
      <c r="A11" s="834" t="s">
        <v>224</v>
      </c>
      <c r="B11" s="839"/>
      <c r="C11" s="712">
        <f>huishoudens!B8</f>
        <v>49578.898306299576</v>
      </c>
      <c r="D11" s="712">
        <f>huishoudens!C8</f>
        <v>0</v>
      </c>
      <c r="E11" s="712">
        <f>huishoudens!D8</f>
        <v>112428.03579040001</v>
      </c>
      <c r="F11" s="712">
        <f>huishoudens!E8</f>
        <v>0</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0</v>
      </c>
      <c r="P11" s="712">
        <f>huishoudens!O8</f>
        <v>503.92538772430612</v>
      </c>
      <c r="Q11" s="713">
        <f>huishoudens!P8</f>
        <v>505.63004676888113</v>
      </c>
      <c r="R11" s="715">
        <f>SUM(C11:Q11)</f>
        <v>163016.48953119275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3504.1104269999996</v>
      </c>
      <c r="D13" s="712">
        <f>industrie!C18</f>
        <v>0</v>
      </c>
      <c r="E13" s="712">
        <f>industrie!D18</f>
        <v>4211.5309998080002</v>
      </c>
      <c r="F13" s="712">
        <f>industrie!E18</f>
        <v>614.55695176740937</v>
      </c>
      <c r="G13" s="712">
        <f>industrie!F18</f>
        <v>1901.5355563849878</v>
      </c>
      <c r="H13" s="712">
        <f>industrie!G18</f>
        <v>0</v>
      </c>
      <c r="I13" s="712">
        <f>industrie!H18</f>
        <v>0</v>
      </c>
      <c r="J13" s="712">
        <f>industrie!I18</f>
        <v>0</v>
      </c>
      <c r="K13" s="712">
        <f>industrie!J18</f>
        <v>5.3990527001832529</v>
      </c>
      <c r="L13" s="712">
        <f>industrie!K18</f>
        <v>0</v>
      </c>
      <c r="M13" s="712">
        <f>industrie!L18</f>
        <v>0</v>
      </c>
      <c r="N13" s="712">
        <f>industrie!M18</f>
        <v>0</v>
      </c>
      <c r="O13" s="712">
        <f>industrie!N18</f>
        <v>223.90886895717969</v>
      </c>
      <c r="P13" s="712">
        <f>industrie!O18</f>
        <v>0</v>
      </c>
      <c r="Q13" s="713">
        <f>industrie!P18</f>
        <v>0</v>
      </c>
      <c r="R13" s="715">
        <f>SUM(C13:Q13)</f>
        <v>10461.04185661776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105895.18061629959</v>
      </c>
      <c r="D16" s="748">
        <f t="shared" ref="D16:R16" ca="1" si="0">SUM(D9:D15)</f>
        <v>294.64285714285717</v>
      </c>
      <c r="E16" s="748">
        <f t="shared" ca="1" si="0"/>
        <v>178444.5528059323</v>
      </c>
      <c r="F16" s="748">
        <f t="shared" si="0"/>
        <v>1204.4600005624388</v>
      </c>
      <c r="G16" s="748">
        <f t="shared" ca="1" si="0"/>
        <v>7870.8905951525558</v>
      </c>
      <c r="H16" s="748">
        <f t="shared" si="0"/>
        <v>0</v>
      </c>
      <c r="I16" s="748">
        <f t="shared" si="0"/>
        <v>0</v>
      </c>
      <c r="J16" s="748">
        <f t="shared" si="0"/>
        <v>0</v>
      </c>
      <c r="K16" s="748">
        <f t="shared" si="0"/>
        <v>5.5397972968419564</v>
      </c>
      <c r="L16" s="748">
        <f t="shared" si="0"/>
        <v>0</v>
      </c>
      <c r="M16" s="748">
        <f t="shared" ca="1" si="0"/>
        <v>0</v>
      </c>
      <c r="N16" s="748">
        <f t="shared" si="0"/>
        <v>0</v>
      </c>
      <c r="O16" s="748">
        <f t="shared" ca="1" si="0"/>
        <v>5736.4486223026197</v>
      </c>
      <c r="P16" s="748">
        <f t="shared" si="0"/>
        <v>528.4116915535119</v>
      </c>
      <c r="Q16" s="748">
        <f t="shared" si="0"/>
        <v>610.7083233818712</v>
      </c>
      <c r="R16" s="748">
        <f t="shared" ca="1" si="0"/>
        <v>300590.83530962456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1352.0913000000003</v>
      </c>
      <c r="D19" s="712">
        <f>transport!C54</f>
        <v>0</v>
      </c>
      <c r="E19" s="712">
        <f>transport!D54</f>
        <v>0</v>
      </c>
      <c r="F19" s="712">
        <f>transport!E54</f>
        <v>0</v>
      </c>
      <c r="G19" s="712">
        <f>transport!F54</f>
        <v>0</v>
      </c>
      <c r="H19" s="712">
        <f>transport!G54</f>
        <v>1181.1174687182029</v>
      </c>
      <c r="I19" s="712">
        <f>transport!H54</f>
        <v>0</v>
      </c>
      <c r="J19" s="712">
        <f>transport!I54</f>
        <v>0</v>
      </c>
      <c r="K19" s="712">
        <f>transport!J54</f>
        <v>0</v>
      </c>
      <c r="L19" s="712">
        <f>transport!K54</f>
        <v>0</v>
      </c>
      <c r="M19" s="712">
        <f>transport!L54</f>
        <v>0</v>
      </c>
      <c r="N19" s="712">
        <f>transport!M54</f>
        <v>65.646639594826539</v>
      </c>
      <c r="O19" s="712">
        <f>transport!N54</f>
        <v>0</v>
      </c>
      <c r="P19" s="712">
        <f>transport!O54</f>
        <v>0</v>
      </c>
      <c r="Q19" s="713">
        <f>transport!P54</f>
        <v>0</v>
      </c>
      <c r="R19" s="715">
        <f>SUM(C19:Q19)</f>
        <v>2598.8554083130293</v>
      </c>
      <c r="S19" s="67"/>
    </row>
    <row r="20" spans="1:19" s="474" customFormat="1">
      <c r="A20" s="834" t="s">
        <v>306</v>
      </c>
      <c r="B20" s="839"/>
      <c r="C20" s="712">
        <f>transport!B14</f>
        <v>54.4276018611111</v>
      </c>
      <c r="D20" s="712">
        <f>transport!C14</f>
        <v>0</v>
      </c>
      <c r="E20" s="712">
        <f>transport!D14</f>
        <v>198.88923944667553</v>
      </c>
      <c r="F20" s="712">
        <f>transport!E14</f>
        <v>161.16144836479168</v>
      </c>
      <c r="G20" s="712">
        <f>transport!F14</f>
        <v>0</v>
      </c>
      <c r="H20" s="712">
        <f>transport!G14</f>
        <v>80965.450879741169</v>
      </c>
      <c r="I20" s="712">
        <f>transport!H14</f>
        <v>14989.286278705431</v>
      </c>
      <c r="J20" s="712">
        <f>transport!I14</f>
        <v>0</v>
      </c>
      <c r="K20" s="712">
        <f>transport!J14</f>
        <v>0</v>
      </c>
      <c r="L20" s="712">
        <f>transport!K14</f>
        <v>0</v>
      </c>
      <c r="M20" s="712">
        <f>transport!L14</f>
        <v>0</v>
      </c>
      <c r="N20" s="712">
        <f>transport!M14</f>
        <v>5653.4528088371744</v>
      </c>
      <c r="O20" s="712">
        <f>transport!N14</f>
        <v>0</v>
      </c>
      <c r="P20" s="712">
        <f>transport!O14</f>
        <v>0</v>
      </c>
      <c r="Q20" s="713">
        <f>transport!P14</f>
        <v>0</v>
      </c>
      <c r="R20" s="715">
        <f>SUM(C20:Q20)</f>
        <v>102022.66825695636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1406.5189018611113</v>
      </c>
      <c r="D22" s="837">
        <f t="shared" ref="D22:R22" si="1">SUM(D18:D21)</f>
        <v>0</v>
      </c>
      <c r="E22" s="837">
        <f t="shared" si="1"/>
        <v>198.88923944667553</v>
      </c>
      <c r="F22" s="837">
        <f t="shared" si="1"/>
        <v>161.16144836479168</v>
      </c>
      <c r="G22" s="837">
        <f t="shared" si="1"/>
        <v>0</v>
      </c>
      <c r="H22" s="837">
        <f t="shared" si="1"/>
        <v>82146.568348459376</v>
      </c>
      <c r="I22" s="837">
        <f t="shared" si="1"/>
        <v>14989.286278705431</v>
      </c>
      <c r="J22" s="837">
        <f t="shared" si="1"/>
        <v>0</v>
      </c>
      <c r="K22" s="837">
        <f t="shared" si="1"/>
        <v>0</v>
      </c>
      <c r="L22" s="837">
        <f t="shared" si="1"/>
        <v>0</v>
      </c>
      <c r="M22" s="837">
        <f t="shared" si="1"/>
        <v>0</v>
      </c>
      <c r="N22" s="837">
        <f t="shared" si="1"/>
        <v>5719.0994484320008</v>
      </c>
      <c r="O22" s="837">
        <f t="shared" si="1"/>
        <v>0</v>
      </c>
      <c r="P22" s="837">
        <f t="shared" si="1"/>
        <v>0</v>
      </c>
      <c r="Q22" s="837">
        <f t="shared" si="1"/>
        <v>0</v>
      </c>
      <c r="R22" s="837">
        <f t="shared" si="1"/>
        <v>104621.52366526939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1254.5282480000001</v>
      </c>
      <c r="D24" s="712">
        <f>+landbouw!C8</f>
        <v>35.357142857142861</v>
      </c>
      <c r="E24" s="712">
        <f>+landbouw!D8</f>
        <v>135.70694943771429</v>
      </c>
      <c r="F24" s="712">
        <f>+landbouw!E8</f>
        <v>39.15341292770016</v>
      </c>
      <c r="G24" s="712">
        <f>+landbouw!F8</f>
        <v>4433.6418013223811</v>
      </c>
      <c r="H24" s="712">
        <f>+landbouw!G8</f>
        <v>0</v>
      </c>
      <c r="I24" s="712">
        <f>+landbouw!H8</f>
        <v>0</v>
      </c>
      <c r="J24" s="712">
        <f>+landbouw!I8</f>
        <v>0</v>
      </c>
      <c r="K24" s="712">
        <f>+landbouw!J8</f>
        <v>345.63123240115294</v>
      </c>
      <c r="L24" s="712">
        <f>+landbouw!K8</f>
        <v>0</v>
      </c>
      <c r="M24" s="712">
        <f>+landbouw!L8</f>
        <v>0</v>
      </c>
      <c r="N24" s="712">
        <f>+landbouw!M8</f>
        <v>0</v>
      </c>
      <c r="O24" s="712">
        <f>+landbouw!N8</f>
        <v>0</v>
      </c>
      <c r="P24" s="712">
        <f>+landbouw!O8</f>
        <v>0</v>
      </c>
      <c r="Q24" s="713">
        <f>+landbouw!P8</f>
        <v>0</v>
      </c>
      <c r="R24" s="715">
        <f>SUM(C24:Q24)</f>
        <v>6244.0187869460915</v>
      </c>
      <c r="S24" s="67"/>
    </row>
    <row r="25" spans="1:19" s="474" customFormat="1" ht="15" thickBot="1">
      <c r="A25" s="856" t="s">
        <v>734</v>
      </c>
      <c r="B25" s="982"/>
      <c r="C25" s="983">
        <f>IF(Onbekend_ele_kWh="---",0,Onbekend_ele_kWh)/1000+IF(REST_rest_ele_kWh="---",0,REST_rest_ele_kWh)/1000</f>
        <v>10908.298150000001</v>
      </c>
      <c r="D25" s="983"/>
      <c r="E25" s="983">
        <f>IF(onbekend_gas_kWh="---",0,onbekend_gas_kWh)/1000+IF(REST_rest_gas_kWh="---",0,REST_rest_gas_kWh)/1000</f>
        <v>20368.604829999997</v>
      </c>
      <c r="F25" s="983"/>
      <c r="G25" s="983"/>
      <c r="H25" s="983"/>
      <c r="I25" s="983"/>
      <c r="J25" s="983"/>
      <c r="K25" s="983"/>
      <c r="L25" s="983"/>
      <c r="M25" s="983"/>
      <c r="N25" s="983"/>
      <c r="O25" s="983"/>
      <c r="P25" s="983"/>
      <c r="Q25" s="984"/>
      <c r="R25" s="715">
        <f>SUM(C25:Q25)</f>
        <v>31276.902979999999</v>
      </c>
      <c r="S25" s="67"/>
    </row>
    <row r="26" spans="1:19" s="474" customFormat="1" ht="15.75" thickBot="1">
      <c r="A26" s="720" t="s">
        <v>735</v>
      </c>
      <c r="B26" s="842"/>
      <c r="C26" s="837">
        <f>SUM(C24:C25)</f>
        <v>12162.826398000001</v>
      </c>
      <c r="D26" s="837">
        <f t="shared" ref="D26:R26" si="2">SUM(D24:D25)</f>
        <v>35.357142857142861</v>
      </c>
      <c r="E26" s="837">
        <f t="shared" si="2"/>
        <v>20504.31177943771</v>
      </c>
      <c r="F26" s="837">
        <f t="shared" si="2"/>
        <v>39.15341292770016</v>
      </c>
      <c r="G26" s="837">
        <f t="shared" si="2"/>
        <v>4433.6418013223811</v>
      </c>
      <c r="H26" s="837">
        <f t="shared" si="2"/>
        <v>0</v>
      </c>
      <c r="I26" s="837">
        <f t="shared" si="2"/>
        <v>0</v>
      </c>
      <c r="J26" s="837">
        <f t="shared" si="2"/>
        <v>0</v>
      </c>
      <c r="K26" s="837">
        <f t="shared" si="2"/>
        <v>345.63123240115294</v>
      </c>
      <c r="L26" s="837">
        <f t="shared" si="2"/>
        <v>0</v>
      </c>
      <c r="M26" s="837">
        <f t="shared" si="2"/>
        <v>0</v>
      </c>
      <c r="N26" s="837">
        <f t="shared" si="2"/>
        <v>0</v>
      </c>
      <c r="O26" s="837">
        <f t="shared" si="2"/>
        <v>0</v>
      </c>
      <c r="P26" s="837">
        <f t="shared" si="2"/>
        <v>0</v>
      </c>
      <c r="Q26" s="837">
        <f t="shared" si="2"/>
        <v>0</v>
      </c>
      <c r="R26" s="837">
        <f t="shared" si="2"/>
        <v>37520.921766946092</v>
      </c>
      <c r="S26" s="67"/>
    </row>
    <row r="27" spans="1:19" s="474" customFormat="1" ht="17.25" thickTop="1" thickBot="1">
      <c r="A27" s="721" t="s">
        <v>115</v>
      </c>
      <c r="B27" s="829"/>
      <c r="C27" s="722">
        <f ca="1">C22+C16+C26</f>
        <v>119464.52591616071</v>
      </c>
      <c r="D27" s="722">
        <f t="shared" ref="D27:R27" ca="1" si="3">D22+D16+D26</f>
        <v>330</v>
      </c>
      <c r="E27" s="722">
        <f t="shared" ca="1" si="3"/>
        <v>199147.75382481667</v>
      </c>
      <c r="F27" s="722">
        <f t="shared" si="3"/>
        <v>1404.7748618549308</v>
      </c>
      <c r="G27" s="722">
        <f t="shared" ca="1" si="3"/>
        <v>12304.532396474937</v>
      </c>
      <c r="H27" s="722">
        <f t="shared" si="3"/>
        <v>82146.568348459376</v>
      </c>
      <c r="I27" s="722">
        <f t="shared" si="3"/>
        <v>14989.286278705431</v>
      </c>
      <c r="J27" s="722">
        <f t="shared" si="3"/>
        <v>0</v>
      </c>
      <c r="K27" s="722">
        <f t="shared" si="3"/>
        <v>351.17102969799492</v>
      </c>
      <c r="L27" s="722">
        <f t="shared" si="3"/>
        <v>0</v>
      </c>
      <c r="M27" s="722">
        <f t="shared" ca="1" si="3"/>
        <v>0</v>
      </c>
      <c r="N27" s="722">
        <f t="shared" si="3"/>
        <v>5719.0994484320008</v>
      </c>
      <c r="O27" s="722">
        <f t="shared" ca="1" si="3"/>
        <v>5736.4486223026197</v>
      </c>
      <c r="P27" s="722">
        <f t="shared" si="3"/>
        <v>528.4116915535119</v>
      </c>
      <c r="Q27" s="722">
        <f t="shared" si="3"/>
        <v>610.7083233818712</v>
      </c>
      <c r="R27" s="722">
        <f t="shared" ca="1" si="3"/>
        <v>442733.28074184002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11302.017514578776</v>
      </c>
      <c r="D40" s="712">
        <f ca="1">tertiair!C20</f>
        <v>70.021008403361364</v>
      </c>
      <c r="E40" s="712">
        <f ca="1">tertiair!D20</f>
        <v>12484.607175176307</v>
      </c>
      <c r="F40" s="712">
        <f>tertiair!E20</f>
        <v>133.90799207647169</v>
      </c>
      <c r="G40" s="712">
        <f ca="1">tertiair!F20</f>
        <v>1593.8177953509407</v>
      </c>
      <c r="H40" s="712">
        <f>tertiair!G20</f>
        <v>0</v>
      </c>
      <c r="I40" s="712">
        <f>tertiair!H20</f>
        <v>0</v>
      </c>
      <c r="J40" s="712">
        <f>tertiair!I20</f>
        <v>0</v>
      </c>
      <c r="K40" s="712">
        <f>tertiair!J20</f>
        <v>4.9823587217181109E-2</v>
      </c>
      <c r="L40" s="712">
        <f>tertiair!K20</f>
        <v>0</v>
      </c>
      <c r="M40" s="712">
        <f ca="1">tertiair!L20</f>
        <v>0</v>
      </c>
      <c r="N40" s="712">
        <f>tertiair!M20</f>
        <v>0</v>
      </c>
      <c r="O40" s="712">
        <f ca="1">tertiair!N20</f>
        <v>0</v>
      </c>
      <c r="P40" s="712">
        <f>tertiair!O20</f>
        <v>0</v>
      </c>
      <c r="Q40" s="795">
        <f>tertiair!P20</f>
        <v>0</v>
      </c>
      <c r="R40" s="875">
        <f t="shared" ca="1" si="4"/>
        <v>25584.421309173071</v>
      </c>
    </row>
    <row r="41" spans="1:18">
      <c r="A41" s="847" t="s">
        <v>224</v>
      </c>
      <c r="B41" s="854"/>
      <c r="C41" s="712">
        <f ca="1">huishoudens!B12</f>
        <v>10610.083945282493</v>
      </c>
      <c r="D41" s="712">
        <f ca="1">huishoudens!C12</f>
        <v>0</v>
      </c>
      <c r="E41" s="712">
        <f>huishoudens!D12</f>
        <v>22710.463229660803</v>
      </c>
      <c r="F41" s="712">
        <f>huishoudens!E12</f>
        <v>0</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33320.547174943298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749.89374621270417</v>
      </c>
      <c r="D43" s="712">
        <f ca="1">industrie!C22</f>
        <v>0</v>
      </c>
      <c r="E43" s="712">
        <f>industrie!D22</f>
        <v>850.72926196121614</v>
      </c>
      <c r="F43" s="712">
        <f>industrie!E22</f>
        <v>139.50442805120193</v>
      </c>
      <c r="G43" s="712">
        <f>industrie!F22</f>
        <v>507.70999355479177</v>
      </c>
      <c r="H43" s="712">
        <f>industrie!G22</f>
        <v>0</v>
      </c>
      <c r="I43" s="712">
        <f>industrie!H22</f>
        <v>0</v>
      </c>
      <c r="J43" s="712">
        <f>industrie!I22</f>
        <v>0</v>
      </c>
      <c r="K43" s="712">
        <f>industrie!J22</f>
        <v>1.9112646558648714</v>
      </c>
      <c r="L43" s="712">
        <f>industrie!K22</f>
        <v>0</v>
      </c>
      <c r="M43" s="712">
        <f>industrie!L22</f>
        <v>0</v>
      </c>
      <c r="N43" s="712">
        <f>industrie!M22</f>
        <v>0</v>
      </c>
      <c r="O43" s="712">
        <f>industrie!N22</f>
        <v>0</v>
      </c>
      <c r="P43" s="712">
        <f>industrie!O22</f>
        <v>0</v>
      </c>
      <c r="Q43" s="795">
        <f>industrie!P22</f>
        <v>0</v>
      </c>
      <c r="R43" s="874">
        <f t="shared" ca="1" si="4"/>
        <v>2249.7486944357788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22661.995206073971</v>
      </c>
      <c r="D46" s="748">
        <f t="shared" ref="D46:Q46" ca="1" si="5">SUM(D39:D45)</f>
        <v>70.021008403361364</v>
      </c>
      <c r="E46" s="748">
        <f t="shared" ca="1" si="5"/>
        <v>36045.799666798324</v>
      </c>
      <c r="F46" s="748">
        <f t="shared" si="5"/>
        <v>273.41242012767361</v>
      </c>
      <c r="G46" s="748">
        <f t="shared" ca="1" si="5"/>
        <v>2101.5277889057325</v>
      </c>
      <c r="H46" s="748">
        <f t="shared" si="5"/>
        <v>0</v>
      </c>
      <c r="I46" s="748">
        <f t="shared" si="5"/>
        <v>0</v>
      </c>
      <c r="J46" s="748">
        <f t="shared" si="5"/>
        <v>0</v>
      </c>
      <c r="K46" s="748">
        <f t="shared" si="5"/>
        <v>1.9610882430820524</v>
      </c>
      <c r="L46" s="748">
        <f t="shared" si="5"/>
        <v>0</v>
      </c>
      <c r="M46" s="748">
        <f t="shared" ca="1" si="5"/>
        <v>0</v>
      </c>
      <c r="N46" s="748">
        <f t="shared" si="5"/>
        <v>0</v>
      </c>
      <c r="O46" s="748">
        <f t="shared" ca="1" si="5"/>
        <v>0</v>
      </c>
      <c r="P46" s="748">
        <f t="shared" si="5"/>
        <v>0</v>
      </c>
      <c r="Q46" s="748">
        <f t="shared" si="5"/>
        <v>0</v>
      </c>
      <c r="R46" s="748">
        <f ca="1">SUM(R39:R45)</f>
        <v>61154.71717855215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289.35298453098824</v>
      </c>
      <c r="D49" s="712">
        <f ca="1">transport!C58</f>
        <v>0</v>
      </c>
      <c r="E49" s="712">
        <f>transport!D58</f>
        <v>0</v>
      </c>
      <c r="F49" s="712">
        <f>transport!E58</f>
        <v>0</v>
      </c>
      <c r="G49" s="712">
        <f>transport!F58</f>
        <v>0</v>
      </c>
      <c r="H49" s="712">
        <f>transport!G58</f>
        <v>315.3583641477602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604.71134867874844</v>
      </c>
    </row>
    <row r="50" spans="1:18">
      <c r="A50" s="850" t="s">
        <v>306</v>
      </c>
      <c r="B50" s="860"/>
      <c r="C50" s="718">
        <f ca="1">transport!B18</f>
        <v>11.647726036974619</v>
      </c>
      <c r="D50" s="718">
        <f>transport!C18</f>
        <v>0</v>
      </c>
      <c r="E50" s="718">
        <f>transport!D18</f>
        <v>40.175626368228457</v>
      </c>
      <c r="F50" s="718">
        <f>transport!E18</f>
        <v>36.583648778807714</v>
      </c>
      <c r="G50" s="718">
        <f>transport!F18</f>
        <v>0</v>
      </c>
      <c r="H50" s="718">
        <f>transport!G18</f>
        <v>21617.775384890894</v>
      </c>
      <c r="I50" s="718">
        <f>transport!H18</f>
        <v>3732.3322833976522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25438.514669472559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301.00071056796287</v>
      </c>
      <c r="D52" s="748">
        <f t="shared" ref="D52:Q52" ca="1" si="6">SUM(D48:D51)</f>
        <v>0</v>
      </c>
      <c r="E52" s="748">
        <f t="shared" si="6"/>
        <v>40.175626368228457</v>
      </c>
      <c r="F52" s="748">
        <f t="shared" si="6"/>
        <v>36.583648778807714</v>
      </c>
      <c r="G52" s="748">
        <f t="shared" si="6"/>
        <v>0</v>
      </c>
      <c r="H52" s="748">
        <f t="shared" si="6"/>
        <v>21933.133749038654</v>
      </c>
      <c r="I52" s="748">
        <f t="shared" si="6"/>
        <v>3732.3322833976522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26043.226018151308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268.47409841127717</v>
      </c>
      <c r="D54" s="718">
        <f ca="1">+landbouw!C12</f>
        <v>8.4025210084033635</v>
      </c>
      <c r="E54" s="718">
        <f>+landbouw!D12</f>
        <v>27.412803786418287</v>
      </c>
      <c r="F54" s="718">
        <f>+landbouw!E12</f>
        <v>8.8878247345879373</v>
      </c>
      <c r="G54" s="718">
        <f>+landbouw!F12</f>
        <v>1183.7823609530758</v>
      </c>
      <c r="H54" s="718">
        <f>+landbouw!G12</f>
        <v>0</v>
      </c>
      <c r="I54" s="718">
        <f>+landbouw!H12</f>
        <v>0</v>
      </c>
      <c r="J54" s="718">
        <f>+landbouw!I12</f>
        <v>0</v>
      </c>
      <c r="K54" s="718">
        <f>+landbouw!J12</f>
        <v>122.35345627000814</v>
      </c>
      <c r="L54" s="718">
        <f>+landbouw!K12</f>
        <v>0</v>
      </c>
      <c r="M54" s="718">
        <f>+landbouw!L12</f>
        <v>0</v>
      </c>
      <c r="N54" s="718">
        <f>+landbouw!M12</f>
        <v>0</v>
      </c>
      <c r="O54" s="718">
        <f>+landbouw!N12</f>
        <v>0</v>
      </c>
      <c r="P54" s="718">
        <f>+landbouw!O12</f>
        <v>0</v>
      </c>
      <c r="Q54" s="719">
        <f>+landbouw!P12</f>
        <v>0</v>
      </c>
      <c r="R54" s="747">
        <f ca="1">SUM(C54:Q54)</f>
        <v>1619.3130651637707</v>
      </c>
    </row>
    <row r="55" spans="1:18" ht="15" thickBot="1">
      <c r="A55" s="850" t="s">
        <v>734</v>
      </c>
      <c r="B55" s="860"/>
      <c r="C55" s="718">
        <f ca="1">C25*'EF ele_warmte'!B12</f>
        <v>2334.4197435900646</v>
      </c>
      <c r="D55" s="718"/>
      <c r="E55" s="718">
        <f>E25*EF_CO2_aardgas</f>
        <v>4114.4581756599991</v>
      </c>
      <c r="F55" s="718"/>
      <c r="G55" s="718"/>
      <c r="H55" s="718"/>
      <c r="I55" s="718"/>
      <c r="J55" s="718"/>
      <c r="K55" s="718"/>
      <c r="L55" s="718"/>
      <c r="M55" s="718"/>
      <c r="N55" s="718"/>
      <c r="O55" s="718"/>
      <c r="P55" s="718"/>
      <c r="Q55" s="719"/>
      <c r="R55" s="747">
        <f ca="1">SUM(C55:Q55)</f>
        <v>6448.8779192500642</v>
      </c>
    </row>
    <row r="56" spans="1:18" ht="15.75" thickBot="1">
      <c r="A56" s="848" t="s">
        <v>735</v>
      </c>
      <c r="B56" s="861"/>
      <c r="C56" s="748">
        <f ca="1">SUM(C54:C55)</f>
        <v>2602.8938420013419</v>
      </c>
      <c r="D56" s="748">
        <f t="shared" ref="D56:Q56" ca="1" si="7">SUM(D54:D55)</f>
        <v>8.4025210084033635</v>
      </c>
      <c r="E56" s="748">
        <f t="shared" si="7"/>
        <v>4141.8709794464176</v>
      </c>
      <c r="F56" s="748">
        <f t="shared" si="7"/>
        <v>8.8878247345879373</v>
      </c>
      <c r="G56" s="748">
        <f t="shared" si="7"/>
        <v>1183.7823609530758</v>
      </c>
      <c r="H56" s="748">
        <f t="shared" si="7"/>
        <v>0</v>
      </c>
      <c r="I56" s="748">
        <f t="shared" si="7"/>
        <v>0</v>
      </c>
      <c r="J56" s="748">
        <f t="shared" si="7"/>
        <v>0</v>
      </c>
      <c r="K56" s="748">
        <f t="shared" si="7"/>
        <v>122.35345627000814</v>
      </c>
      <c r="L56" s="748">
        <f t="shared" si="7"/>
        <v>0</v>
      </c>
      <c r="M56" s="748">
        <f t="shared" si="7"/>
        <v>0</v>
      </c>
      <c r="N56" s="748">
        <f t="shared" si="7"/>
        <v>0</v>
      </c>
      <c r="O56" s="748">
        <f t="shared" si="7"/>
        <v>0</v>
      </c>
      <c r="P56" s="748">
        <f t="shared" si="7"/>
        <v>0</v>
      </c>
      <c r="Q56" s="749">
        <f t="shared" si="7"/>
        <v>0</v>
      </c>
      <c r="R56" s="750">
        <f ca="1">SUM(R54:R55)</f>
        <v>8068.1909844138354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25565.889758643272</v>
      </c>
      <c r="D61" s="756">
        <f t="shared" ref="D61:Q61" ca="1" si="8">D46+D52+D56</f>
        <v>78.423529411764733</v>
      </c>
      <c r="E61" s="756">
        <f t="shared" ca="1" si="8"/>
        <v>40227.846272612966</v>
      </c>
      <c r="F61" s="756">
        <f t="shared" si="8"/>
        <v>318.88389364106928</v>
      </c>
      <c r="G61" s="756">
        <f t="shared" ca="1" si="8"/>
        <v>3285.3101498588085</v>
      </c>
      <c r="H61" s="756">
        <f t="shared" si="8"/>
        <v>21933.133749038654</v>
      </c>
      <c r="I61" s="756">
        <f t="shared" si="8"/>
        <v>3732.3322833976522</v>
      </c>
      <c r="J61" s="756">
        <f t="shared" si="8"/>
        <v>0</v>
      </c>
      <c r="K61" s="756">
        <f t="shared" si="8"/>
        <v>124.3145445130902</v>
      </c>
      <c r="L61" s="756">
        <f t="shared" si="8"/>
        <v>0</v>
      </c>
      <c r="M61" s="756">
        <f t="shared" ca="1" si="8"/>
        <v>0</v>
      </c>
      <c r="N61" s="756">
        <f t="shared" si="8"/>
        <v>0</v>
      </c>
      <c r="O61" s="756">
        <f t="shared" ca="1" si="8"/>
        <v>0</v>
      </c>
      <c r="P61" s="756">
        <f t="shared" si="8"/>
        <v>0</v>
      </c>
      <c r="Q61" s="756">
        <f t="shared" si="8"/>
        <v>0</v>
      </c>
      <c r="R61" s="756">
        <f ca="1">R46+R52+R56</f>
        <v>95266.13418111729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0.21400402807930799</v>
      </c>
      <c r="D63" s="802">
        <f t="shared" ca="1" si="9"/>
        <v>0.23764705882352949</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4030.1671466808607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231</v>
      </c>
      <c r="D76" s="991">
        <f>'lokale energieproductie'!C8</f>
        <v>271.76470588235293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54.896470588235296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4030.1671466808607</v>
      </c>
      <c r="C78" s="774">
        <f>SUM(C72:C77)</f>
        <v>231</v>
      </c>
      <c r="D78" s="775">
        <f t="shared" ref="D78:H78" si="10">SUM(D76:D77)</f>
        <v>271.76470588235293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54.896470588235296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330</v>
      </c>
      <c r="D87" s="798">
        <f>'lokale energieproductie'!C17</f>
        <v>388.23529411764707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78.423529411764719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330</v>
      </c>
      <c r="D90" s="774">
        <f t="shared" ref="D90:H90" si="12">SUM(D87:D89)</f>
        <v>388.23529411764707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78.423529411764719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4030.1671466808607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231</v>
      </c>
      <c r="C8" s="574">
        <f>B101</f>
        <v>271.76470588235293</v>
      </c>
      <c r="D8" s="575"/>
      <c r="E8" s="575">
        <f>E101</f>
        <v>0</v>
      </c>
      <c r="F8" s="576"/>
      <c r="G8" s="577"/>
      <c r="H8" s="575">
        <f>I101</f>
        <v>0</v>
      </c>
      <c r="I8" s="575">
        <f>G101+F101</f>
        <v>0</v>
      </c>
      <c r="J8" s="575">
        <f>H101+D101+C101</f>
        <v>0</v>
      </c>
      <c r="K8" s="575"/>
      <c r="L8" s="575"/>
      <c r="M8" s="575"/>
      <c r="N8" s="578"/>
      <c r="O8" s="579">
        <f>C8*$C$12+D8*$D$12+E8*$E$12+F8*$F$12+G8*$G$12+H8*$H$12+I8*$I$12+J8*$J$12</f>
        <v>54.896470588235296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4261.1671466808602</v>
      </c>
      <c r="C10" s="589">
        <f t="shared" ref="C10:L10" si="0">SUM(C8:C9)</f>
        <v>271.76470588235293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54.896470588235296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330</v>
      </c>
      <c r="C17" s="605">
        <f>B102</f>
        <v>388.23529411764707</v>
      </c>
      <c r="D17" s="606"/>
      <c r="E17" s="606">
        <f>E102</f>
        <v>0</v>
      </c>
      <c r="F17" s="607"/>
      <c r="G17" s="608"/>
      <c r="H17" s="605">
        <f>I102</f>
        <v>0</v>
      </c>
      <c r="I17" s="606">
        <f>G102+F102</f>
        <v>0</v>
      </c>
      <c r="J17" s="606">
        <f>H102+D102+C102</f>
        <v>0</v>
      </c>
      <c r="K17" s="606"/>
      <c r="L17" s="606"/>
      <c r="M17" s="606"/>
      <c r="N17" s="1005"/>
      <c r="O17" s="609">
        <f>C17*$C$22+E17*$E$22+H17*$H$22+I17*$I$22+J17*$J$22+D17*$D$22+F17*$F$22+G17*$G$22+K17*$K$22+L17*$L$22</f>
        <v>78.423529411764719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330</v>
      </c>
      <c r="C20" s="588">
        <f>SUM(C17:C19)</f>
        <v>388.23529411764707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78.423529411764719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38014</v>
      </c>
      <c r="C28" s="817">
        <v>8670</v>
      </c>
      <c r="D28" s="666" t="s">
        <v>882</v>
      </c>
      <c r="E28" s="665" t="s">
        <v>883</v>
      </c>
      <c r="F28" s="665" t="s">
        <v>884</v>
      </c>
      <c r="G28" s="665" t="s">
        <v>885</v>
      </c>
      <c r="H28" s="665" t="s">
        <v>886</v>
      </c>
      <c r="I28" s="665" t="s">
        <v>883</v>
      </c>
      <c r="J28" s="816">
        <v>41074</v>
      </c>
      <c r="K28" s="816">
        <v>41183</v>
      </c>
      <c r="L28" s="665" t="s">
        <v>887</v>
      </c>
      <c r="M28" s="665">
        <v>5.5</v>
      </c>
      <c r="N28" s="665">
        <v>24.75</v>
      </c>
      <c r="O28" s="665">
        <v>35.357142857142861</v>
      </c>
      <c r="P28" s="665">
        <v>70.714285714285722</v>
      </c>
      <c r="Q28" s="665">
        <v>0</v>
      </c>
      <c r="R28" s="665">
        <v>0</v>
      </c>
      <c r="S28" s="665">
        <v>0</v>
      </c>
      <c r="T28" s="665">
        <v>0</v>
      </c>
      <c r="U28" s="665">
        <v>0</v>
      </c>
      <c r="V28" s="665">
        <v>0</v>
      </c>
      <c r="W28" s="665">
        <v>0</v>
      </c>
      <c r="X28" s="665">
        <v>10</v>
      </c>
      <c r="Y28" s="665" t="s">
        <v>111</v>
      </c>
      <c r="Z28" s="667" t="s">
        <v>111</v>
      </c>
    </row>
    <row r="29" spans="1:26" s="619" customFormat="1" ht="25.5">
      <c r="A29" s="618"/>
      <c r="B29" s="817">
        <v>38014</v>
      </c>
      <c r="C29" s="817">
        <v>8670</v>
      </c>
      <c r="D29" s="666" t="s">
        <v>888</v>
      </c>
      <c r="E29" s="665" t="s">
        <v>889</v>
      </c>
      <c r="F29" s="665" t="s">
        <v>890</v>
      </c>
      <c r="G29" s="665" t="s">
        <v>885</v>
      </c>
      <c r="H29" s="665" t="s">
        <v>886</v>
      </c>
      <c r="I29" s="665" t="s">
        <v>891</v>
      </c>
      <c r="J29" s="816">
        <v>41093</v>
      </c>
      <c r="K29" s="816">
        <v>42019</v>
      </c>
      <c r="L29" s="665" t="s">
        <v>887</v>
      </c>
      <c r="M29" s="665">
        <v>50</v>
      </c>
      <c r="N29" s="665">
        <v>206.25</v>
      </c>
      <c r="O29" s="665">
        <v>294.64285714285717</v>
      </c>
      <c r="P29" s="665">
        <v>589.28571428571433</v>
      </c>
      <c r="Q29" s="665">
        <v>0</v>
      </c>
      <c r="R29" s="665">
        <v>0</v>
      </c>
      <c r="S29" s="665">
        <v>0</v>
      </c>
      <c r="T29" s="665">
        <v>0</v>
      </c>
      <c r="U29" s="665">
        <v>0</v>
      </c>
      <c r="V29" s="665">
        <v>0</v>
      </c>
      <c r="W29" s="665">
        <v>0</v>
      </c>
      <c r="X29" s="665">
        <v>1200</v>
      </c>
      <c r="Y29" s="665" t="s">
        <v>892</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55.5</v>
      </c>
      <c r="N58" s="623">
        <f>SUM(N28:N57)</f>
        <v>231</v>
      </c>
      <c r="O58" s="623">
        <f t="shared" ref="O58:W58" si="2">SUM(O28:O57)</f>
        <v>330</v>
      </c>
      <c r="P58" s="623">
        <f t="shared" si="2"/>
        <v>660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206.25</v>
      </c>
      <c r="O60" s="623">
        <f ca="1">SUMIF($Z$28:AE57,"tertiair",O28:O57)</f>
        <v>294.64285714285717</v>
      </c>
      <c r="P60" s="623">
        <f ca="1">SUMIF($Z$28:AF57,"tertiair",P28:P57)</f>
        <v>589.28571428571433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5.5</v>
      </c>
      <c r="N61" s="628">
        <f t="shared" si="4"/>
        <v>24.75</v>
      </c>
      <c r="O61" s="628">
        <f t="shared" si="4"/>
        <v>35.357142857142861</v>
      </c>
      <c r="P61" s="628">
        <f t="shared" si="4"/>
        <v>70.714285714285722</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271.76470588235293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388.23529411764707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49578.898306299576</v>
      </c>
      <c r="C4" s="478">
        <f>huishoudens!C8</f>
        <v>0</v>
      </c>
      <c r="D4" s="478">
        <f>huishoudens!D8</f>
        <v>112428.03579040001</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503.92538772430612</v>
      </c>
      <c r="P4" s="479">
        <f>huishoudens!P8</f>
        <v>505.63004676888113</v>
      </c>
      <c r="Q4" s="480">
        <f>SUM(B4:P4)</f>
        <v>163016.48953119275</v>
      </c>
    </row>
    <row r="5" spans="1:17">
      <c r="A5" s="477" t="s">
        <v>155</v>
      </c>
      <c r="B5" s="478">
        <f ca="1">tertiair!B16</f>
        <v>49960.826883000002</v>
      </c>
      <c r="C5" s="478">
        <f ca="1">tertiair!C16</f>
        <v>294.64285714285717</v>
      </c>
      <c r="D5" s="478">
        <f ca="1">tertiair!D16</f>
        <v>61804.986015724287</v>
      </c>
      <c r="E5" s="478">
        <f>tertiair!E16</f>
        <v>589.90304879502946</v>
      </c>
      <c r="F5" s="478">
        <f ca="1">tertiair!F16</f>
        <v>5969.3550387675677</v>
      </c>
      <c r="G5" s="478">
        <f>tertiair!G16</f>
        <v>0</v>
      </c>
      <c r="H5" s="478">
        <f>tertiair!H16</f>
        <v>0</v>
      </c>
      <c r="I5" s="478">
        <f>tertiair!I16</f>
        <v>0</v>
      </c>
      <c r="J5" s="478">
        <f>tertiair!J16</f>
        <v>0.1407445966587037</v>
      </c>
      <c r="K5" s="478">
        <f>tertiair!K16</f>
        <v>0</v>
      </c>
      <c r="L5" s="478">
        <f ca="1">tertiair!L16</f>
        <v>0</v>
      </c>
      <c r="M5" s="478">
        <f>tertiair!M16</f>
        <v>0</v>
      </c>
      <c r="N5" s="478">
        <f ca="1">tertiair!N16</f>
        <v>5512.5397533454397</v>
      </c>
      <c r="O5" s="478">
        <f>tertiair!O16</f>
        <v>24.486303829205774</v>
      </c>
      <c r="P5" s="479">
        <f>tertiair!P16</f>
        <v>105.07827661299004</v>
      </c>
      <c r="Q5" s="477">
        <f t="shared" ref="Q5:Q14" ca="1" si="0">SUM(B5:P5)</f>
        <v>124261.95892181405</v>
      </c>
    </row>
    <row r="6" spans="1:17">
      <c r="A6" s="477" t="s">
        <v>193</v>
      </c>
      <c r="B6" s="478">
        <f>'openbare verlichting'!B8</f>
        <v>2851.3449999999998</v>
      </c>
      <c r="C6" s="478"/>
      <c r="D6" s="478"/>
      <c r="E6" s="478"/>
      <c r="F6" s="478"/>
      <c r="G6" s="478"/>
      <c r="H6" s="478"/>
      <c r="I6" s="478"/>
      <c r="J6" s="478"/>
      <c r="K6" s="478"/>
      <c r="L6" s="478"/>
      <c r="M6" s="478"/>
      <c r="N6" s="478"/>
      <c r="O6" s="478"/>
      <c r="P6" s="479"/>
      <c r="Q6" s="477">
        <f t="shared" si="0"/>
        <v>2851.3449999999998</v>
      </c>
    </row>
    <row r="7" spans="1:17">
      <c r="A7" s="477" t="s">
        <v>111</v>
      </c>
      <c r="B7" s="478">
        <f>landbouw!B8</f>
        <v>1254.5282480000001</v>
      </c>
      <c r="C7" s="478">
        <f>landbouw!C8</f>
        <v>35.357142857142861</v>
      </c>
      <c r="D7" s="478">
        <f>landbouw!D8</f>
        <v>135.70694943771429</v>
      </c>
      <c r="E7" s="478">
        <f>landbouw!E8</f>
        <v>39.15341292770016</v>
      </c>
      <c r="F7" s="478">
        <f>landbouw!F8</f>
        <v>4433.6418013223811</v>
      </c>
      <c r="G7" s="478">
        <f>landbouw!G8</f>
        <v>0</v>
      </c>
      <c r="H7" s="478">
        <f>landbouw!H8</f>
        <v>0</v>
      </c>
      <c r="I7" s="478">
        <f>landbouw!I8</f>
        <v>0</v>
      </c>
      <c r="J7" s="478">
        <f>landbouw!J8</f>
        <v>345.63123240115294</v>
      </c>
      <c r="K7" s="478">
        <f>landbouw!K8</f>
        <v>0</v>
      </c>
      <c r="L7" s="478">
        <f>landbouw!L8</f>
        <v>0</v>
      </c>
      <c r="M7" s="478">
        <f>landbouw!M8</f>
        <v>0</v>
      </c>
      <c r="N7" s="478">
        <f>landbouw!N8</f>
        <v>0</v>
      </c>
      <c r="O7" s="478">
        <f>landbouw!O8</f>
        <v>0</v>
      </c>
      <c r="P7" s="479">
        <f>landbouw!P8</f>
        <v>0</v>
      </c>
      <c r="Q7" s="477">
        <f t="shared" si="0"/>
        <v>6244.0187869460915</v>
      </c>
    </row>
    <row r="8" spans="1:17">
      <c r="A8" s="477" t="s">
        <v>629</v>
      </c>
      <c r="B8" s="478">
        <f>industrie!B18</f>
        <v>3504.1104269999996</v>
      </c>
      <c r="C8" s="478">
        <f>industrie!C18</f>
        <v>0</v>
      </c>
      <c r="D8" s="478">
        <f>industrie!D18</f>
        <v>4211.5309998080002</v>
      </c>
      <c r="E8" s="478">
        <f>industrie!E18</f>
        <v>614.55695176740937</v>
      </c>
      <c r="F8" s="478">
        <f>industrie!F18</f>
        <v>1901.5355563849878</v>
      </c>
      <c r="G8" s="478">
        <f>industrie!G18</f>
        <v>0</v>
      </c>
      <c r="H8" s="478">
        <f>industrie!H18</f>
        <v>0</v>
      </c>
      <c r="I8" s="478">
        <f>industrie!I18</f>
        <v>0</v>
      </c>
      <c r="J8" s="478">
        <f>industrie!J18</f>
        <v>5.3990527001832529</v>
      </c>
      <c r="K8" s="478">
        <f>industrie!K18</f>
        <v>0</v>
      </c>
      <c r="L8" s="478">
        <f>industrie!L18</f>
        <v>0</v>
      </c>
      <c r="M8" s="478">
        <f>industrie!M18</f>
        <v>0</v>
      </c>
      <c r="N8" s="478">
        <f>industrie!N18</f>
        <v>223.90886895717969</v>
      </c>
      <c r="O8" s="478">
        <f>industrie!O18</f>
        <v>0</v>
      </c>
      <c r="P8" s="479">
        <f>industrie!P18</f>
        <v>0</v>
      </c>
      <c r="Q8" s="477">
        <f t="shared" si="0"/>
        <v>10461.04185661776</v>
      </c>
    </row>
    <row r="9" spans="1:17" s="483" customFormat="1">
      <c r="A9" s="481" t="s">
        <v>555</v>
      </c>
      <c r="B9" s="482">
        <f>transport!B14</f>
        <v>54.4276018611111</v>
      </c>
      <c r="C9" s="482">
        <f>transport!C14</f>
        <v>0</v>
      </c>
      <c r="D9" s="482">
        <f>transport!D14</f>
        <v>198.88923944667553</v>
      </c>
      <c r="E9" s="482">
        <f>transport!E14</f>
        <v>161.16144836479168</v>
      </c>
      <c r="F9" s="482">
        <f>transport!F14</f>
        <v>0</v>
      </c>
      <c r="G9" s="482">
        <f>transport!G14</f>
        <v>80965.450879741169</v>
      </c>
      <c r="H9" s="482">
        <f>transport!H14</f>
        <v>14989.286278705431</v>
      </c>
      <c r="I9" s="482">
        <f>transport!I14</f>
        <v>0</v>
      </c>
      <c r="J9" s="482">
        <f>transport!J14</f>
        <v>0</v>
      </c>
      <c r="K9" s="482">
        <f>transport!K14</f>
        <v>0</v>
      </c>
      <c r="L9" s="482">
        <f>transport!L14</f>
        <v>0</v>
      </c>
      <c r="M9" s="482">
        <f>transport!M14</f>
        <v>5653.4528088371744</v>
      </c>
      <c r="N9" s="482">
        <f>transport!N14</f>
        <v>0</v>
      </c>
      <c r="O9" s="482">
        <f>transport!O14</f>
        <v>0</v>
      </c>
      <c r="P9" s="482">
        <f>transport!P14</f>
        <v>0</v>
      </c>
      <c r="Q9" s="481">
        <f>SUM(B9:P9)</f>
        <v>102022.66825695636</v>
      </c>
    </row>
    <row r="10" spans="1:17">
      <c r="A10" s="477" t="s">
        <v>545</v>
      </c>
      <c r="B10" s="478">
        <f>transport!B54</f>
        <v>1352.0913000000003</v>
      </c>
      <c r="C10" s="478">
        <f>transport!C54</f>
        <v>0</v>
      </c>
      <c r="D10" s="478">
        <f>transport!D54</f>
        <v>0</v>
      </c>
      <c r="E10" s="478">
        <f>transport!E54</f>
        <v>0</v>
      </c>
      <c r="F10" s="478">
        <f>transport!F54</f>
        <v>0</v>
      </c>
      <c r="G10" s="478">
        <f>transport!G54</f>
        <v>1181.1174687182029</v>
      </c>
      <c r="H10" s="478">
        <f>transport!H54</f>
        <v>0</v>
      </c>
      <c r="I10" s="478">
        <f>transport!I54</f>
        <v>0</v>
      </c>
      <c r="J10" s="478">
        <f>transport!J54</f>
        <v>0</v>
      </c>
      <c r="K10" s="478">
        <f>transport!K54</f>
        <v>0</v>
      </c>
      <c r="L10" s="478">
        <f>transport!L54</f>
        <v>0</v>
      </c>
      <c r="M10" s="478">
        <f>transport!M54</f>
        <v>65.646639594826539</v>
      </c>
      <c r="N10" s="478">
        <f>transport!N54</f>
        <v>0</v>
      </c>
      <c r="O10" s="478">
        <f>transport!O54</f>
        <v>0</v>
      </c>
      <c r="P10" s="479">
        <f>transport!P54</f>
        <v>0</v>
      </c>
      <c r="Q10" s="477">
        <f t="shared" si="0"/>
        <v>2598.8554083130293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10908.298150000001</v>
      </c>
      <c r="C14" s="485"/>
      <c r="D14" s="485">
        <f>'SEAP template'!E25</f>
        <v>20368.604829999997</v>
      </c>
      <c r="E14" s="485"/>
      <c r="F14" s="485"/>
      <c r="G14" s="485"/>
      <c r="H14" s="485"/>
      <c r="I14" s="485"/>
      <c r="J14" s="485"/>
      <c r="K14" s="485"/>
      <c r="L14" s="485"/>
      <c r="M14" s="485"/>
      <c r="N14" s="485"/>
      <c r="O14" s="485"/>
      <c r="P14" s="486"/>
      <c r="Q14" s="477">
        <f t="shared" si="0"/>
        <v>31276.902979999999</v>
      </c>
    </row>
    <row r="15" spans="1:17" s="489" customFormat="1">
      <c r="A15" s="487" t="s">
        <v>549</v>
      </c>
      <c r="B15" s="488">
        <f ca="1">SUM(B4:B14)</f>
        <v>119464.5259161607</v>
      </c>
      <c r="C15" s="488">
        <f t="shared" ref="C15:Q15" ca="1" si="1">SUM(C4:C14)</f>
        <v>330</v>
      </c>
      <c r="D15" s="488">
        <f t="shared" ca="1" si="1"/>
        <v>199147.75382481667</v>
      </c>
      <c r="E15" s="488">
        <f t="shared" si="1"/>
        <v>1404.7748618549308</v>
      </c>
      <c r="F15" s="488">
        <f t="shared" ca="1" si="1"/>
        <v>12304.532396474937</v>
      </c>
      <c r="G15" s="488">
        <f t="shared" si="1"/>
        <v>82146.568348459376</v>
      </c>
      <c r="H15" s="488">
        <f t="shared" si="1"/>
        <v>14989.286278705431</v>
      </c>
      <c r="I15" s="488">
        <f t="shared" si="1"/>
        <v>0</v>
      </c>
      <c r="J15" s="488">
        <f t="shared" si="1"/>
        <v>351.17102969799487</v>
      </c>
      <c r="K15" s="488">
        <f t="shared" si="1"/>
        <v>0</v>
      </c>
      <c r="L15" s="488">
        <f t="shared" ca="1" si="1"/>
        <v>0</v>
      </c>
      <c r="M15" s="488">
        <f t="shared" si="1"/>
        <v>5719.0994484320008</v>
      </c>
      <c r="N15" s="488">
        <f t="shared" ca="1" si="1"/>
        <v>5736.4486223026197</v>
      </c>
      <c r="O15" s="488">
        <f t="shared" si="1"/>
        <v>528.4116915535119</v>
      </c>
      <c r="P15" s="488">
        <f t="shared" si="1"/>
        <v>610.7083233818712</v>
      </c>
      <c r="Q15" s="488">
        <f t="shared" ca="1" si="1"/>
        <v>442733.28074184008</v>
      </c>
    </row>
    <row r="17" spans="1:17">
      <c r="A17" s="490" t="s">
        <v>550</v>
      </c>
      <c r="B17" s="807">
        <f ca="1">huishoudens!B10</f>
        <v>0.21400402807930807</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10610.083945282493</v>
      </c>
      <c r="C22" s="478">
        <f t="shared" ref="C22:C32" ca="1" si="3">C4*$C$17</f>
        <v>0</v>
      </c>
      <c r="D22" s="478">
        <f t="shared" ref="D22:D32" si="4">D4*$D$17</f>
        <v>22710.463229660803</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33320.547174943298</v>
      </c>
    </row>
    <row r="23" spans="1:17">
      <c r="A23" s="477" t="s">
        <v>155</v>
      </c>
      <c r="B23" s="478">
        <f t="shared" ca="1" si="2"/>
        <v>10691.818199134981</v>
      </c>
      <c r="C23" s="478">
        <f t="shared" ca="1" si="3"/>
        <v>70.021008403361364</v>
      </c>
      <c r="D23" s="478">
        <f t="shared" ca="1" si="4"/>
        <v>12484.607175176307</v>
      </c>
      <c r="E23" s="478">
        <f t="shared" si="5"/>
        <v>133.90799207647169</v>
      </c>
      <c r="F23" s="478">
        <f t="shared" ca="1" si="6"/>
        <v>1593.8177953509407</v>
      </c>
      <c r="G23" s="478">
        <f t="shared" si="7"/>
        <v>0</v>
      </c>
      <c r="H23" s="478">
        <f t="shared" si="8"/>
        <v>0</v>
      </c>
      <c r="I23" s="478">
        <f t="shared" si="9"/>
        <v>0</v>
      </c>
      <c r="J23" s="478">
        <f t="shared" si="10"/>
        <v>4.9823587217181109E-2</v>
      </c>
      <c r="K23" s="478">
        <f t="shared" si="11"/>
        <v>0</v>
      </c>
      <c r="L23" s="478">
        <f t="shared" ca="1" si="12"/>
        <v>0</v>
      </c>
      <c r="M23" s="478">
        <f t="shared" si="13"/>
        <v>0</v>
      </c>
      <c r="N23" s="478">
        <f t="shared" ca="1" si="14"/>
        <v>0</v>
      </c>
      <c r="O23" s="478">
        <f t="shared" si="15"/>
        <v>0</v>
      </c>
      <c r="P23" s="479">
        <f t="shared" si="16"/>
        <v>0</v>
      </c>
      <c r="Q23" s="477">
        <f t="shared" ref="Q23:Q31" ca="1" si="17">SUM(B23:P23)</f>
        <v>24974.221993729276</v>
      </c>
    </row>
    <row r="24" spans="1:17">
      <c r="A24" s="477" t="s">
        <v>193</v>
      </c>
      <c r="B24" s="478">
        <f t="shared" ca="1" si="2"/>
        <v>610.1993154437946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610.1993154437946</v>
      </c>
    </row>
    <row r="25" spans="1:17">
      <c r="A25" s="477" t="s">
        <v>111</v>
      </c>
      <c r="B25" s="478">
        <f t="shared" ca="1" si="2"/>
        <v>268.47409841127717</v>
      </c>
      <c r="C25" s="478">
        <f t="shared" ca="1" si="3"/>
        <v>8.4025210084033635</v>
      </c>
      <c r="D25" s="478">
        <f t="shared" si="4"/>
        <v>27.412803786418287</v>
      </c>
      <c r="E25" s="478">
        <f t="shared" si="5"/>
        <v>8.8878247345879373</v>
      </c>
      <c r="F25" s="478">
        <f t="shared" si="6"/>
        <v>1183.7823609530758</v>
      </c>
      <c r="G25" s="478">
        <f t="shared" si="7"/>
        <v>0</v>
      </c>
      <c r="H25" s="478">
        <f t="shared" si="8"/>
        <v>0</v>
      </c>
      <c r="I25" s="478">
        <f t="shared" si="9"/>
        <v>0</v>
      </c>
      <c r="J25" s="478">
        <f t="shared" si="10"/>
        <v>122.35345627000814</v>
      </c>
      <c r="K25" s="478">
        <f t="shared" si="11"/>
        <v>0</v>
      </c>
      <c r="L25" s="478">
        <f t="shared" si="12"/>
        <v>0</v>
      </c>
      <c r="M25" s="478">
        <f t="shared" si="13"/>
        <v>0</v>
      </c>
      <c r="N25" s="478">
        <f t="shared" si="14"/>
        <v>0</v>
      </c>
      <c r="O25" s="478">
        <f t="shared" si="15"/>
        <v>0</v>
      </c>
      <c r="P25" s="479">
        <f t="shared" si="16"/>
        <v>0</v>
      </c>
      <c r="Q25" s="477">
        <f t="shared" ca="1" si="17"/>
        <v>1619.3130651637707</v>
      </c>
    </row>
    <row r="26" spans="1:17">
      <c r="A26" s="477" t="s">
        <v>629</v>
      </c>
      <c r="B26" s="478">
        <f t="shared" ca="1" si="2"/>
        <v>749.89374621270417</v>
      </c>
      <c r="C26" s="478">
        <f t="shared" ca="1" si="3"/>
        <v>0</v>
      </c>
      <c r="D26" s="478">
        <f t="shared" si="4"/>
        <v>850.72926196121614</v>
      </c>
      <c r="E26" s="478">
        <f t="shared" si="5"/>
        <v>139.50442805120193</v>
      </c>
      <c r="F26" s="478">
        <f t="shared" si="6"/>
        <v>507.70999355479177</v>
      </c>
      <c r="G26" s="478">
        <f t="shared" si="7"/>
        <v>0</v>
      </c>
      <c r="H26" s="478">
        <f t="shared" si="8"/>
        <v>0</v>
      </c>
      <c r="I26" s="478">
        <f t="shared" si="9"/>
        <v>0</v>
      </c>
      <c r="J26" s="478">
        <f t="shared" si="10"/>
        <v>1.9112646558648714</v>
      </c>
      <c r="K26" s="478">
        <f t="shared" si="11"/>
        <v>0</v>
      </c>
      <c r="L26" s="478">
        <f t="shared" si="12"/>
        <v>0</v>
      </c>
      <c r="M26" s="478">
        <f t="shared" si="13"/>
        <v>0</v>
      </c>
      <c r="N26" s="478">
        <f t="shared" si="14"/>
        <v>0</v>
      </c>
      <c r="O26" s="478">
        <f t="shared" si="15"/>
        <v>0</v>
      </c>
      <c r="P26" s="479">
        <f t="shared" si="16"/>
        <v>0</v>
      </c>
      <c r="Q26" s="477">
        <f t="shared" ca="1" si="17"/>
        <v>2249.7486944357788</v>
      </c>
    </row>
    <row r="27" spans="1:17" s="483" customFormat="1">
      <c r="A27" s="481" t="s">
        <v>555</v>
      </c>
      <c r="B27" s="801">
        <f t="shared" ca="1" si="2"/>
        <v>11.647726036974619</v>
      </c>
      <c r="C27" s="482">
        <f t="shared" ca="1" si="3"/>
        <v>0</v>
      </c>
      <c r="D27" s="482">
        <f t="shared" si="4"/>
        <v>40.175626368228457</v>
      </c>
      <c r="E27" s="482">
        <f t="shared" si="5"/>
        <v>36.583648778807714</v>
      </c>
      <c r="F27" s="482">
        <f t="shared" si="6"/>
        <v>0</v>
      </c>
      <c r="G27" s="482">
        <f t="shared" si="7"/>
        <v>21617.775384890894</v>
      </c>
      <c r="H27" s="482">
        <f t="shared" si="8"/>
        <v>3732.3322833976522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25438.514669472559</v>
      </c>
    </row>
    <row r="28" spans="1:17" ht="16.5" customHeight="1">
      <c r="A28" s="477" t="s">
        <v>545</v>
      </c>
      <c r="B28" s="478">
        <f t="shared" ca="1" si="2"/>
        <v>289.35298453098824</v>
      </c>
      <c r="C28" s="478">
        <f t="shared" ca="1" si="3"/>
        <v>0</v>
      </c>
      <c r="D28" s="478">
        <f t="shared" si="4"/>
        <v>0</v>
      </c>
      <c r="E28" s="478">
        <f t="shared" si="5"/>
        <v>0</v>
      </c>
      <c r="F28" s="478">
        <f t="shared" si="6"/>
        <v>0</v>
      </c>
      <c r="G28" s="478">
        <f t="shared" si="7"/>
        <v>315.3583641477602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604.71134867874844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2334.4197435900646</v>
      </c>
      <c r="C32" s="478">
        <f t="shared" ca="1" si="3"/>
        <v>0</v>
      </c>
      <c r="D32" s="478">
        <f t="shared" si="4"/>
        <v>4114.4581756599991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6448.8779192500642</v>
      </c>
    </row>
    <row r="33" spans="1:17" s="489" customFormat="1">
      <c r="A33" s="487" t="s">
        <v>549</v>
      </c>
      <c r="B33" s="488">
        <f ca="1">SUM(B22:B32)</f>
        <v>25565.889758643276</v>
      </c>
      <c r="C33" s="488">
        <f t="shared" ref="C33:Q33" ca="1" si="19">SUM(C22:C32)</f>
        <v>78.423529411764733</v>
      </c>
      <c r="D33" s="488">
        <f t="shared" ca="1" si="19"/>
        <v>40227.846272612973</v>
      </c>
      <c r="E33" s="488">
        <f t="shared" si="19"/>
        <v>318.88389364106933</v>
      </c>
      <c r="F33" s="488">
        <f t="shared" ca="1" si="19"/>
        <v>3285.310149858808</v>
      </c>
      <c r="G33" s="488">
        <f t="shared" si="19"/>
        <v>21933.133749038654</v>
      </c>
      <c r="H33" s="488">
        <f t="shared" si="19"/>
        <v>3732.3322833976522</v>
      </c>
      <c r="I33" s="488">
        <f t="shared" si="19"/>
        <v>0</v>
      </c>
      <c r="J33" s="488">
        <f t="shared" si="19"/>
        <v>124.31454451309018</v>
      </c>
      <c r="K33" s="488">
        <f t="shared" si="19"/>
        <v>0</v>
      </c>
      <c r="L33" s="488">
        <f t="shared" ca="1" si="19"/>
        <v>0</v>
      </c>
      <c r="M33" s="488">
        <f t="shared" si="19"/>
        <v>0</v>
      </c>
      <c r="N33" s="488">
        <f t="shared" ca="1" si="19"/>
        <v>0</v>
      </c>
      <c r="O33" s="488">
        <f t="shared" si="19"/>
        <v>0</v>
      </c>
      <c r="P33" s="488">
        <f t="shared" si="19"/>
        <v>0</v>
      </c>
      <c r="Q33" s="488">
        <f t="shared" ca="1" si="19"/>
        <v>95266.13418111729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4030.1671466808607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231</v>
      </c>
      <c r="D8" s="1062">
        <f>'SEAP template'!D76</f>
        <v>271.76470588235293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54.896470588235296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4030.1671466808607</v>
      </c>
      <c r="C10" s="1064">
        <f>SUM(C4:C9)</f>
        <v>231</v>
      </c>
      <c r="D10" s="1064">
        <f t="shared" ref="D10:H10" si="0">SUM(D8:D9)</f>
        <v>271.76470588235293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54.896470588235296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0.21400402807930807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330</v>
      </c>
      <c r="D17" s="1063">
        <f>'SEAP template'!D87</f>
        <v>388.23529411764707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78.423529411764719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330</v>
      </c>
      <c r="D20" s="1064">
        <f t="shared" ref="D20:H20" si="2">SUM(D17:D19)</f>
        <v>388.23529411764707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78.423529411764719</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0.21400402807930807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2019-06-29T17:10:28Z</dcterms:modified>
</cp:coreProperties>
</file>