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E20" i="59"/>
  <c r="B13" i="15"/>
  <c r="F6" i="17"/>
  <c r="D16" i="16"/>
  <c r="F30" i="48"/>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E78" i="14"/>
  <c r="E9" i="59"/>
  <c r="E10" s="1"/>
  <c r="H90" i="14"/>
  <c r="H18" i="59"/>
  <c r="H20" s="1"/>
  <c r="K15" i="48"/>
  <c r="I33"/>
  <c r="J16" i="14"/>
  <c r="J27" s="1"/>
  <c r="I15" i="48"/>
  <c r="J7"/>
  <c r="J25" s="1"/>
  <c r="K33"/>
  <c r="H78" i="14"/>
  <c r="H9" i="59"/>
  <c r="H10" s="1"/>
  <c r="M24" i="48"/>
  <c r="M32"/>
  <c r="O78" i="14"/>
  <c r="O9" i="59"/>
  <c r="O10" s="1"/>
  <c r="G78" i="14"/>
  <c r="G9" i="59"/>
  <c r="G10" s="1"/>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J78"/>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B22" i="6"/>
  <c r="C22" i="59" s="1"/>
  <c r="G33" i="48"/>
  <c r="Q9"/>
  <c r="H15"/>
  <c r="F22" i="16"/>
  <c r="G43" i="14" s="1"/>
  <c r="G46" s="1"/>
  <c r="G61" s="1"/>
  <c r="G63" s="1"/>
  <c r="Q78" s="1"/>
  <c r="B9" i="6" s="1"/>
  <c r="F8" i="48"/>
  <c r="F15" s="1"/>
  <c r="O13" i="14"/>
  <c r="O16" s="1"/>
  <c r="O27" s="1"/>
  <c r="C56" i="22"/>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16" i="22"/>
  <c r="C90" i="14"/>
  <c r="C17" i="59"/>
  <c r="C20" s="1"/>
  <c r="B90" i="14"/>
  <c r="B17" i="59"/>
  <c r="B20" s="1"/>
  <c r="C10" i="13"/>
  <c r="C12" s="1"/>
  <c r="C18" i="15"/>
  <c r="C20" s="1"/>
  <c r="D40" i="14" s="1"/>
  <c r="F26" i="48"/>
  <c r="F33" s="1"/>
  <c r="C29" i="20"/>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<sst xmlns="http://schemas.openxmlformats.org/spreadsheetml/2006/main" count="2385" uniqueCount="891">
  <si>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</si>
  <si>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</si>
  <si>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</si>
  <si>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</si>
  <si>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</si>
  <si>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</si>
  <si>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</si>
  <si>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</si>
  <si>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</si>
  <si>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</si>
  <si>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</si>
  <si>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</si>
  <si>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</si>
  <si>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</si>
  <si>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</si>
  <si>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</si>
  <si>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</si>
  <si>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</si>
  <si>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</si>
  <si>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</si>
  <si>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</si>
  <si>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</si>
  <si>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</si>
  <si>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</si>
  <si>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</si>
  <si>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</si>
  <si>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</si>
  <si>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</si>
  <si>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</si>
  <si>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</si>
  <si>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</si>
  <si>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</si>
  <si>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</si>
  <si>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</si>
  <si>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</si>
  <si>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</si>
  <si>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</si>
  <si>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</si>
  <si>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</si>
  <si>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</si>
  <si>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</si>
  <si>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</si>
  <si>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</si>
  <si>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</si>
  <si>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</si>
  <si>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</si>
  <si>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</si>
  <si>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</si>
  <si>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</si>
  <si>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</si>
  <si>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</si>
  <si>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</si>
  <si>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</si>
  <si>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</si>
  <si>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</si>
  <si>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</si>
  <si>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</si>
  <si>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</si>
  <si>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</si>
  <si>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</si>
  <si>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</si>
  <si>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</si>
  <si>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</si>
  <si>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</si>
  <si>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</si>
  <si>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</si>
  <si>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</si>
  <si>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</si>
  <si>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</si>
  <si>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</si>
  <si>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</si>
  <si>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</si>
  <si>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</si>
  <si>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</si>
  <si>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</si>
  <si>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</si>
  <si>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</si>
  <si>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</si>
  <si>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</si>
  <si>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</si>
  <si>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</si>
  <si>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</si>
  <si>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</si>
  <si>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</si>
  <si>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</si>
  <si>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</si>
  <si>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</si>
  <si>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</si>
  <si>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</si>
  <si>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</si>
  <si>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</si>
  <si>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</si>
  <si>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</si>
  <si>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</si>
  <si>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</si>
  <si>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</si>
  <si>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</si>
  <si>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</si>
  <si>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</si>
  <si>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</si>
  <si>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</si>
  <si>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</si>
  <si>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</si>
  <si>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</si>
  <si>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</si>
  <si>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</si>
  <si>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</si>
  <si>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</si>
  <si>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</si>
  <si>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</si>
  <si>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</si>
  <si>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</si>
  <si>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</si>
  <si>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</si>
  <si>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</si>
  <si>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</si>
  <si>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</si>
  <si>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</si>
  <si>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</si>
  <si>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</si>
  <si>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</si>
  <si>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</si>
  <si>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</si>
  <si>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</si>
  <si>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</si>
  <si>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</si>
  <si>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</si>
  <si>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</si>
  <si>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</si>
  <si>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</si>
  <si>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</si>
  <si>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</si>
  <si>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</si>
  <si>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</si>
  <si>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</si>
  <si>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</si>
  <si>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</si>
  <si>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</si>
  <si>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</si>
  <si>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</si>
  <si>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</si>
  <si>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</si>
  <si>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</si>
  <si>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</si>
  <si>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</si>
  <si>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</si>
  <si>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</si>
  <si>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</si>
  <si>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</si>
  <si>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</si>
  <si>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</si>
  <si>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</si>
  <si>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</si>
  <si>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</si>
  <si>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</si>
  <si>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</si>
  <si>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</si>
  <si>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</si>
  <si>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</si>
  <si>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</si>
  <si>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</si>
  <si>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</si>
  <si>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</si>
  <si>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</si>
  <si>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</si>
  <si>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</si>
  <si>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</si>
  <si>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</si>
  <si>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</si>
  <si>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</si>
  <si>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</si>
  <si>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</si>
  <si>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</si>
  <si>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</si>
  <si>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</si>
  <si>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</si>
  <si>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</si>
  <si>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</si>
  <si>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</si>
  <si>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</si>
  <si>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</si>
  <si>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</si>
  <si>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</si>
  <si>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</si>
  <si>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</si>
  <si>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</si>
  <si>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</si>
  <si>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</si>
  <si>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</si>
  <si>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</si>
  <si>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</si>
  <si>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</si>
  <si>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</si>
  <si>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</si>
  <si>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</si>
  <si>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</si>
  <si>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</si>
  <si>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</si>
  <si>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</si>
  <si>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</si>
  <si>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</si>
  <si>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</si>
  <si>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</si>
  <si>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</si>
  <si>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</si>
  <si>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</si>
  <si>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</si>
  <si>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</si>
  <si>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</si>
  <si>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</si>
  <si>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</si>
  <si>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</si>
  <si>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</si>
  <si>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</si>
  <si>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</si>
  <si>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</si>
  <si>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</si>
  <si>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</si>
  <si>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</si>
  <si>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</si>
  <si>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</si>
  <si>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</si>
  <si>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</si>
  <si>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</si>
  <si>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</si>
  <si>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</si>
  <si>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</si>
  <si>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</si>
  <si>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</si>
  <si>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</si>
  <si>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</si>
  <si>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</si>
  <si>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</si>
  <si>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</si>
  <si>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</si>
  <si>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</si>
  <si>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</si>
  <si>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</si>
  <si>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</si>
  <si>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</si>
  <si>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</si>
  <si>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</si>
  <si>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</si>
  <si>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</si>
  <si>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</si>
  <si>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</si>
  <si>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</si>
  <si>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</si>
  <si>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</si>
  <si>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</si>
  <si>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</si>
  <si>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</si>
  <si>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</si>
  <si>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</si>
  <si>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</si>
  <si>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</si>
  <si>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</si>
  <si>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</si>
  <si>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</si>
  <si>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</si>
  <si>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</si>
  <si>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</si>
  <si>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</si>
  <si>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</si>
  <si>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</si>
  <si>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</si>
  <si>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</si>
  <si>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</si>
  <si>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</si>
  <si>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</si>
  <si>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</si>
  <si>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</si>
  <si>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</si>
  <si>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</si>
  <si>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</si>
  <si>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</si>
  <si>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</si>
  <si>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</si>
  <si>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</si>
  <si>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</si>
  <si>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</si>
  <si>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</si>
  <si>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</si>
  <si>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</si>
  <si>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</si>
  <si>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</si>
  <si>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</si>
  <si>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</si>
  <si>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</si>
  <si>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</si>
  <si>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</si>
  <si>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</si>
  <si>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</si>
  <si>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</si>
  <si>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</si>
  <si>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</si>
  <si>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</si>
  <si>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</si>
  <si>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</si>
  <si>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</si>
  <si>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</si>
  <si>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</si>
  <si>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</si>
  <si>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</si>
  <si>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</si>
  <si>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</si>
  <si>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</si>
  <si>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</si>
  <si>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</si>
  <si>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</si>
  <si>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</si>
  <si>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</si>
  <si>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</si>
  <si>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</si>
  <si>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</si>
  <si>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</si>
  <si>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</si>
  <si>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</si>
  <si>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</si>
  <si>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</si>
  <si>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</si>
  <si>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</si>
  <si>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</si>
  <si>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</si>
  <si>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</si>
  <si>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</si>
  <si>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</si>
  <si>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</si>
  <si>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</si>
  <si>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</si>
  <si>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</si>
  <si>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</si>
  <si>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</si>
  <si>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</si>
  <si>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</si>
  <si>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</si>
  <si>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</si>
  <si>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</si>
  <si>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</si>
  <si>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</si>
  <si>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</si>
  <si>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</si>
  <si>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</si>
  <si>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</si>
  <si>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</si>
  <si>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</si>
  <si>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</si>
  <si>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</si>
  <si>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</si>
  <si>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</si>
  <si>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</si>
  <si>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</si>
  <si>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</si>
  <si>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</si>
  <si>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</si>
  <si>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</si>
  <si>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</si>
  <si>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</si>
  <si>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</si>
  <si>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</si>
  <si>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</si>
  <si>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</si>
  <si>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</si>
  <si>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</si>
  <si>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</si>
  <si>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</si>
  <si>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</si>
  <si>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</si>
  <si>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</si>
  <si>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</si>
  <si>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</si>
  <si>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</si>
  <si>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</si>
  <si>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</si>
  <si>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</si>
  <si>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</si>
  <si>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</si>
  <si>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</si>
  <si>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</si>
  <si>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</si>
  <si>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</si>
  <si>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</si>
  <si>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</si>
  <si>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</si>
  <si>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</si>
  <si>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</si>
  <si>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</si>
  <si>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</si>
  <si>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</si>
  <si>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</si>
  <si>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</si>
  <si>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</si>
  <si>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</si>
  <si>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</si>
  <si>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</si>
  <si>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</si>
  <si>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</si>
  <si>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</si>
  <si>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</si>
  <si>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</si>
  <si>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</si>
  <si>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</si>
  <si>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</si>
  <si>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</si>
  <si>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</si>
  <si>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</si>
  <si>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</si>
  <si>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</si>
  <si>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</si>
  <si>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</si>
  <si>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</si>
  <si>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</si>
  <si>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</si>
  <si>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</si>
  <si>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</si>
  <si>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</si>
  <si>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</si>
  <si>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</si>
  <si>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</si>
  <si>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</si>
  <si>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</si>
  <si>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</si>
  <si>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</si>
  <si>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</si>
  <si>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</si>
  <si>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</si>
  <si>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</si>
  <si>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</si>
  <si>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</si>
  <si>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</si>
  <si>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</si>
  <si>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</si>
  <si>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</si>
  <si>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</si>
  <si>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</si>
  <si>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</si>
  <si>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</si>
  <si>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</si>
  <si>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</si>
  <si>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</si>
  <si>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</si>
  <si>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</si>
  <si>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</si>
  <si>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</si>
  <si>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</si>
  <si>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</si>
  <si>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</si>
  <si>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</si>
  <si>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</si>
  <si>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</si>
  <si>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</si>
  <si>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</si>
  <si>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</si>
  <si>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</si>
  <si>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</si>
  <si>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</si>
  <si>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</si>
  <si>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</si>
  <si>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</si>
  <si>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</si>
  <si>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</si>
  <si>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</si>
  <si>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</si>
  <si>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</si>
  <si>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</si>
  <si>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</si>
  <si>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</si>
  <si>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</si>
  <si>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</si>
  <si>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</si>
  <si>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</si>
  <si>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</si>
  <si>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</si>
  <si>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</si>
  <si>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</si>
  <si>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</si>
  <si>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</si>
  <si>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</si>
  <si>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</si>
  <si>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</si>
  <si>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</si>
  <si>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</si>
  <si>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</si>
  <si>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</si>
  <si>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</si>
  <si>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</si>
  <si>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</si>
  <si>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</si>
  <si>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</si>
  <si>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</si>
  <si>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</si>
  <si>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</si>
  <si>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</si>
  <si>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</si>
  <si>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</si>
  <si>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</si>
  <si>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</si>
  <si>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</si>
  <si>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</si>
  <si>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</si>
  <si>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</si>
  <si>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</si>
  <si>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</si>
  <si>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</si>
  <si>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</si>
  <si>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</si>
  <si>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</si>
  <si>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</si>
  <si>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</si>
  <si>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</si>
  <si>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</si>
  <si>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</si>
  <si>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</si>
  <si>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</si>
  <si>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</si>
  <si>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</si>
  <si>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</si>
  <si>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</si>
  <si>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</si>
  <si>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</si>
  <si>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</si>
  <si>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</si>
  <si>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</si>
  <si>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</si>
  <si>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</si>
  <si>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</si>
  <si>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</si>
  <si>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</si>
  <si>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</si>
  <si>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</si>
  <si>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</si>
  <si>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</si>
  <si>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</si>
  <si>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</si>
  <si>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</si>
  <si>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</si>
  <si>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</si>
  <si>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</si>
  <si>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</si>
  <si>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</si>
  <si>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</si>
  <si>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</si>
  <si>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</si>
  <si>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</si>
  <si>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</si>
  <si>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</si>
  <si>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</si>
  <si>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</si>
  <si>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</si>
  <si>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</si>
  <si>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</si>
  <si>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</si>
  <si>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</si>
  <si>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</si>
  <si>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</si>
  <si>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</si>
  <si>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</si>
  <si>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</si>
  <si>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</si>
  <si>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</si>
  <si>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</si>
  <si>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</si>
  <si>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</si>
  <si>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</si>
  <si>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</si>
  <si>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</si>
  <si>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</si>
  <si>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</si>
  <si>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</si>
  <si>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</si>
  <si>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</si>
  <si>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</si>
  <si>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</si>
  <si>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</si>
  <si>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</si>
  <si>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</si>
  <si>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</si>
  <si>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</si>
  <si>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</si>
  <si>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</si>
  <si>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</si>
  <si>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</si>
  <si>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</si>
  <si>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</si>
  <si>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</si>
  <si>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</si>
  <si>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</si>
  <si>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</si>
  <si>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</si>
  <si>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</si>
  <si>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</si>
  <si>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</si>
  <si>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</si>
  <si>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</si>
  <si>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</si>
  <si>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</si>
  <si>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</si>
  <si>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</si>
  <si>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</si>
  <si>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</si>
  <si>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</si>
  <si>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</si>
  <si>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</si>
  <si>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</si>
  <si>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</si>
  <si>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</si>
  <si>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</si>
  <si>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</si>
  <si>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</si>
  <si>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</si>
  <si>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</si>
  <si>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</si>
  <si>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</si>
  <si>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</si>
  <si>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</si>
  <si>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</si>
  <si>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</si>
  <si>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</si>
  <si>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</si>
  <si>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</si>
  <si>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</si>
  <si>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</si>
  <si>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</si>
  <si>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</si>
  <si>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</si>
  <si>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</si>
  <si>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</si>
  <si>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</si>
  <si>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</si>
  <si>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</si>
  <si>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</si>
  <si>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</si>
  <si>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</si>
  <si>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</si>
  <si>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</si>
  <si>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</si>
  <si>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</si>
  <si>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</si>
  <si>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</si>
  <si>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</si>
  <si>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</si>
  <si>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</si>
  <si>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</si>
  <si>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</si>
  <si>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</si>
  <si>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</si>
  <si>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</si>
  <si>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</si>
  <si>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</si>
  <si>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</si>
  <si>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</si>
  <si>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</si>
  <si>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</si>
  <si>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</si>
  <si>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</si>
  <si>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</si>
  <si>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</si>
  <si>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</si>
  <si>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</si>
  <si>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</si>
  <si>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</si>
  <si>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</si>
  <si>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</si>
  <si>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</si>
  <si>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</si>
  <si>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</si>
  <si>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</si>
  <si>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</si>
  <si>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</si>
  <si>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</si>
  <si>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</si>
  <si>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</si>
  <si>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</si>
  <si>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</si>
  <si>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</si>
  <si>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</si>
  <si>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</si>
  <si>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</si>
  <si>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</si>
  <si>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</si>
  <si>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</si>
  <si>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</si>
  <si>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</si>
  <si>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</si>
  <si>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</si>
  <si>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</si>
  <si>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</si>
  <si>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</si>
  <si>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</si>
  <si>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</si>
  <si>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</si>
  <si>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</si>
  <si>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</si>
  <si>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</si>
  <si>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</si>
  <si>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</si>
  <si>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</si>
  <si>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</si>
  <si>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</si>
  <si>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</si>
  <si>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</si>
  <si>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</si>
  <si>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</si>
  <si>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</si>
  <si>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</si>
  <si>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</si>
  <si>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</si>
  <si>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</si>
  <si>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</si>
  <si>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</si>
  <si>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</si>
  <si>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</si>
  <si>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</si>
  <si>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</si>
  <si>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</si>
  <si>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</si>
  <si>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</si>
  <si>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</si>
  <si>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</si>
  <si>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</si>
  <si>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</si>
  <si>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</si>
  <si>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</si>
  <si>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</si>
  <si>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</si>
  <si>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</si>
  <si>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</si>
  <si>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</si>
  <si>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</si>
  <si>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</si>
  <si>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</si>
  <si>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</si>
  <si>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</si>
  <si>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</si>
  <si>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</si>
  <si>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</si>
  <si>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</si>
  <si>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</si>
  <si>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</si>
  <si>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</si>
  <si>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</si>
  <si>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</si>
  <si>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</si>
  <si>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</si>
  <si>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</si>
  <si>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</si>
  <si>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</si>
  <si>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</si>
  <si>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</si>
  <si>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</si>
  <si>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</si>
  <si>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</si>
  <si>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</si>
  <si>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</si>
  <si>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</si>
  <si>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</si>
  <si>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</si>
  <si>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</si>
  <si>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</si>
  <si>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</si>
  <si>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</si>
  <si>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</si>
  <si>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</si>
  <si>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</si>
  <si>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</si>
  <si>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</si>
  <si>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</si>
  <si>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</si>
  <si>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</si>
  <si>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</si>
  <si>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</si>
  <si>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</si>
  <si>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</si>
  <si>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</si>
  <si>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</si>
  <si>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</si>
  <si>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</si>
  <si>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</si>
  <si>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</si>
  <si>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</si>
  <si>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</si>
  <si>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</si>
  <si>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</si>
  <si>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</si>
  <si>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</si>
  <si>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</si>
  <si>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</si>
  <si>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</si>
  <si>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</si>
  <si>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</si>
  <si>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</si>
  <si>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</si>
  <si>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</si>
  <si>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</si>
  <si>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</si>
  <si>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</si>
  <si>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</si>
  <si>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</si>
  <si>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</si>
  <si>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</si>
  <si>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</si>
  <si>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</si>
  <si>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</si>
  <si>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</si>
  <si>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</si>
  <si>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</si>
  <si>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</si>
  <si>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</si>
  <si>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</si>
  <si>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</si>
  <si>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</si>
  <si>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</si>
  <si>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</si>
  <si>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</si>
  <si>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</si>
  <si>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</si>
  <si>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</si>
  <si>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</si>
  <si>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</si>
  <si>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</si>
  <si>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</si>
  <si>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</si>
  <si>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</si>
  <si>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</si>
  <si>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</si>
  <si>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</si>
  <si>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</si>
  <si>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</si>
  <si>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</si>
  <si>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</si>
  <si>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</si>
  <si>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</si>
  <si>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</si>
  <si>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</si>
  <si>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</si>
  <si>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</si>
  <si>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</si>
  <si>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</si>
  <si>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</si>
  <si>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</si>
  <si>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</si>
  <si>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</si>
  <si>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</si>
  <si>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</si>
  <si>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</si>
  <si>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</si>
  <si>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</si>
  <si>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</si>
  <si>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</si>
  <si>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</si>
  <si>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</si>
  <si>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</si>
  <si>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</si>
  <si>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</si>
  <si>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</si>
  <si>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</si>
  <si>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</si>
  <si>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</si>
  <si>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</si>
  <si>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</si>
  <si>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</si>
  <si>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</si>
  <si>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</si>
  <si>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</si>
  <si>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</si>
  <si>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</si>
  <si>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</si>
  <si>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</si>
  <si>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</si>
  <si>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</si>
  <si>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</si>
  <si>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</si>
  <si>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</si>
  <si>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</si>
  <si>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36006</t>
  </si>
  <si>
    <t>HOOGLEDE</t>
  </si>
  <si>
    <t>Mestbank (maart 2019)</t>
  </si>
  <si>
    <t>Fluvius (februari 2019)</t>
  </si>
  <si>
    <t>referentietaak LNE (2017); Jaarverslag De Lijn (2018)</t>
  </si>
  <si>
    <t>VEA (30 april 2019)</t>
  </si>
  <si>
    <t>VEA (mei 2018)</t>
  </si>
  <si>
    <t>VEA (mei 2019)</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</si>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</sst>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83143.743118185594</c:v>
                </c:pt>
                <c:pt idx="1">
                  <c:v>43125.558600059041</c:v>
                </c:pt>
                <c:pt idx="2">
                  <c:v>698.86199999999997</c:v>
                </c:pt>
                <c:pt idx="3">
                  <c:v>28697.055404725284</c:v>
                </c:pt>
                <c:pt idx="4">
                  <c:v>112552.42422153646</c:v>
                </c:pt>
                <c:pt idx="5">
                  <c:v>61188.729865763351</c:v>
                </c:pt>
                <c:pt idx="6">
                  <c:v>516.5241182058187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7071104"/>
        <c:axId val="77072640"/>
      </c:barChart>
      <c:catAx>
        <c:axId val="77071104"/>
        <c:scaling>
          <c:orientation val="minMax"/>
        </c:scaling>
        <c:axPos val="b"/>
        <c:numFmt formatCode="General" sourceLinked="0"/>
        <c:tickLblPos val="nextTo"/>
        <c:crossAx val="77072640"/>
        <c:crosses val="autoZero"/>
        <c:auto val="1"/>
        <c:lblAlgn val="ctr"/>
        <c:lblOffset val="100"/>
      </c:catAx>
      <c:valAx>
        <c:axId val="77072640"/>
        <c:scaling>
          <c:orientation val="minMax"/>
        </c:scaling>
        <c:axPos val="l"/>
        <c:majorGridlines/>
        <c:numFmt formatCode="#,##0" sourceLinked="1"/>
        <c:tickLblPos val="nextTo"/>
        <c:crossAx val="770711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83143.743118185594</c:v>
                </c:pt>
                <c:pt idx="1">
                  <c:v>43125.558600059041</c:v>
                </c:pt>
                <c:pt idx="2">
                  <c:v>698.86199999999997</c:v>
                </c:pt>
                <c:pt idx="3">
                  <c:v>28697.055404725284</c:v>
                </c:pt>
                <c:pt idx="4">
                  <c:v>112552.42422153646</c:v>
                </c:pt>
                <c:pt idx="5">
                  <c:v>61188.729865763351</c:v>
                </c:pt>
                <c:pt idx="6">
                  <c:v>516.5241182058187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14474.34557988149</c:v>
                </c:pt>
                <c:pt idx="1">
                  <c:v>7178.9063071878099</c:v>
                </c:pt>
                <c:pt idx="2">
                  <c:v>133.83451203872238</c:v>
                </c:pt>
                <c:pt idx="3">
                  <c:v>7147.0416806276571</c:v>
                </c:pt>
                <c:pt idx="4">
                  <c:v>23489.236048863648</c:v>
                </c:pt>
                <c:pt idx="5">
                  <c:v>15236.680131892896</c:v>
                </c:pt>
                <c:pt idx="6">
                  <c:v>130.65037714363999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84282752"/>
        <c:axId val="84292736"/>
      </c:barChart>
      <c:catAx>
        <c:axId val="84282752"/>
        <c:scaling>
          <c:orientation val="minMax"/>
        </c:scaling>
        <c:axPos val="b"/>
        <c:numFmt formatCode="General" sourceLinked="0"/>
        <c:tickLblPos val="nextTo"/>
        <c:crossAx val="84292736"/>
        <c:crosses val="autoZero"/>
        <c:auto val="1"/>
        <c:lblAlgn val="ctr"/>
        <c:lblOffset val="100"/>
      </c:catAx>
      <c:valAx>
        <c:axId val="84292736"/>
        <c:scaling>
          <c:orientation val="minMax"/>
        </c:scaling>
        <c:axPos val="l"/>
        <c:majorGridlines/>
        <c:numFmt formatCode="#,##0" sourceLinked="1"/>
        <c:tickLblPos val="nextTo"/>
        <c:crossAx val="842827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14474.34557988149</c:v>
                </c:pt>
                <c:pt idx="1">
                  <c:v>7178.9063071878099</c:v>
                </c:pt>
                <c:pt idx="2">
                  <c:v>133.83451203872238</c:v>
                </c:pt>
                <c:pt idx="3">
                  <c:v>7147.0416806276571</c:v>
                </c:pt>
                <c:pt idx="4">
                  <c:v>23489.236048863648</c:v>
                </c:pt>
                <c:pt idx="5">
                  <c:v>15236.680131892896</c:v>
                </c:pt>
                <c:pt idx="6">
                  <c:v>130.65037714363999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36006</v>
      </c>
      <c r="B6" s="415"/>
      <c r="C6" s="416"/>
    </row>
    <row r="7" spans="1:7" s="413" customFormat="1" ht="15.75" customHeight="1">
      <c r="A7" s="417" t="str">
        <f>txtMunicipality</f>
        <v>HOOGLEDE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0.19150349001479891</v>
      </c>
      <c r="C17" s="527">
        <f ca="1">'EF ele_warmte'!B22</f>
        <v>3.9534630857888447E-3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0.19150349001479891</v>
      </c>
      <c r="C29" s="528">
        <f ca="1">'EF ele_warmte'!B22</f>
        <v>3.9534630857888447E-3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4012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2667.17</v>
      </c>
    </row>
    <row r="15" spans="1:6">
      <c r="A15" s="348" t="s">
        <v>183</v>
      </c>
      <c r="B15" s="334">
        <v>23</v>
      </c>
    </row>
    <row r="16" spans="1:6">
      <c r="A16" s="348" t="s">
        <v>6</v>
      </c>
      <c r="B16" s="334">
        <v>669</v>
      </c>
    </row>
    <row r="17" spans="1:6">
      <c r="A17" s="348" t="s">
        <v>7</v>
      </c>
      <c r="B17" s="334">
        <v>714</v>
      </c>
    </row>
    <row r="18" spans="1:6">
      <c r="A18" s="348" t="s">
        <v>8</v>
      </c>
      <c r="B18" s="334">
        <v>765</v>
      </c>
    </row>
    <row r="19" spans="1:6">
      <c r="A19" s="348" t="s">
        <v>9</v>
      </c>
      <c r="B19" s="334">
        <v>785</v>
      </c>
    </row>
    <row r="20" spans="1:6">
      <c r="A20" s="348" t="s">
        <v>10</v>
      </c>
      <c r="B20" s="334">
        <v>588</v>
      </c>
    </row>
    <row r="21" spans="1:6">
      <c r="A21" s="348" t="s">
        <v>11</v>
      </c>
      <c r="B21" s="334">
        <v>22553</v>
      </c>
    </row>
    <row r="22" spans="1:6">
      <c r="A22" s="348" t="s">
        <v>12</v>
      </c>
      <c r="B22" s="334">
        <v>57687</v>
      </c>
    </row>
    <row r="23" spans="1:6">
      <c r="A23" s="348" t="s">
        <v>13</v>
      </c>
      <c r="B23" s="334">
        <v>1002</v>
      </c>
    </row>
    <row r="24" spans="1:6">
      <c r="A24" s="348" t="s">
        <v>14</v>
      </c>
      <c r="B24" s="334">
        <v>119</v>
      </c>
    </row>
    <row r="25" spans="1:6">
      <c r="A25" s="348" t="s">
        <v>15</v>
      </c>
      <c r="B25" s="334">
        <v>5470</v>
      </c>
    </row>
    <row r="26" spans="1:6">
      <c r="A26" s="348" t="s">
        <v>16</v>
      </c>
      <c r="B26" s="334">
        <v>404</v>
      </c>
    </row>
    <row r="27" spans="1:6">
      <c r="A27" s="348" t="s">
        <v>17</v>
      </c>
      <c r="B27" s="334">
        <v>1275</v>
      </c>
    </row>
    <row r="28" spans="1:6" s="356" customFormat="1">
      <c r="A28" s="355" t="s">
        <v>18</v>
      </c>
      <c r="B28" s="355">
        <v>86190</v>
      </c>
    </row>
    <row r="29" spans="1:6">
      <c r="A29" s="355" t="s">
        <v>713</v>
      </c>
      <c r="B29" s="355">
        <v>135</v>
      </c>
      <c r="C29" s="356"/>
      <c r="D29" s="356"/>
      <c r="E29" s="356"/>
      <c r="F29" s="356"/>
    </row>
    <row r="30" spans="1:6">
      <c r="A30" s="341" t="s">
        <v>714</v>
      </c>
      <c r="B30" s="341">
        <v>46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10</v>
      </c>
      <c r="F36" s="334">
        <v>22701</v>
      </c>
    </row>
    <row r="37" spans="1:6">
      <c r="A37" s="348" t="s">
        <v>24</v>
      </c>
      <c r="B37" s="348" t="s">
        <v>27</v>
      </c>
      <c r="C37" s="334">
        <v>0</v>
      </c>
      <c r="D37" s="334">
        <v>0</v>
      </c>
      <c r="E37" s="334">
        <v>0</v>
      </c>
      <c r="F37" s="334">
        <v>0</v>
      </c>
    </row>
    <row r="38" spans="1:6">
      <c r="A38" s="348" t="s">
        <v>24</v>
      </c>
      <c r="B38" s="348" t="s">
        <v>28</v>
      </c>
      <c r="C38" s="334">
        <v>1</v>
      </c>
      <c r="D38" s="334">
        <v>13885918</v>
      </c>
      <c r="E38" s="334">
        <v>2</v>
      </c>
      <c r="F38" s="334">
        <v>503</v>
      </c>
    </row>
    <row r="39" spans="1:6">
      <c r="A39" s="348" t="s">
        <v>29</v>
      </c>
      <c r="B39" s="348" t="s">
        <v>30</v>
      </c>
      <c r="C39" s="334">
        <v>2509</v>
      </c>
      <c r="D39" s="334">
        <v>36890750.549999997</v>
      </c>
      <c r="E39" s="334">
        <v>3683</v>
      </c>
      <c r="F39" s="334">
        <v>13160764.800000001</v>
      </c>
    </row>
    <row r="40" spans="1:6">
      <c r="A40" s="348" t="s">
        <v>29</v>
      </c>
      <c r="B40" s="348" t="s">
        <v>28</v>
      </c>
      <c r="C40" s="334">
        <v>0</v>
      </c>
      <c r="D40" s="334">
        <v>0</v>
      </c>
      <c r="E40" s="334">
        <v>0</v>
      </c>
      <c r="F40" s="334">
        <v>0</v>
      </c>
    </row>
    <row r="41" spans="1:6">
      <c r="A41" s="348" t="s">
        <v>31</v>
      </c>
      <c r="B41" s="348" t="s">
        <v>32</v>
      </c>
      <c r="C41" s="334">
        <v>72</v>
      </c>
      <c r="D41" s="334">
        <v>6255885.0789999999</v>
      </c>
      <c r="E41" s="334">
        <v>160</v>
      </c>
      <c r="F41" s="334">
        <v>25073949.293000001</v>
      </c>
    </row>
    <row r="42" spans="1:6">
      <c r="A42" s="348" t="s">
        <v>31</v>
      </c>
      <c r="B42" s="348" t="s">
        <v>33</v>
      </c>
      <c r="C42" s="334">
        <v>0</v>
      </c>
      <c r="D42" s="334">
        <v>0</v>
      </c>
      <c r="E42" s="334">
        <v>0</v>
      </c>
      <c r="F42" s="334">
        <v>0</v>
      </c>
    </row>
    <row r="43" spans="1:6">
      <c r="A43" s="348" t="s">
        <v>31</v>
      </c>
      <c r="B43" s="348" t="s">
        <v>34</v>
      </c>
      <c r="C43" s="334">
        <v>0</v>
      </c>
      <c r="D43" s="334">
        <v>0</v>
      </c>
      <c r="E43" s="334">
        <v>3</v>
      </c>
      <c r="F43" s="334">
        <v>20972050</v>
      </c>
    </row>
    <row r="44" spans="1:6">
      <c r="A44" s="348" t="s">
        <v>31</v>
      </c>
      <c r="B44" s="348" t="s">
        <v>35</v>
      </c>
      <c r="C44" s="334">
        <v>11</v>
      </c>
      <c r="D44" s="334">
        <v>348795.8</v>
      </c>
      <c r="E44" s="334">
        <v>35</v>
      </c>
      <c r="F44" s="334">
        <v>511059.79800000001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20672847</v>
      </c>
      <c r="E47" s="334">
        <v>7</v>
      </c>
      <c r="F47" s="334">
        <v>10053246</v>
      </c>
    </row>
    <row r="48" spans="1:6">
      <c r="A48" s="348" t="s">
        <v>31</v>
      </c>
      <c r="B48" s="348" t="s">
        <v>28</v>
      </c>
      <c r="C48" s="334">
        <v>1</v>
      </c>
      <c r="D48" s="334">
        <v>29009</v>
      </c>
      <c r="E48" s="334">
        <v>4</v>
      </c>
      <c r="F48" s="334">
        <v>88683.028000000006</v>
      </c>
    </row>
    <row r="49" spans="1:6">
      <c r="A49" s="348" t="s">
        <v>31</v>
      </c>
      <c r="B49" s="348" t="s">
        <v>39</v>
      </c>
      <c r="C49" s="334">
        <v>0</v>
      </c>
      <c r="D49" s="334">
        <v>0</v>
      </c>
      <c r="E49" s="334">
        <v>0</v>
      </c>
      <c r="F49" s="334">
        <v>0</v>
      </c>
    </row>
    <row r="50" spans="1:6">
      <c r="A50" s="348" t="s">
        <v>31</v>
      </c>
      <c r="B50" s="348" t="s">
        <v>40</v>
      </c>
      <c r="C50" s="334">
        <v>5</v>
      </c>
      <c r="D50" s="334">
        <v>273886</v>
      </c>
      <c r="E50" s="334">
        <v>8</v>
      </c>
      <c r="F50" s="334">
        <v>190126</v>
      </c>
    </row>
    <row r="51" spans="1:6">
      <c r="A51" s="348" t="s">
        <v>41</v>
      </c>
      <c r="B51" s="348" t="s">
        <v>42</v>
      </c>
      <c r="C51" s="334">
        <v>31</v>
      </c>
      <c r="D51" s="334">
        <v>4143977.7069999999</v>
      </c>
      <c r="E51" s="334">
        <v>182</v>
      </c>
      <c r="F51" s="334">
        <v>5155975.5269999998</v>
      </c>
    </row>
    <row r="52" spans="1:6">
      <c r="A52" s="348" t="s">
        <v>41</v>
      </c>
      <c r="B52" s="348" t="s">
        <v>28</v>
      </c>
      <c r="C52" s="334">
        <v>0</v>
      </c>
      <c r="D52" s="334">
        <v>0</v>
      </c>
      <c r="E52" s="334">
        <v>0</v>
      </c>
      <c r="F52" s="334">
        <v>0</v>
      </c>
    </row>
    <row r="53" spans="1:6">
      <c r="A53" s="348" t="s">
        <v>43</v>
      </c>
      <c r="B53" s="348" t="s">
        <v>44</v>
      </c>
      <c r="C53" s="334">
        <v>30</v>
      </c>
      <c r="D53" s="334">
        <v>521741.4</v>
      </c>
      <c r="E53" s="334">
        <v>68</v>
      </c>
      <c r="F53" s="334">
        <v>223767.26699999999</v>
      </c>
    </row>
    <row r="54" spans="1:6">
      <c r="A54" s="348" t="s">
        <v>45</v>
      </c>
      <c r="B54" s="348" t="s">
        <v>46</v>
      </c>
      <c r="C54" s="334">
        <v>0</v>
      </c>
      <c r="D54" s="334">
        <v>0</v>
      </c>
      <c r="E54" s="334">
        <v>1</v>
      </c>
      <c r="F54" s="334">
        <v>698862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61</v>
      </c>
      <c r="D57" s="334">
        <v>3611689.4109999998</v>
      </c>
      <c r="E57" s="334">
        <v>101</v>
      </c>
      <c r="F57" s="334">
        <v>2348856.429</v>
      </c>
    </row>
    <row r="58" spans="1:6">
      <c r="A58" s="348" t="s">
        <v>48</v>
      </c>
      <c r="B58" s="348" t="s">
        <v>50</v>
      </c>
      <c r="C58" s="334">
        <v>30</v>
      </c>
      <c r="D58" s="334">
        <v>3393128.4580000001</v>
      </c>
      <c r="E58" s="334">
        <v>35</v>
      </c>
      <c r="F58" s="334">
        <v>2976455</v>
      </c>
    </row>
    <row r="59" spans="1:6">
      <c r="A59" s="348" t="s">
        <v>48</v>
      </c>
      <c r="B59" s="348" t="s">
        <v>51</v>
      </c>
      <c r="C59" s="334">
        <v>81</v>
      </c>
      <c r="D59" s="334">
        <v>3300853.2570000002</v>
      </c>
      <c r="E59" s="334">
        <v>172</v>
      </c>
      <c r="F59" s="334">
        <v>4664892.9390000002</v>
      </c>
    </row>
    <row r="60" spans="1:6">
      <c r="A60" s="348" t="s">
        <v>48</v>
      </c>
      <c r="B60" s="348" t="s">
        <v>52</v>
      </c>
      <c r="C60" s="334">
        <v>25</v>
      </c>
      <c r="D60" s="334">
        <v>1764297.743</v>
      </c>
      <c r="E60" s="334">
        <v>34</v>
      </c>
      <c r="F60" s="334">
        <v>1083659</v>
      </c>
    </row>
    <row r="61" spans="1:6">
      <c r="A61" s="348" t="s">
        <v>48</v>
      </c>
      <c r="B61" s="348" t="s">
        <v>53</v>
      </c>
      <c r="C61" s="334">
        <v>76</v>
      </c>
      <c r="D61" s="334">
        <v>1613069.6</v>
      </c>
      <c r="E61" s="334">
        <v>139</v>
      </c>
      <c r="F61" s="334">
        <v>1237485.443</v>
      </c>
    </row>
    <row r="62" spans="1:6">
      <c r="A62" s="348" t="s">
        <v>48</v>
      </c>
      <c r="B62" s="348" t="s">
        <v>54</v>
      </c>
      <c r="C62" s="334">
        <v>15</v>
      </c>
      <c r="D62" s="334">
        <v>5208193.8</v>
      </c>
      <c r="E62" s="334">
        <v>15</v>
      </c>
      <c r="F62" s="334">
        <v>321807</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74010</v>
      </c>
      <c r="E65" s="334">
        <v>0</v>
      </c>
      <c r="F65" s="334">
        <v>0</v>
      </c>
    </row>
    <row r="66" spans="1:6">
      <c r="A66" s="348" t="s">
        <v>55</v>
      </c>
      <c r="B66" s="348" t="s">
        <v>57</v>
      </c>
      <c r="C66" s="334">
        <v>0</v>
      </c>
      <c r="D66" s="334">
        <v>0</v>
      </c>
      <c r="E66" s="334">
        <v>5</v>
      </c>
      <c r="F66" s="334">
        <v>184498.514</v>
      </c>
    </row>
    <row r="67" spans="1:6">
      <c r="A67" s="355" t="s">
        <v>55</v>
      </c>
      <c r="B67" s="355" t="s">
        <v>58</v>
      </c>
      <c r="C67" s="334">
        <v>0</v>
      </c>
      <c r="D67" s="334">
        <v>0</v>
      </c>
      <c r="E67" s="334">
        <v>0</v>
      </c>
      <c r="F67" s="334">
        <v>0</v>
      </c>
    </row>
    <row r="68" spans="1:6">
      <c r="A68" s="341" t="s">
        <v>55</v>
      </c>
      <c r="B68" s="341" t="s">
        <v>59</v>
      </c>
      <c r="C68" s="334">
        <v>0</v>
      </c>
      <c r="D68" s="334">
        <v>0</v>
      </c>
      <c r="E68" s="334">
        <v>9</v>
      </c>
      <c r="F68" s="334">
        <v>82307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41589913</v>
      </c>
      <c r="E73" s="476"/>
    </row>
    <row r="74" spans="1:6">
      <c r="A74" s="348" t="s">
        <v>63</v>
      </c>
      <c r="B74" s="348" t="s">
        <v>651</v>
      </c>
      <c r="C74" s="1307" t="s">
        <v>653</v>
      </c>
      <c r="D74" s="476">
        <v>5191875.5</v>
      </c>
      <c r="E74" s="476"/>
    </row>
    <row r="75" spans="1:6">
      <c r="A75" s="348" t="s">
        <v>64</v>
      </c>
      <c r="B75" s="348" t="s">
        <v>650</v>
      </c>
      <c r="C75" s="1307" t="s">
        <v>654</v>
      </c>
      <c r="D75" s="476">
        <v>16465834</v>
      </c>
      <c r="E75" s="476"/>
    </row>
    <row r="76" spans="1:6">
      <c r="A76" s="348" t="s">
        <v>64</v>
      </c>
      <c r="B76" s="348" t="s">
        <v>651</v>
      </c>
      <c r="C76" s="1307" t="s">
        <v>655</v>
      </c>
      <c r="D76" s="476">
        <v>2071677.5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143497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3553.8307631926245</v>
      </c>
    </row>
    <row r="92" spans="1:6">
      <c r="A92" s="341" t="s">
        <v>68</v>
      </c>
      <c r="B92" s="342">
        <v>4720.5315042108714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1600</v>
      </c>
    </row>
    <row r="98" spans="1:6">
      <c r="A98" s="348" t="s">
        <v>71</v>
      </c>
      <c r="B98" s="334">
        <v>0</v>
      </c>
    </row>
    <row r="99" spans="1:6">
      <c r="A99" s="348" t="s">
        <v>72</v>
      </c>
      <c r="B99" s="334">
        <v>132</v>
      </c>
    </row>
    <row r="100" spans="1:6">
      <c r="A100" s="348" t="s">
        <v>73</v>
      </c>
      <c r="B100" s="334">
        <v>309</v>
      </c>
    </row>
    <row r="101" spans="1:6">
      <c r="A101" s="348" t="s">
        <v>74</v>
      </c>
      <c r="B101" s="334">
        <v>104</v>
      </c>
    </row>
    <row r="102" spans="1:6">
      <c r="A102" s="348" t="s">
        <v>75</v>
      </c>
      <c r="B102" s="334">
        <v>64</v>
      </c>
    </row>
    <row r="103" spans="1:6">
      <c r="A103" s="348" t="s">
        <v>76</v>
      </c>
      <c r="B103" s="334">
        <v>98</v>
      </c>
    </row>
    <row r="104" spans="1:6">
      <c r="A104" s="348" t="s">
        <v>77</v>
      </c>
      <c r="B104" s="334">
        <v>1210</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18</v>
      </c>
      <c r="C123" s="334">
        <v>30</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199</v>
      </c>
    </row>
    <row r="130" spans="1:6">
      <c r="A130" s="348" t="s">
        <v>294</v>
      </c>
      <c r="B130" s="334">
        <v>1</v>
      </c>
    </row>
    <row r="131" spans="1:6">
      <c r="A131" s="348" t="s">
        <v>295</v>
      </c>
      <c r="B131" s="334">
        <v>5</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97215.997783132902</v>
      </c>
      <c r="C3" s="43" t="s">
        <v>169</v>
      </c>
      <c r="D3" s="43"/>
      <c r="E3" s="154"/>
      <c r="F3" s="43"/>
      <c r="G3" s="43"/>
      <c r="H3" s="43"/>
      <c r="I3" s="43"/>
      <c r="J3" s="43"/>
      <c r="K3" s="96"/>
    </row>
    <row r="4" spans="1:11">
      <c r="A4" s="383" t="s">
        <v>170</v>
      </c>
      <c r="B4" s="49">
        <f>IF(ISERROR('SEAP template'!B78),0,'SEAP template'!B78)</f>
        <v>13062.362267403496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19.249411764705883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0.19150349001479891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27.499159663865548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6955.7142857142853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3.9534630857888447E-3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698.86199999999997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698.86199999999997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0.19150349001479891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133.83451203872238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13160.764800000001</v>
      </c>
      <c r="C5" s="17">
        <f>IF(ISERROR('Eigen informatie GS &amp; warmtenet'!B59),0,'Eigen informatie GS &amp; warmtenet'!B59)</f>
        <v>0</v>
      </c>
      <c r="D5" s="30">
        <f>(SUM(HH_hh_gas_kWh,HH_rest_gas_kWh)/1000)*0.902</f>
        <v>33275.456996100002</v>
      </c>
      <c r="E5" s="17">
        <f>B46*B57</f>
        <v>10142.743630870566</v>
      </c>
      <c r="F5" s="17">
        <f>B51*B62</f>
        <v>8148.3915717499012</v>
      </c>
      <c r="G5" s="18"/>
      <c r="H5" s="17"/>
      <c r="I5" s="17"/>
      <c r="J5" s="17">
        <f>B50*B61+C50*C61</f>
        <v>208.40827194120359</v>
      </c>
      <c r="K5" s="17"/>
      <c r="L5" s="17"/>
      <c r="M5" s="17"/>
      <c r="N5" s="17">
        <f>B48*B59+C48*C59</f>
        <v>13829.148118103292</v>
      </c>
      <c r="O5" s="17">
        <f>B69*B70*B71</f>
        <v>456.3103904590173</v>
      </c>
      <c r="P5" s="17">
        <f>B77*B78*B79/1000-B77*B78*B79/1000/B80</f>
        <v>368.6885757689758</v>
      </c>
    </row>
    <row r="6" spans="1:16">
      <c r="A6" s="16" t="s">
        <v>615</v>
      </c>
      <c r="B6" s="809">
        <f>kWh_PV_kleiner_dan_10kW</f>
        <v>3553.8307631926245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16714.595563192626</v>
      </c>
      <c r="C8" s="21">
        <f>C5</f>
        <v>0</v>
      </c>
      <c r="D8" s="21">
        <f>D5</f>
        <v>33275.456996100002</v>
      </c>
      <c r="E8" s="21">
        <f>E5</f>
        <v>10142.743630870566</v>
      </c>
      <c r="F8" s="21">
        <f>F5</f>
        <v>8148.3915717499012</v>
      </c>
      <c r="G8" s="21"/>
      <c r="H8" s="21"/>
      <c r="I8" s="21"/>
      <c r="J8" s="21">
        <f>J5</f>
        <v>208.40827194120359</v>
      </c>
      <c r="K8" s="21"/>
      <c r="L8" s="21">
        <f>L5</f>
        <v>0</v>
      </c>
      <c r="M8" s="21">
        <f>M5</f>
        <v>0</v>
      </c>
      <c r="N8" s="21">
        <f>N5</f>
        <v>13829.148118103292</v>
      </c>
      <c r="O8" s="21">
        <f>O5</f>
        <v>456.3103904590173</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0.19150349001479891</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3200.9033845372614</v>
      </c>
      <c r="C12" s="23">
        <f ca="1">C10*C8</f>
        <v>0</v>
      </c>
      <c r="D12" s="23">
        <f>D8*D10</f>
        <v>6721.6423132122009</v>
      </c>
      <c r="E12" s="23">
        <f>E10*E8</f>
        <v>2302.4028042076184</v>
      </c>
      <c r="F12" s="23">
        <f>F10*F8</f>
        <v>2175.6205496572238</v>
      </c>
      <c r="G12" s="23"/>
      <c r="H12" s="23"/>
      <c r="I12" s="23"/>
      <c r="J12" s="23">
        <f>J10*J8</f>
        <v>73.776528267186066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1600</v>
      </c>
      <c r="C18" s="166" t="s">
        <v>110</v>
      </c>
      <c r="D18" s="228"/>
      <c r="E18" s="15"/>
    </row>
    <row r="19" spans="1:7">
      <c r="A19" s="171" t="s">
        <v>71</v>
      </c>
      <c r="B19" s="37">
        <f>aantalw2001_ander</f>
        <v>0</v>
      </c>
      <c r="C19" s="166" t="s">
        <v>110</v>
      </c>
      <c r="D19" s="229"/>
      <c r="E19" s="15"/>
    </row>
    <row r="20" spans="1:7">
      <c r="A20" s="171" t="s">
        <v>72</v>
      </c>
      <c r="B20" s="37">
        <f>aantalw2001_propaan</f>
        <v>132</v>
      </c>
      <c r="C20" s="167">
        <f>IF(ISERROR(B20/SUM($B$20,$B$21,$B$22)*100),0,B20/SUM($B$20,$B$21,$B$22)*100)</f>
        <v>24.220183486238533</v>
      </c>
      <c r="D20" s="229"/>
      <c r="E20" s="15"/>
    </row>
    <row r="21" spans="1:7">
      <c r="A21" s="171" t="s">
        <v>73</v>
      </c>
      <c r="B21" s="37">
        <f>aantalw2001_elektriciteit</f>
        <v>309</v>
      </c>
      <c r="C21" s="167">
        <f>IF(ISERROR(B21/SUM($B$20,$B$21,$B$22)*100),0,B21/SUM($B$20,$B$21,$B$22)*100)</f>
        <v>56.697247706422019</v>
      </c>
      <c r="D21" s="229"/>
      <c r="E21" s="15"/>
    </row>
    <row r="22" spans="1:7">
      <c r="A22" s="171" t="s">
        <v>74</v>
      </c>
      <c r="B22" s="37">
        <f>aantalw2001_hout</f>
        <v>104</v>
      </c>
      <c r="C22" s="167">
        <f>IF(ISERROR(B22/SUM($B$20,$B$21,$B$22)*100),0,B22/SUM($B$20,$B$21,$B$22)*100)</f>
        <v>19.082568807339449</v>
      </c>
      <c r="D22" s="229"/>
      <c r="E22" s="15"/>
    </row>
    <row r="23" spans="1:7">
      <c r="A23" s="171" t="s">
        <v>75</v>
      </c>
      <c r="B23" s="37">
        <f>aantalw2001_niet_gespec</f>
        <v>64</v>
      </c>
      <c r="C23" s="166" t="s">
        <v>110</v>
      </c>
      <c r="D23" s="228"/>
      <c r="E23" s="15"/>
    </row>
    <row r="24" spans="1:7">
      <c r="A24" s="171" t="s">
        <v>76</v>
      </c>
      <c r="B24" s="37">
        <f>aantalw2001_steenkool</f>
        <v>98</v>
      </c>
      <c r="C24" s="166" t="s">
        <v>110</v>
      </c>
      <c r="D24" s="229"/>
      <c r="E24" s="15"/>
    </row>
    <row r="25" spans="1:7">
      <c r="A25" s="171" t="s">
        <v>77</v>
      </c>
      <c r="B25" s="37">
        <f>aantalw2001_stookolie</f>
        <v>1210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4012</v>
      </c>
      <c r="C28" s="36"/>
      <c r="D28" s="228"/>
    </row>
    <row r="29" spans="1:7" s="15" customFormat="1">
      <c r="A29" s="230" t="s">
        <v>838</v>
      </c>
      <c r="B29" s="37">
        <f>SUM(HH_hh_gas_aantal,HH_rest_gas_aantal)</f>
        <v>2509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2509</v>
      </c>
      <c r="C32" s="167">
        <f>IF(ISERROR(B32/SUM($B$32,$B$34,$B$35,$B$36,$B$38,$B$39)*100),0,B32/SUM($B$32,$B$34,$B$35,$B$36,$B$38,$B$39)*100)</f>
        <v>63.087754588886092</v>
      </c>
      <c r="D32" s="233"/>
      <c r="G32" s="15"/>
    </row>
    <row r="33" spans="1:7">
      <c r="A33" s="171" t="s">
        <v>71</v>
      </c>
      <c r="B33" s="34" t="s">
        <v>110</v>
      </c>
      <c r="C33" s="167"/>
      <c r="D33" s="233"/>
      <c r="G33" s="15"/>
    </row>
    <row r="34" spans="1:7">
      <c r="A34" s="171" t="s">
        <v>72</v>
      </c>
      <c r="B34" s="33">
        <f>IF((($B$28-$B$32-$B$39-$B$77-$B$38)*C20/100)&lt;0,0,($B$28-$B$32-$B$39-$B$77-$B$38)*C20/100)</f>
        <v>258.91376146788991</v>
      </c>
      <c r="C34" s="167">
        <f>IF(ISERROR(B34/SUM($B$32,$B$34,$B$35,$B$36,$B$38,$B$39)*100),0,B34/SUM($B$32,$B$34,$B$35,$B$36,$B$38,$B$39)*100)</f>
        <v>6.510278135979128</v>
      </c>
      <c r="D34" s="233"/>
      <c r="G34" s="15"/>
    </row>
    <row r="35" spans="1:7">
      <c r="A35" s="171" t="s">
        <v>73</v>
      </c>
      <c r="B35" s="33">
        <f>IF((($B$28-$B$32-$B$39-$B$77-$B$38)*C21/100)&lt;0,0,($B$28-$B$32-$B$39-$B$77-$B$38)*C21/100)</f>
        <v>606.09357798165138</v>
      </c>
      <c r="C35" s="167">
        <f>IF(ISERROR(B35/SUM($B$32,$B$34,$B$35,$B$36,$B$38,$B$39)*100),0,B35/SUM($B$32,$B$34,$B$35,$B$36,$B$38,$B$39)*100)</f>
        <v>15.239969272860233</v>
      </c>
      <c r="D35" s="233"/>
      <c r="G35" s="15"/>
    </row>
    <row r="36" spans="1:7">
      <c r="A36" s="171" t="s">
        <v>74</v>
      </c>
      <c r="B36" s="33">
        <f>IF((($B$28-$B$32-$B$39-$B$77-$B$38)*C22/100)&lt;0,0,($B$28-$B$32-$B$39-$B$77-$B$38)*C22/100)</f>
        <v>203.99266055045871</v>
      </c>
      <c r="C36" s="167">
        <f>IF(ISERROR(B36/SUM($B$32,$B$34,$B$35,$B$36,$B$38,$B$39)*100),0,B36/SUM($B$32,$B$34,$B$35,$B$36,$B$38,$B$39)*100)</f>
        <v>5.1293100465290093</v>
      </c>
      <c r="D36" s="233"/>
      <c r="G36" s="15"/>
    </row>
    <row r="37" spans="1:7">
      <c r="A37" s="171" t="s">
        <v>75</v>
      </c>
      <c r="B37" s="34" t="s">
        <v>110</v>
      </c>
      <c r="C37" s="167"/>
      <c r="D37" s="173"/>
      <c r="G37" s="15"/>
    </row>
    <row r="38" spans="1:7">
      <c r="A38" s="171" t="s">
        <v>76</v>
      </c>
      <c r="B38" s="33">
        <f>IF((B24-(B29-B18)*0.1)&lt;0,0,B24-(B29-B18)*0.1)</f>
        <v>7.0999999999999943</v>
      </c>
      <c r="C38" s="167">
        <f>IF(ISERROR(B38/SUM($B$32,$B$34,$B$35,$B$36,$B$38,$B$39)*100),0,B38/SUM($B$32,$B$34,$B$35,$B$36,$B$38,$B$39)*100)</f>
        <v>0.17852652753331644</v>
      </c>
      <c r="D38" s="234"/>
      <c r="G38" s="15"/>
    </row>
    <row r="39" spans="1:7">
      <c r="A39" s="171" t="s">
        <v>77</v>
      </c>
      <c r="B39" s="33">
        <f>IF((B25-(B29-B18))&lt;0,0,B25-(B29-B18)*0.9)</f>
        <v>391.9</v>
      </c>
      <c r="C39" s="167">
        <f>IF(ISERROR(B39/SUM($B$32,$B$34,$B$35,$B$36,$B$38,$B$39)*100),0,B39/SUM($B$32,$B$34,$B$35,$B$36,$B$38,$B$39)*100)</f>
        <v>9.8541614282122207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2509</v>
      </c>
      <c r="C44" s="34" t="s">
        <v>110</v>
      </c>
      <c r="D44" s="174"/>
    </row>
    <row r="45" spans="1:7">
      <c r="A45" s="171" t="s">
        <v>71</v>
      </c>
      <c r="B45" s="33" t="str">
        <f t="shared" si="0"/>
        <v>-</v>
      </c>
      <c r="C45" s="34" t="s">
        <v>110</v>
      </c>
      <c r="D45" s="174"/>
    </row>
    <row r="46" spans="1:7">
      <c r="A46" s="171" t="s">
        <v>72</v>
      </c>
      <c r="B46" s="33">
        <f t="shared" si="0"/>
        <v>258.91376146788991</v>
      </c>
      <c r="C46" s="34" t="s">
        <v>110</v>
      </c>
      <c r="D46" s="174"/>
    </row>
    <row r="47" spans="1:7">
      <c r="A47" s="171" t="s">
        <v>73</v>
      </c>
      <c r="B47" s="33">
        <f t="shared" si="0"/>
        <v>606.09357798165138</v>
      </c>
      <c r="C47" s="34" t="s">
        <v>110</v>
      </c>
      <c r="D47" s="174"/>
    </row>
    <row r="48" spans="1:7">
      <c r="A48" s="171" t="s">
        <v>74</v>
      </c>
      <c r="B48" s="33">
        <f t="shared" si="0"/>
        <v>203.99266055045871</v>
      </c>
      <c r="C48" s="33">
        <f>B48*10</f>
        <v>2039.9266055045871</v>
      </c>
      <c r="D48" s="234"/>
    </row>
    <row r="49" spans="1:6">
      <c r="A49" s="171" t="s">
        <v>75</v>
      </c>
      <c r="B49" s="33" t="str">
        <f t="shared" si="0"/>
        <v>-</v>
      </c>
      <c r="C49" s="34" t="s">
        <v>110</v>
      </c>
      <c r="D49" s="234"/>
    </row>
    <row r="50" spans="1:6">
      <c r="A50" s="171" t="s">
        <v>76</v>
      </c>
      <c r="B50" s="33">
        <f t="shared" si="0"/>
        <v>7.0999999999999943</v>
      </c>
      <c r="C50" s="33">
        <f>B50*2</f>
        <v>14.199999999999989</v>
      </c>
      <c r="D50" s="234"/>
    </row>
    <row r="51" spans="1:6">
      <c r="A51" s="171" t="s">
        <v>77</v>
      </c>
      <c r="B51" s="33">
        <f t="shared" si="0"/>
        <v>391.9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12633.155811000001</v>
      </c>
      <c r="C5" s="17">
        <f>IF(ISERROR('Eigen informatie GS &amp; warmtenet'!B60),0,'Eigen informatie GS &amp; warmtenet'!B60)</f>
        <v>0</v>
      </c>
      <c r="D5" s="30">
        <f>SUM(D6:D12)</f>
        <v>17039.891506638</v>
      </c>
      <c r="E5" s="17">
        <f>SUM(E6:E12)</f>
        <v>164.1928385927142</v>
      </c>
      <c r="F5" s="17">
        <f>SUM(F6:F12)</f>
        <v>1374.8607646227506</v>
      </c>
      <c r="G5" s="18"/>
      <c r="H5" s="17"/>
      <c r="I5" s="17"/>
      <c r="J5" s="17">
        <f>SUM(J6:J12)</f>
        <v>3.9874315044516273E-2</v>
      </c>
      <c r="K5" s="17"/>
      <c r="L5" s="17"/>
      <c r="M5" s="17"/>
      <c r="N5" s="17">
        <f>SUM(N6:N12)</f>
        <v>1580.4796312493163</v>
      </c>
      <c r="O5" s="17">
        <f>B38*B39*B40</f>
        <v>4.8972607658411542</v>
      </c>
      <c r="P5" s="17">
        <f>B46*B47*B48/1000-B46*B47*B48/1000/B49</f>
        <v>315.23482983897009</v>
      </c>
      <c r="R5" s="32"/>
    </row>
    <row r="6" spans="1:18">
      <c r="A6" s="32" t="s">
        <v>53</v>
      </c>
      <c r="B6" s="37">
        <f>B26</f>
        <v>1237.485443</v>
      </c>
      <c r="C6" s="33"/>
      <c r="D6" s="37">
        <f>IF(ISERROR(TER_kantoor_gas_kWh/1000),0,TER_kantoor_gas_kWh/1000)*0.902</f>
        <v>1454.9887792000002</v>
      </c>
      <c r="E6" s="33">
        <f>$C$26*'E Balans VL '!I12/100/3.6*1000000</f>
        <v>9.9576485907295531</v>
      </c>
      <c r="F6" s="33">
        <f>$C$26*('E Balans VL '!L12+'E Balans VL '!N12)/100/3.6*1000000</f>
        <v>151.29561333683276</v>
      </c>
      <c r="G6" s="34"/>
      <c r="H6" s="33"/>
      <c r="I6" s="33"/>
      <c r="J6" s="33">
        <f>$C$26*('E Balans VL '!D12+'E Balans VL '!E12)/100/3.6*1000000</f>
        <v>0</v>
      </c>
      <c r="K6" s="33"/>
      <c r="L6" s="33"/>
      <c r="M6" s="33"/>
      <c r="N6" s="33">
        <f>$C$26*'E Balans VL '!Y12/100/3.6*1000000</f>
        <v>0.66508748605019508</v>
      </c>
      <c r="O6" s="33"/>
      <c r="P6" s="33"/>
      <c r="R6" s="32"/>
    </row>
    <row r="7" spans="1:18">
      <c r="A7" s="32" t="s">
        <v>52</v>
      </c>
      <c r="B7" s="37">
        <f t="shared" ref="B7:B12" si="0">B27</f>
        <v>1083.6590000000001</v>
      </c>
      <c r="C7" s="33"/>
      <c r="D7" s="37">
        <f>IF(ISERROR(TER_horeca_gas_kWh/1000),0,TER_horeca_gas_kWh/1000)*0.902</f>
        <v>1591.3965641860002</v>
      </c>
      <c r="E7" s="33">
        <f>$C$27*'E Balans VL '!I9/100/3.6*1000000</f>
        <v>11.635836658714247</v>
      </c>
      <c r="F7" s="33">
        <f>$C$27*('E Balans VL '!L9+'E Balans VL '!N9)/100/3.6*1000000</f>
        <v>130.3379003859115</v>
      </c>
      <c r="G7" s="34"/>
      <c r="H7" s="33"/>
      <c r="I7" s="33"/>
      <c r="J7" s="33">
        <f>$C$27*('E Balans VL '!D9+'E Balans VL '!E9)/100/3.6*1000000</f>
        <v>0</v>
      </c>
      <c r="K7" s="33"/>
      <c r="L7" s="33"/>
      <c r="M7" s="33"/>
      <c r="N7" s="33">
        <f>$C$27*'E Balans VL '!Y9/100/3.6*1000000</f>
        <v>0.16246244731803258</v>
      </c>
      <c r="O7" s="33"/>
      <c r="P7" s="33"/>
      <c r="R7" s="32"/>
    </row>
    <row r="8" spans="1:18">
      <c r="A8" s="6" t="s">
        <v>51</v>
      </c>
      <c r="B8" s="37">
        <f t="shared" si="0"/>
        <v>4664.8929390000003</v>
      </c>
      <c r="C8" s="33"/>
      <c r="D8" s="37">
        <f>IF(ISERROR(TER_handel_gas_kWh/1000),0,TER_handel_gas_kWh/1000)*0.902</f>
        <v>2977.3696378140003</v>
      </c>
      <c r="E8" s="33">
        <f>$C$28*'E Balans VL '!I13/100/3.6*1000000</f>
        <v>125.19144505156849</v>
      </c>
      <c r="F8" s="33">
        <f>$C$28*('E Balans VL '!L13+'E Balans VL '!N13)/100/3.6*1000000</f>
        <v>445.17456208820118</v>
      </c>
      <c r="G8" s="34"/>
      <c r="H8" s="33"/>
      <c r="I8" s="33"/>
      <c r="J8" s="33">
        <f>$C$28*('E Balans VL '!D13+'E Balans VL '!E13)/100/3.6*1000000</f>
        <v>0</v>
      </c>
      <c r="K8" s="33"/>
      <c r="L8" s="33"/>
      <c r="M8" s="33"/>
      <c r="N8" s="33">
        <f>$C$28*'E Balans VL '!Y13/100/3.6*1000000</f>
        <v>1.8492166026505423</v>
      </c>
      <c r="O8" s="33"/>
      <c r="P8" s="33"/>
      <c r="R8" s="32"/>
    </row>
    <row r="9" spans="1:18">
      <c r="A9" s="32" t="s">
        <v>50</v>
      </c>
      <c r="B9" s="37">
        <f t="shared" si="0"/>
        <v>2976.4549999999999</v>
      </c>
      <c r="C9" s="33"/>
      <c r="D9" s="37">
        <f>IF(ISERROR(TER_gezond_gas_kWh/1000),0,TER_gezond_gas_kWh/1000)*0.902</f>
        <v>3060.6018691160002</v>
      </c>
      <c r="E9" s="33">
        <f>$C$29*'E Balans VL '!I10/100/3.6*1000000</f>
        <v>5.5788458458332961</v>
      </c>
      <c r="F9" s="33">
        <f>$C$29*('E Balans VL '!L10+'E Balans VL '!N10)/100/3.6*1000000</f>
        <v>244.69175905925647</v>
      </c>
      <c r="G9" s="34"/>
      <c r="H9" s="33"/>
      <c r="I9" s="33"/>
      <c r="J9" s="33">
        <f>$C$29*('E Balans VL '!D10+'E Balans VL '!E10)/100/3.6*1000000</f>
        <v>0</v>
      </c>
      <c r="K9" s="33"/>
      <c r="L9" s="33"/>
      <c r="M9" s="33"/>
      <c r="N9" s="33">
        <f>$C$29*'E Balans VL '!Y10/100/3.6*1000000</f>
        <v>23.159040654523452</v>
      </c>
      <c r="O9" s="33"/>
      <c r="P9" s="33"/>
      <c r="R9" s="32"/>
    </row>
    <row r="10" spans="1:18">
      <c r="A10" s="32" t="s">
        <v>49</v>
      </c>
      <c r="B10" s="37">
        <f t="shared" si="0"/>
        <v>2348.8564289999999</v>
      </c>
      <c r="C10" s="33"/>
      <c r="D10" s="37">
        <f>IF(ISERROR(TER_ander_gas_kWh/1000),0,TER_ander_gas_kWh/1000)*0.902</f>
        <v>3257.7438487220002</v>
      </c>
      <c r="E10" s="33">
        <f>$C$30*'E Balans VL '!I14/100/3.6*1000000</f>
        <v>3.6207859858979461</v>
      </c>
      <c r="F10" s="33">
        <f>$C$30*('E Balans VL '!L14+'E Balans VL '!N14)/100/3.6*1000000</f>
        <v>364.66060903971766</v>
      </c>
      <c r="G10" s="34"/>
      <c r="H10" s="33"/>
      <c r="I10" s="33"/>
      <c r="J10" s="33">
        <f>$C$30*('E Balans VL '!D14+'E Balans VL '!E14)/100/3.6*1000000</f>
        <v>3.9874315044516273E-2</v>
      </c>
      <c r="K10" s="33"/>
      <c r="L10" s="33"/>
      <c r="M10" s="33"/>
      <c r="N10" s="33">
        <f>$C$30*'E Balans VL '!Y14/100/3.6*1000000</f>
        <v>1553.9281331429324</v>
      </c>
      <c r="O10" s="33"/>
      <c r="P10" s="33"/>
      <c r="R10" s="32"/>
    </row>
    <row r="11" spans="1:18">
      <c r="A11" s="32" t="s">
        <v>54</v>
      </c>
      <c r="B11" s="37">
        <f t="shared" si="0"/>
        <v>321.80700000000002</v>
      </c>
      <c r="C11" s="33"/>
      <c r="D11" s="37">
        <f>IF(ISERROR(TER_onderwijs_gas_kWh/1000),0,TER_onderwijs_gas_kWh/1000)*0.902</f>
        <v>4697.7908076000003</v>
      </c>
      <c r="E11" s="33">
        <f>$C$31*'E Balans VL '!I11/100/3.6*1000000</f>
        <v>8.2082764599706479</v>
      </c>
      <c r="F11" s="33">
        <f>$C$31*('E Balans VL '!L11+'E Balans VL '!N11)/100/3.6*1000000</f>
        <v>38.700320712830937</v>
      </c>
      <c r="G11" s="34"/>
      <c r="H11" s="33"/>
      <c r="I11" s="33"/>
      <c r="J11" s="33">
        <f>$C$31*('E Balans VL '!D11+'E Balans VL '!E11)/100/3.6*1000000</f>
        <v>0</v>
      </c>
      <c r="K11" s="33"/>
      <c r="L11" s="33"/>
      <c r="M11" s="33"/>
      <c r="N11" s="33">
        <f>$C$31*'E Balans VL '!Y11/100/3.6*1000000</f>
        <v>0.71569091584154043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4869</v>
      </c>
      <c r="C13" s="247">
        <f ca="1">'lokale energieproductie'!O91+'lokale energieproductie'!O60</f>
        <v>6955.7142857142853</v>
      </c>
      <c r="D13" s="310">
        <f ca="1">('lokale energieproductie'!P60+'lokale energieproductie'!P91)*(-1)</f>
        <v>-231.42857142857144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-13680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17502.155811000001</v>
      </c>
      <c r="C16" s="21">
        <f t="shared" ca="1" si="1"/>
        <v>6955.7142857142853</v>
      </c>
      <c r="D16" s="21">
        <f t="shared" ca="1" si="1"/>
        <v>16808.462935209427</v>
      </c>
      <c r="E16" s="21">
        <f t="shared" si="1"/>
        <v>164.1928385927142</v>
      </c>
      <c r="F16" s="21">
        <f t="shared" ca="1" si="1"/>
        <v>1374.8607646227506</v>
      </c>
      <c r="G16" s="21">
        <f t="shared" si="1"/>
        <v>0</v>
      </c>
      <c r="H16" s="21">
        <f t="shared" si="1"/>
        <v>0</v>
      </c>
      <c r="I16" s="21">
        <f t="shared" si="1"/>
        <v>0</v>
      </c>
      <c r="J16" s="21">
        <f t="shared" si="1"/>
        <v>3.9874315044516273E-2</v>
      </c>
      <c r="K16" s="21">
        <f t="shared" si="1"/>
        <v>0</v>
      </c>
      <c r="L16" s="21">
        <f t="shared" ca="1" si="1"/>
        <v>0</v>
      </c>
      <c r="M16" s="21">
        <f t="shared" si="1"/>
        <v>0</v>
      </c>
      <c r="N16" s="21">
        <f t="shared" ca="1" si="1"/>
        <v>0</v>
      </c>
      <c r="O16" s="21">
        <f>O5</f>
        <v>4.8972607658411542</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0.19150349001479891</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3351.7239205892934</v>
      </c>
      <c r="C20" s="23">
        <f t="shared" ref="C20:P20" ca="1" si="2">C16*C18</f>
        <v>27.499159663865548</v>
      </c>
      <c r="D20" s="23">
        <f t="shared" ca="1" si="2"/>
        <v>3395.3095129123044</v>
      </c>
      <c r="E20" s="23">
        <f t="shared" si="2"/>
        <v>37.271774360546125</v>
      </c>
      <c r="F20" s="23">
        <f t="shared" ca="1" si="2"/>
        <v>367.08782415427441</v>
      </c>
      <c r="G20" s="23">
        <f t="shared" si="2"/>
        <v>0</v>
      </c>
      <c r="H20" s="23">
        <f t="shared" si="2"/>
        <v>0</v>
      </c>
      <c r="I20" s="23">
        <f t="shared" si="2"/>
        <v>0</v>
      </c>
      <c r="J20" s="23">
        <f t="shared" si="2"/>
        <v>1.4115507525758761E-2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1237.485443</v>
      </c>
      <c r="C26" s="39">
        <f>IF(ISERROR(B26*3.6/1000000/'E Balans VL '!Z12*100),0,B26*3.6/1000000/'E Balans VL '!Z12*100)</f>
        <v>2.6252121504075791E-2</v>
      </c>
      <c r="D26" s="237" t="s">
        <v>716</v>
      </c>
      <c r="F26" s="6"/>
    </row>
    <row r="27" spans="1:18">
      <c r="A27" s="231" t="s">
        <v>52</v>
      </c>
      <c r="B27" s="33">
        <f>IF(ISERROR(TER_horeca_ele_kWh/1000),0,TER_horeca_ele_kWh/1000)</f>
        <v>1083.6590000000001</v>
      </c>
      <c r="C27" s="39">
        <f>IF(ISERROR(B27*3.6/1000000/'E Balans VL '!Z9*100),0,B27*3.6/1000000/'E Balans VL '!Z9*100)</f>
        <v>8.1609122300357689E-2</v>
      </c>
      <c r="D27" s="237" t="s">
        <v>716</v>
      </c>
      <c r="F27" s="6"/>
    </row>
    <row r="28" spans="1:18">
      <c r="A28" s="171" t="s">
        <v>51</v>
      </c>
      <c r="B28" s="33">
        <f>IF(ISERROR(TER_handel_ele_kWh/1000),0,TER_handel_ele_kWh/1000)</f>
        <v>4664.8929390000003</v>
      </c>
      <c r="C28" s="39">
        <f>IF(ISERROR(B28*3.6/1000000/'E Balans VL '!Z13*100),0,B28*3.6/1000000/'E Balans VL '!Z13*100)</f>
        <v>0.13540531301386433</v>
      </c>
      <c r="D28" s="237" t="s">
        <v>716</v>
      </c>
      <c r="F28" s="6"/>
    </row>
    <row r="29" spans="1:18">
      <c r="A29" s="231" t="s">
        <v>50</v>
      </c>
      <c r="B29" s="33">
        <f>IF(ISERROR(TER_gezond_ele_kWh/1000),0,TER_gezond_ele_kWh/1000)</f>
        <v>2976.4549999999999</v>
      </c>
      <c r="C29" s="39">
        <f>IF(ISERROR(B29*3.6/1000000/'E Balans VL '!Z10*100),0,B29*3.6/1000000/'E Balans VL '!Z10*100)</f>
        <v>0.3001790363171582</v>
      </c>
      <c r="D29" s="237" t="s">
        <v>716</v>
      </c>
      <c r="F29" s="6"/>
    </row>
    <row r="30" spans="1:18">
      <c r="A30" s="231" t="s">
        <v>49</v>
      </c>
      <c r="B30" s="33">
        <f>IF(ISERROR(TER_ander_ele_kWh/1000),0,TER_ander_ele_kWh/1000)</f>
        <v>2348.8564289999999</v>
      </c>
      <c r="C30" s="39">
        <f>IF(ISERROR(B30*3.6/1000000/'E Balans VL '!Z14*100),0,B30*3.6/1000000/'E Balans VL '!Z14*100)</f>
        <v>0.17044157820112271</v>
      </c>
      <c r="D30" s="237" t="s">
        <v>716</v>
      </c>
      <c r="F30" s="6"/>
    </row>
    <row r="31" spans="1:18">
      <c r="A31" s="231" t="s">
        <v>54</v>
      </c>
      <c r="B31" s="33">
        <f>IF(ISERROR(TER_onderwijs_ele_kWh/1000),0,TER_onderwijs_ele_kWh/1000)</f>
        <v>321.80700000000002</v>
      </c>
      <c r="C31" s="39">
        <f>IF(ISERROR(B31*3.6/1000000/'E Balans VL '!Z11*100),0,B31*3.6/1000000/'E Balans VL '!Z11*100)</f>
        <v>9.1728099591237289E-2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56889.114118999998</v>
      </c>
      <c r="C5" s="17">
        <f>IF(ISERROR('Eigen informatie GS &amp; warmtenet'!B61),0,'Eigen informatie GS &amp; warmtenet'!B61)</f>
        <v>0</v>
      </c>
      <c r="D5" s="30">
        <f>SUM(D6:D15)</f>
        <v>24877.541436858002</v>
      </c>
      <c r="E5" s="17">
        <f>SUM(E6:E15)</f>
        <v>6971.3331432908426</v>
      </c>
      <c r="F5" s="17">
        <f>SUM(F6:F15)</f>
        <v>20963.358780285445</v>
      </c>
      <c r="G5" s="18"/>
      <c r="H5" s="17"/>
      <c r="I5" s="17"/>
      <c r="J5" s="17">
        <f>SUM(J6:J15)</f>
        <v>1101.1281443966659</v>
      </c>
      <c r="K5" s="17"/>
      <c r="L5" s="17"/>
      <c r="M5" s="17"/>
      <c r="N5" s="17">
        <f>SUM(N6:N15)</f>
        <v>1749.9485977054983</v>
      </c>
      <c r="O5" s="17">
        <f>B43*B44*B45</f>
        <v>0</v>
      </c>
      <c r="P5" s="17">
        <f>B51*B52*B53/1000-B51*B52*B53/1000/B54</f>
        <v>0</v>
      </c>
      <c r="R5" s="32"/>
    </row>
    <row r="6" spans="1:18">
      <c r="A6" s="6" t="s">
        <v>34</v>
      </c>
      <c r="B6" s="37">
        <f>IF( ISERROR(IND_ijzer_ele_kWh/1000),0,IND_ijzer_ele_kWh/1000)</f>
        <v>20972.05</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511.059798</v>
      </c>
      <c r="C8" s="33"/>
      <c r="D8" s="37">
        <f>IF( ISERROR(IND_metaal_Gas_kWH/1000),0,IND_metaal_Gas_kWH/1000)*0.902</f>
        <v>314.61381160000002</v>
      </c>
      <c r="E8" s="33">
        <f>C30*'E Balans VL '!I18/100/3.6*1000000</f>
        <v>3.6869377472802585</v>
      </c>
      <c r="F8" s="33">
        <f>C30*'E Balans VL '!L18/100/3.6*1000000+C30*'E Balans VL '!N18/100/3.6*1000000</f>
        <v>48.336833608227835</v>
      </c>
      <c r="G8" s="34"/>
      <c r="H8" s="33"/>
      <c r="I8" s="33"/>
      <c r="J8" s="40">
        <f>C30*'E Balans VL '!D18/100/3.6*1000000+C30*'E Balans VL '!E18/100/3.6*1000000</f>
        <v>0.51402691469813588</v>
      </c>
      <c r="K8" s="33"/>
      <c r="L8" s="33"/>
      <c r="M8" s="33"/>
      <c r="N8" s="33">
        <f>C30*'E Balans VL '!Y18/100/3.6*1000000</f>
        <v>6.4611479774544387</v>
      </c>
      <c r="O8" s="33"/>
      <c r="P8" s="33"/>
      <c r="R8" s="32"/>
    </row>
    <row r="9" spans="1:18">
      <c r="A9" s="6" t="s">
        <v>32</v>
      </c>
      <c r="B9" s="37">
        <f t="shared" si="0"/>
        <v>25073.949293000001</v>
      </c>
      <c r="C9" s="33"/>
      <c r="D9" s="37">
        <f>IF( ISERROR(IND_andere_gas_kWh/1000),0,IND_andere_gas_kWh/1000)*0.902</f>
        <v>5642.8083412579999</v>
      </c>
      <c r="E9" s="33">
        <f>C31*'E Balans VL '!I19/100/3.6*1000000</f>
        <v>6948.3266297970622</v>
      </c>
      <c r="F9" s="33">
        <f>C31*'E Balans VL '!L19/100/3.6*1000000+C31*'E Balans VL '!N19/100/3.6*1000000</f>
        <v>20781.343359260427</v>
      </c>
      <c r="G9" s="34"/>
      <c r="H9" s="33"/>
      <c r="I9" s="33"/>
      <c r="J9" s="40">
        <f>C31*'E Balans VL '!D19/100/3.6*1000000+C31*'E Balans VL '!E19/100/3.6*1000000</f>
        <v>0</v>
      </c>
      <c r="K9" s="33"/>
      <c r="L9" s="33"/>
      <c r="M9" s="33"/>
      <c r="N9" s="33">
        <f>C31*'E Balans VL '!Y19/100/3.6*1000000</f>
        <v>1820.0620310704794</v>
      </c>
      <c r="O9" s="33"/>
      <c r="P9" s="33"/>
      <c r="R9" s="32"/>
    </row>
    <row r="10" spans="1:18">
      <c r="A10" s="6" t="s">
        <v>40</v>
      </c>
      <c r="B10" s="37">
        <f t="shared" si="0"/>
        <v>190.126</v>
      </c>
      <c r="C10" s="33"/>
      <c r="D10" s="37">
        <f>IF( ISERROR(IND_voed_gas_kWh/1000),0,IND_voed_gas_kWh/1000)*0.902</f>
        <v>247.04517200000004</v>
      </c>
      <c r="E10" s="33">
        <f>C32*'E Balans VL '!I20/100/3.6*1000000</f>
        <v>0.33658741980505585</v>
      </c>
      <c r="F10" s="33">
        <f>C32*'E Balans VL '!L20/100/3.6*1000000+C32*'E Balans VL '!N20/100/3.6*1000000</f>
        <v>10.268489071622659</v>
      </c>
      <c r="G10" s="34"/>
      <c r="H10" s="33"/>
      <c r="I10" s="33"/>
      <c r="J10" s="40">
        <f>C32*'E Balans VL '!D20/100/3.6*1000000+C32*'E Balans VL '!E20/100/3.6*1000000</f>
        <v>0</v>
      </c>
      <c r="K10" s="33"/>
      <c r="L10" s="33"/>
      <c r="M10" s="33"/>
      <c r="N10" s="33">
        <f>C32*'E Balans VL '!Y20/100/3.6*1000000</f>
        <v>11.047772610355338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10053.245999999999</v>
      </c>
      <c r="C13" s="33"/>
      <c r="D13" s="37">
        <f>IF( ISERROR(IND_papier_gas_kWh/1000),0,IND_papier_gas_kWh/1000)*0.902</f>
        <v>18646.907994000001</v>
      </c>
      <c r="E13" s="33">
        <f>C35*'E Balans VL '!I23/100/3.6*1000000</f>
        <v>14.791776951381694</v>
      </c>
      <c r="F13" s="33">
        <f>C35*'E Balans VL '!L23/100/3.6*1000000+C35*'E Balans VL '!N23/100/3.6*1000000</f>
        <v>107.64318651889386</v>
      </c>
      <c r="G13" s="34"/>
      <c r="H13" s="33"/>
      <c r="I13" s="33"/>
      <c r="J13" s="40">
        <f>C35*'E Balans VL '!D23/100/3.6*1000000+C35*'E Balans VL '!E23/100/3.6*1000000</f>
        <v>1099.8814880534771</v>
      </c>
      <c r="K13" s="33"/>
      <c r="L13" s="33"/>
      <c r="M13" s="33"/>
      <c r="N13" s="33">
        <f>C35*'E Balans VL '!Y23/100/3.6*1000000</f>
        <v>-91.073794458407903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88.683028000000007</v>
      </c>
      <c r="C15" s="33"/>
      <c r="D15" s="37">
        <f>IF( ISERROR(IND_rest_gas_kWh/1000),0,IND_rest_gas_kWh/1000)*0.902</f>
        <v>26.166118000000001</v>
      </c>
      <c r="E15" s="33">
        <f>C37*'E Balans VL '!I15/100/3.6*1000000</f>
        <v>4.1912113753129638</v>
      </c>
      <c r="F15" s="33">
        <f>C37*'E Balans VL '!L15/100/3.6*1000000+C37*'E Balans VL '!N15/100/3.6*1000000</f>
        <v>15.766911826274461</v>
      </c>
      <c r="G15" s="34"/>
      <c r="H15" s="33"/>
      <c r="I15" s="33"/>
      <c r="J15" s="40">
        <f>C37*'E Balans VL '!D15/100/3.6*1000000+C37*'E Balans VL '!E15/100/3.6*1000000</f>
        <v>0.73262942849061075</v>
      </c>
      <c r="K15" s="33"/>
      <c r="L15" s="33"/>
      <c r="M15" s="33"/>
      <c r="N15" s="33">
        <f>C37*'E Balans VL '!Y15/100/3.6*1000000</f>
        <v>3.4514405056170134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56889.114118999998</v>
      </c>
      <c r="C18" s="21">
        <f>C5+C16</f>
        <v>0</v>
      </c>
      <c r="D18" s="21">
        <f>MAX((D5+D16),0)</f>
        <v>24877.541436858002</v>
      </c>
      <c r="E18" s="21">
        <f>MAX((E5+E16),0)</f>
        <v>6971.3331432908426</v>
      </c>
      <c r="F18" s="21">
        <f>MAX((F5+F16),0)</f>
        <v>20963.358780285445</v>
      </c>
      <c r="G18" s="21"/>
      <c r="H18" s="21"/>
      <c r="I18" s="21"/>
      <c r="J18" s="21">
        <f>MAX((J5+J16),0)</f>
        <v>1101.1281443966659</v>
      </c>
      <c r="K18" s="21"/>
      <c r="L18" s="21">
        <f>MAX((L5+L16),0)</f>
        <v>0</v>
      </c>
      <c r="M18" s="21"/>
      <c r="N18" s="21">
        <f>MAX((N5+N16),0)</f>
        <v>1749.9485977054983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0.19150349001479891</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10894.463897638672</v>
      </c>
      <c r="C22" s="23">
        <f ca="1">C18*C20</f>
        <v>0</v>
      </c>
      <c r="D22" s="23">
        <f>D18*D20</f>
        <v>5025.2633702453168</v>
      </c>
      <c r="E22" s="23">
        <f>E18*E20</f>
        <v>1582.4926235270214</v>
      </c>
      <c r="F22" s="23">
        <f>F18*F20</f>
        <v>5597.2167943362147</v>
      </c>
      <c r="G22" s="23"/>
      <c r="H22" s="23"/>
      <c r="I22" s="23"/>
      <c r="J22" s="23">
        <f>J18*J20</f>
        <v>389.79936311641973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511.059798</v>
      </c>
      <c r="C30" s="39">
        <f>IF(ISERROR(B30*3.6/1000000/'E Balans VL '!Z18*100),0,B30*3.6/1000000/'E Balans VL '!Z18*100)</f>
        <v>2.9502684707576086E-2</v>
      </c>
      <c r="D30" s="237" t="s">
        <v>716</v>
      </c>
    </row>
    <row r="31" spans="1:18">
      <c r="A31" s="6" t="s">
        <v>32</v>
      </c>
      <c r="B31" s="37">
        <f>IF( ISERROR(IND_ander_ele_kWh/1000),0,IND_ander_ele_kWh/1000)</f>
        <v>25073.949293000001</v>
      </c>
      <c r="C31" s="39">
        <f>IF(ISERROR(B31*3.6/1000000/'E Balans VL '!Z19*100),0,B31*3.6/1000000/'E Balans VL '!Z19*100)</f>
        <v>1.2611383753782777</v>
      </c>
      <c r="D31" s="237" t="s">
        <v>716</v>
      </c>
    </row>
    <row r="32" spans="1:18">
      <c r="A32" s="171" t="s">
        <v>40</v>
      </c>
      <c r="B32" s="37">
        <f>IF( ISERROR(IND_voed_ele_kWh/1000),0,IND_voed_ele_kWh/1000)</f>
        <v>190.126</v>
      </c>
      <c r="C32" s="39">
        <f>IF(ISERROR(B32*3.6/1000000/'E Balans VL '!Z20*100),0,B32*3.6/1000000/'E Balans VL '!Z20*100)</f>
        <v>6.3323248153554779E-3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10053.245999999999</v>
      </c>
      <c r="C35" s="39">
        <f>IF(ISERROR(B35*3.6/1000000/'E Balans VL '!Z22*100),0,B35*3.6/1000000/'E Balans VL '!Z22*100)</f>
        <v>1.8752699410387021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88.683028000000007</v>
      </c>
      <c r="C37" s="39">
        <f>IF(ISERROR(B37*3.6/1000000/'E Balans VL '!Z15*100),0,B37*3.6/1000000/'E Balans VL '!Z15*100)</f>
        <v>6.919701337746684E-4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5155.9755269999996</v>
      </c>
      <c r="C5" s="17">
        <f>'Eigen informatie GS &amp; warmtenet'!B62</f>
        <v>0</v>
      </c>
      <c r="D5" s="30">
        <f>IF(ISERROR(SUM(LB_lb_gas_kWh,LB_rest_gas_kWh)/1000),0,SUM(LB_lb_gas_kWh,LB_rest_gas_kWh)/1000)*0.902</f>
        <v>3737.8678917140001</v>
      </c>
      <c r="E5" s="17">
        <f>B17*'E Balans VL '!I25/3.6*1000000/100</f>
        <v>160.91629596669512</v>
      </c>
      <c r="F5" s="17">
        <f>B17*('E Balans VL '!L25/3.6*1000000+'E Balans VL '!N25/3.6*1000000)/100</f>
        <v>18221.788675979176</v>
      </c>
      <c r="G5" s="18"/>
      <c r="H5" s="17"/>
      <c r="I5" s="17"/>
      <c r="J5" s="17">
        <f>('E Balans VL '!D25+'E Balans VL '!E25)/3.6*1000000*landbouw!B17/100</f>
        <v>1420.5070140654134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5155.9755269999996</v>
      </c>
      <c r="C8" s="21">
        <f>C5+C6</f>
        <v>0</v>
      </c>
      <c r="D8" s="21">
        <f>MAX((D5+D6),0)</f>
        <v>3737.8678917140001</v>
      </c>
      <c r="E8" s="21">
        <f>MAX((E5+E6),0)</f>
        <v>160.91629596669512</v>
      </c>
      <c r="F8" s="21">
        <f>MAX((F5+F6),0)</f>
        <v>18221.788675979176</v>
      </c>
      <c r="G8" s="21"/>
      <c r="H8" s="21"/>
      <c r="I8" s="21"/>
      <c r="J8" s="21">
        <f>MAX((J5+J6),0)</f>
        <v>1420.5070140654134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0.19150349001479891</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987.38730785139194</v>
      </c>
      <c r="C12" s="23">
        <f ca="1">C8*C10</f>
        <v>0</v>
      </c>
      <c r="D12" s="23">
        <f>D8*D10</f>
        <v>755.04931412622807</v>
      </c>
      <c r="E12" s="23">
        <f>E8*E10</f>
        <v>36.527999184439793</v>
      </c>
      <c r="F12" s="23">
        <f>F8*F10</f>
        <v>4865.2175764864405</v>
      </c>
      <c r="G12" s="23"/>
      <c r="H12" s="23"/>
      <c r="I12" s="23"/>
      <c r="J12" s="23">
        <f>J8*J10</f>
        <v>502.85948297915633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0.76647272362220453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403.8402780811038</v>
      </c>
      <c r="C26" s="247">
        <f>B26*'GWP N2O_CH4'!B5</f>
        <v>8480.6458397031802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426.30538800993003</v>
      </c>
      <c r="C27" s="247">
        <f>B27*'GWP N2O_CH4'!B5</f>
        <v>8952.4131482085304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6.113361559519908</v>
      </c>
      <c r="C28" s="247">
        <f>B28*'GWP N2O_CH4'!B4</f>
        <v>1895.1420834511714</v>
      </c>
      <c r="D28" s="50"/>
    </row>
    <row r="29" spans="1:4">
      <c r="A29" s="41" t="s">
        <v>276</v>
      </c>
      <c r="B29" s="247">
        <f>B34*'ha_N2O bodem landbouw'!B4</f>
        <v>18.008354782908544</v>
      </c>
      <c r="C29" s="247">
        <f>B29*'GWP N2O_CH4'!B4</f>
        <v>5582.5899827016483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3.9489079707542996E-3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1.1349898538499999E-4</v>
      </c>
      <c r="C5" s="463" t="s">
        <v>210</v>
      </c>
      <c r="D5" s="448">
        <f>SUM(D6:D11)</f>
        <v>4.8081462532580403E-4</v>
      </c>
      <c r="E5" s="448">
        <f>SUM(E6:E11)</f>
        <v>3.6741969331644995E-4</v>
      </c>
      <c r="F5" s="461" t="s">
        <v>210</v>
      </c>
      <c r="G5" s="448">
        <f>SUM(G6:G11)</f>
        <v>0.1713678957324769</v>
      </c>
      <c r="H5" s="448">
        <f>SUM(H6:H11)</f>
        <v>3.5721108585261341E-2</v>
      </c>
      <c r="I5" s="463" t="s">
        <v>210</v>
      </c>
      <c r="J5" s="463" t="s">
        <v>210</v>
      </c>
      <c r="K5" s="463" t="s">
        <v>210</v>
      </c>
      <c r="L5" s="463" t="s">
        <v>210</v>
      </c>
      <c r="M5" s="448">
        <f>SUM(M6:M11)</f>
        <v>1.2228689894982559E-2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8.1308279914999994E-5</v>
      </c>
      <c r="C6" s="449"/>
      <c r="D6" s="917">
        <f>vkm_2011_GW_PW*SUMIFS(TableVerdeelsleutelVkm[CNG],TableVerdeelsleutelVkm[Voertuigtype],"Lichte voertuigen")*SUMIFS(TableECFTransport[EnergieConsumptieFactor (PJ per km)],TableECFTransport[Index],CONCATENATE($A6,"_CNG_CNG"))</f>
        <v>2.82722738705484E-4</v>
      </c>
      <c r="E6" s="917">
        <f>vkm_2011_GW_PW*SUMIFS(TableVerdeelsleutelVkm[LPG],TableVerdeelsleutelVkm[Voertuigtype],"Lichte voertuigen")*SUMIFS(TableECFTransport[EnergieConsumptieFactor (PJ per km)],TableECFTransport[Index],CONCATENATE($A6,"_LPG_LPG"))</f>
        <v>2.2273893806279999E-4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6.0632128824506235E-2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2.1217217997223876E-2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4.8910129242353455E-3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4.9115926816073401E-2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1.2373884718735909E-5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2.832177789056018E-3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3.2190705469999999E-5</v>
      </c>
      <c r="C8" s="449"/>
      <c r="D8" s="451">
        <f>vkm_2011_NGW_PW*SUMIFS(TableVerdeelsleutelVkm[CNG],TableVerdeelsleutelVkm[Voertuigtype],"Lichte voertuigen")*SUMIFS(TableECFTransport[EnergieConsumptieFactor (PJ per km)],TableECFTransport[Index],CONCATENATE($A8,"_CNG_CNG"))</f>
        <v>1.9809188662032001E-4</v>
      </c>
      <c r="E8" s="451">
        <f>vkm_2011_NGW_PW*SUMIFS(TableVerdeelsleutelVkm[LPG],TableVerdeelsleutelVkm[Voertuigtype],"Lichte voertuigen")*SUMIFS(TableECFTransport[EnergieConsumptieFactor (PJ per km)],TableECFTransport[Index],CONCATENATE($A8,"_LPG_LPG"))</f>
        <v>1.4468075525364999E-4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3.6546950987474992E-2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1.4485556580730884E-2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3.0597415182444729E-3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2.5072889104422277E-2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5.9601225878448906E-6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1.4457576634467238E-3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31.527495940277777</v>
      </c>
      <c r="C14" s="21"/>
      <c r="D14" s="21">
        <f t="shared" ref="D14:M14" si="0">((D5)*10^9/3600)+D12</f>
        <v>133.55961814605669</v>
      </c>
      <c r="E14" s="21">
        <f t="shared" si="0"/>
        <v>102.06102592123609</v>
      </c>
      <c r="F14" s="21"/>
      <c r="G14" s="21">
        <f t="shared" si="0"/>
        <v>47602.193259021362</v>
      </c>
      <c r="H14" s="21">
        <f t="shared" si="0"/>
        <v>9922.5301625725933</v>
      </c>
      <c r="I14" s="21"/>
      <c r="J14" s="21"/>
      <c r="K14" s="21"/>
      <c r="L14" s="21"/>
      <c r="M14" s="21">
        <f t="shared" si="0"/>
        <v>3396.8583041618222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0.19150349001479891</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6.0376255039905988</v>
      </c>
      <c r="C18" s="23"/>
      <c r="D18" s="23">
        <f t="shared" ref="D18:M18" si="1">D14*D16</f>
        <v>26.979042865503455</v>
      </c>
      <c r="E18" s="23">
        <f t="shared" si="1"/>
        <v>23.167852884120595</v>
      </c>
      <c r="F18" s="23"/>
      <c r="G18" s="23">
        <f t="shared" si="1"/>
        <v>12709.785600158704</v>
      </c>
      <c r="H18" s="23">
        <f t="shared" si="1"/>
        <v>2470.7100104805759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1.7615781187906513E-3</v>
      </c>
      <c r="H50" s="321">
        <f t="shared" si="2"/>
        <v>0</v>
      </c>
      <c r="I50" s="321">
        <f t="shared" si="2"/>
        <v>0</v>
      </c>
      <c r="J50" s="321">
        <f t="shared" si="2"/>
        <v>0</v>
      </c>
      <c r="K50" s="321">
        <f t="shared" si="2"/>
        <v>0</v>
      </c>
      <c r="L50" s="321">
        <f t="shared" si="2"/>
        <v>0</v>
      </c>
      <c r="M50" s="321">
        <f t="shared" si="2"/>
        <v>9.790870675029598E-5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1.7615781187906513E-3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9.790870675029598E-5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489.32725521962539</v>
      </c>
      <c r="H54" s="21">
        <f t="shared" si="3"/>
        <v>0</v>
      </c>
      <c r="I54" s="21">
        <f t="shared" si="3"/>
        <v>0</v>
      </c>
      <c r="J54" s="21">
        <f t="shared" si="3"/>
        <v>0</v>
      </c>
      <c r="K54" s="21">
        <f t="shared" si="3"/>
        <v>0</v>
      </c>
      <c r="L54" s="21">
        <f t="shared" si="3"/>
        <v>0</v>
      </c>
      <c r="M54" s="21">
        <f t="shared" si="3"/>
        <v>27.196862986193327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0.19150349001479891</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130.65037714363999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18201.017811000002</v>
      </c>
      <c r="D10" s="712">
        <f ca="1">tertiair!C16</f>
        <v>6955.7142857142853</v>
      </c>
      <c r="E10" s="712">
        <f ca="1">tertiair!D16</f>
        <v>16808.462935209427</v>
      </c>
      <c r="F10" s="712">
        <f>tertiair!E16</f>
        <v>164.1928385927142</v>
      </c>
      <c r="G10" s="712">
        <f ca="1">tertiair!F16</f>
        <v>1374.8607646227506</v>
      </c>
      <c r="H10" s="712">
        <f>tertiair!G16</f>
        <v>0</v>
      </c>
      <c r="I10" s="712">
        <f>tertiair!H16</f>
        <v>0</v>
      </c>
      <c r="J10" s="712">
        <f>tertiair!I16</f>
        <v>0</v>
      </c>
      <c r="K10" s="712">
        <f>tertiair!J16</f>
        <v>3.9874315044516273E-2</v>
      </c>
      <c r="L10" s="712">
        <f>tertiair!K16</f>
        <v>0</v>
      </c>
      <c r="M10" s="712">
        <f ca="1">tertiair!L16</f>
        <v>0</v>
      </c>
      <c r="N10" s="712">
        <f>tertiair!M16</f>
        <v>0</v>
      </c>
      <c r="O10" s="712">
        <f ca="1">tertiair!N16</f>
        <v>0</v>
      </c>
      <c r="P10" s="712">
        <f>tertiair!O16</f>
        <v>4.8972607658411542</v>
      </c>
      <c r="Q10" s="713">
        <f>tertiair!P16</f>
        <v>315.23482983897009</v>
      </c>
      <c r="R10" s="715">
        <f ca="1">SUM(C10:Q10)</f>
        <v>43824.420600059042</v>
      </c>
      <c r="S10" s="67"/>
    </row>
    <row r="11" spans="1:19" s="474" customFormat="1">
      <c r="A11" s="834" t="s">
        <v>224</v>
      </c>
      <c r="B11" s="839"/>
      <c r="C11" s="712">
        <f>huishoudens!B8</f>
        <v>16714.595563192626</v>
      </c>
      <c r="D11" s="712">
        <f>huishoudens!C8</f>
        <v>0</v>
      </c>
      <c r="E11" s="712">
        <f>huishoudens!D8</f>
        <v>33275.456996100002</v>
      </c>
      <c r="F11" s="712">
        <f>huishoudens!E8</f>
        <v>10142.743630870566</v>
      </c>
      <c r="G11" s="712">
        <f>huishoudens!F8</f>
        <v>8148.3915717499012</v>
      </c>
      <c r="H11" s="712">
        <f>huishoudens!G8</f>
        <v>0</v>
      </c>
      <c r="I11" s="712">
        <f>huishoudens!H8</f>
        <v>0</v>
      </c>
      <c r="J11" s="712">
        <f>huishoudens!I8</f>
        <v>0</v>
      </c>
      <c r="K11" s="712">
        <f>huishoudens!J8</f>
        <v>208.40827194120359</v>
      </c>
      <c r="L11" s="712">
        <f>huishoudens!K8</f>
        <v>0</v>
      </c>
      <c r="M11" s="712">
        <f>huishoudens!L8</f>
        <v>0</v>
      </c>
      <c r="N11" s="712">
        <f>huishoudens!M8</f>
        <v>0</v>
      </c>
      <c r="O11" s="712">
        <f>huishoudens!N8</f>
        <v>13829.148118103292</v>
      </c>
      <c r="P11" s="712">
        <f>huishoudens!O8</f>
        <v>456.3103904590173</v>
      </c>
      <c r="Q11" s="713">
        <f>huishoudens!P8</f>
        <v>368.6885757689758</v>
      </c>
      <c r="R11" s="715">
        <f>SUM(C11:Q11)</f>
        <v>83143.743118185594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56889.114118999998</v>
      </c>
      <c r="D13" s="712">
        <f>industrie!C18</f>
        <v>0</v>
      </c>
      <c r="E13" s="712">
        <f>industrie!D18</f>
        <v>24877.541436858002</v>
      </c>
      <c r="F13" s="712">
        <f>industrie!E18</f>
        <v>6971.3331432908426</v>
      </c>
      <c r="G13" s="712">
        <f>industrie!F18</f>
        <v>20963.358780285445</v>
      </c>
      <c r="H13" s="712">
        <f>industrie!G18</f>
        <v>0</v>
      </c>
      <c r="I13" s="712">
        <f>industrie!H18</f>
        <v>0</v>
      </c>
      <c r="J13" s="712">
        <f>industrie!I18</f>
        <v>0</v>
      </c>
      <c r="K13" s="712">
        <f>industrie!J18</f>
        <v>1101.1281443966659</v>
      </c>
      <c r="L13" s="712">
        <f>industrie!K18</f>
        <v>0</v>
      </c>
      <c r="M13" s="712">
        <f>industrie!L18</f>
        <v>0</v>
      </c>
      <c r="N13" s="712">
        <f>industrie!M18</f>
        <v>0</v>
      </c>
      <c r="O13" s="712">
        <f>industrie!N18</f>
        <v>1749.9485977054983</v>
      </c>
      <c r="P13" s="712">
        <f>industrie!O18</f>
        <v>0</v>
      </c>
      <c r="Q13" s="713">
        <f>industrie!P18</f>
        <v>0</v>
      </c>
      <c r="R13" s="715">
        <f>SUM(C13:Q13)</f>
        <v>112552.42422153646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91804.727493192622</v>
      </c>
      <c r="D16" s="748">
        <f t="shared" ref="D16:R16" ca="1" si="0">SUM(D9:D15)</f>
        <v>6955.7142857142853</v>
      </c>
      <c r="E16" s="748">
        <f t="shared" ca="1" si="0"/>
        <v>74961.461368167424</v>
      </c>
      <c r="F16" s="748">
        <f t="shared" si="0"/>
        <v>17278.269612754124</v>
      </c>
      <c r="G16" s="748">
        <f t="shared" ca="1" si="0"/>
        <v>30486.611116658096</v>
      </c>
      <c r="H16" s="748">
        <f t="shared" si="0"/>
        <v>0</v>
      </c>
      <c r="I16" s="748">
        <f t="shared" si="0"/>
        <v>0</v>
      </c>
      <c r="J16" s="748">
        <f t="shared" si="0"/>
        <v>0</v>
      </c>
      <c r="K16" s="748">
        <f t="shared" si="0"/>
        <v>1309.5762906529139</v>
      </c>
      <c r="L16" s="748">
        <f t="shared" si="0"/>
        <v>0</v>
      </c>
      <c r="M16" s="748">
        <f t="shared" ca="1" si="0"/>
        <v>0</v>
      </c>
      <c r="N16" s="748">
        <f t="shared" si="0"/>
        <v>0</v>
      </c>
      <c r="O16" s="748">
        <f t="shared" ca="1" si="0"/>
        <v>15579.096715808791</v>
      </c>
      <c r="P16" s="748">
        <f t="shared" si="0"/>
        <v>461.20765122485847</v>
      </c>
      <c r="Q16" s="748">
        <f t="shared" si="0"/>
        <v>683.92340560794582</v>
      </c>
      <c r="R16" s="748">
        <f t="shared" ca="1" si="0"/>
        <v>239520.58793978111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489.32725521962539</v>
      </c>
      <c r="I19" s="712">
        <f>transport!H54</f>
        <v>0</v>
      </c>
      <c r="J19" s="712">
        <f>transport!I54</f>
        <v>0</v>
      </c>
      <c r="K19" s="712">
        <f>transport!J54</f>
        <v>0</v>
      </c>
      <c r="L19" s="712">
        <f>transport!K54</f>
        <v>0</v>
      </c>
      <c r="M19" s="712">
        <f>transport!L54</f>
        <v>0</v>
      </c>
      <c r="N19" s="712">
        <f>transport!M54</f>
        <v>27.196862986193327</v>
      </c>
      <c r="O19" s="712">
        <f>transport!N54</f>
        <v>0</v>
      </c>
      <c r="P19" s="712">
        <f>transport!O54</f>
        <v>0</v>
      </c>
      <c r="Q19" s="713">
        <f>transport!P54</f>
        <v>0</v>
      </c>
      <c r="R19" s="715">
        <f>SUM(C19:Q19)</f>
        <v>516.5241182058187</v>
      </c>
      <c r="S19" s="67"/>
    </row>
    <row r="20" spans="1:19" s="474" customFormat="1">
      <c r="A20" s="834" t="s">
        <v>306</v>
      </c>
      <c r="B20" s="839"/>
      <c r="C20" s="712">
        <f>transport!B14</f>
        <v>31.527495940277777</v>
      </c>
      <c r="D20" s="712">
        <f>transport!C14</f>
        <v>0</v>
      </c>
      <c r="E20" s="712">
        <f>transport!D14</f>
        <v>133.55961814605669</v>
      </c>
      <c r="F20" s="712">
        <f>transport!E14</f>
        <v>102.06102592123609</v>
      </c>
      <c r="G20" s="712">
        <f>transport!F14</f>
        <v>0</v>
      </c>
      <c r="H20" s="712">
        <f>transport!G14</f>
        <v>47602.193259021362</v>
      </c>
      <c r="I20" s="712">
        <f>transport!H14</f>
        <v>9922.5301625725933</v>
      </c>
      <c r="J20" s="712">
        <f>transport!I14</f>
        <v>0</v>
      </c>
      <c r="K20" s="712">
        <f>transport!J14</f>
        <v>0</v>
      </c>
      <c r="L20" s="712">
        <f>transport!K14</f>
        <v>0</v>
      </c>
      <c r="M20" s="712">
        <f>transport!L14</f>
        <v>0</v>
      </c>
      <c r="N20" s="712">
        <f>transport!M14</f>
        <v>3396.8583041618222</v>
      </c>
      <c r="O20" s="712">
        <f>transport!N14</f>
        <v>0</v>
      </c>
      <c r="P20" s="712">
        <f>transport!O14</f>
        <v>0</v>
      </c>
      <c r="Q20" s="713">
        <f>transport!P14</f>
        <v>0</v>
      </c>
      <c r="R20" s="715">
        <f>SUM(C20:Q20)</f>
        <v>61188.729865763351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31.527495940277777</v>
      </c>
      <c r="D22" s="837">
        <f t="shared" ref="D22:R22" si="1">SUM(D18:D21)</f>
        <v>0</v>
      </c>
      <c r="E22" s="837">
        <f t="shared" si="1"/>
        <v>133.55961814605669</v>
      </c>
      <c r="F22" s="837">
        <f t="shared" si="1"/>
        <v>102.06102592123609</v>
      </c>
      <c r="G22" s="837">
        <f t="shared" si="1"/>
        <v>0</v>
      </c>
      <c r="H22" s="837">
        <f t="shared" si="1"/>
        <v>48091.52051424099</v>
      </c>
      <c r="I22" s="837">
        <f t="shared" si="1"/>
        <v>9922.5301625725933</v>
      </c>
      <c r="J22" s="837">
        <f t="shared" si="1"/>
        <v>0</v>
      </c>
      <c r="K22" s="837">
        <f t="shared" si="1"/>
        <v>0</v>
      </c>
      <c r="L22" s="837">
        <f t="shared" si="1"/>
        <v>0</v>
      </c>
      <c r="M22" s="837">
        <f t="shared" si="1"/>
        <v>0</v>
      </c>
      <c r="N22" s="837">
        <f t="shared" si="1"/>
        <v>3424.0551671480157</v>
      </c>
      <c r="O22" s="837">
        <f t="shared" si="1"/>
        <v>0</v>
      </c>
      <c r="P22" s="837">
        <f t="shared" si="1"/>
        <v>0</v>
      </c>
      <c r="Q22" s="837">
        <f t="shared" si="1"/>
        <v>0</v>
      </c>
      <c r="R22" s="837">
        <f t="shared" si="1"/>
        <v>61705.253983969167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5155.9755269999996</v>
      </c>
      <c r="D24" s="712">
        <f>+landbouw!C8</f>
        <v>0</v>
      </c>
      <c r="E24" s="712">
        <f>+landbouw!D8</f>
        <v>3737.8678917140001</v>
      </c>
      <c r="F24" s="712">
        <f>+landbouw!E8</f>
        <v>160.91629596669512</v>
      </c>
      <c r="G24" s="712">
        <f>+landbouw!F8</f>
        <v>18221.788675979176</v>
      </c>
      <c r="H24" s="712">
        <f>+landbouw!G8</f>
        <v>0</v>
      </c>
      <c r="I24" s="712">
        <f>+landbouw!H8</f>
        <v>0</v>
      </c>
      <c r="J24" s="712">
        <f>+landbouw!I8</f>
        <v>0</v>
      </c>
      <c r="K24" s="712">
        <f>+landbouw!J8</f>
        <v>1420.5070140654134</v>
      </c>
      <c r="L24" s="712">
        <f>+landbouw!K8</f>
        <v>0</v>
      </c>
      <c r="M24" s="712">
        <f>+landbouw!L8</f>
        <v>0</v>
      </c>
      <c r="N24" s="712">
        <f>+landbouw!M8</f>
        <v>0</v>
      </c>
      <c r="O24" s="712">
        <f>+landbouw!N8</f>
        <v>0</v>
      </c>
      <c r="P24" s="712">
        <f>+landbouw!O8</f>
        <v>0</v>
      </c>
      <c r="Q24" s="713">
        <f>+landbouw!P8</f>
        <v>0</v>
      </c>
      <c r="R24" s="715">
        <f>SUM(C24:Q24)</f>
        <v>28697.055404725284</v>
      </c>
      <c r="S24" s="67"/>
    </row>
    <row r="25" spans="1:19" s="474" customFormat="1" ht="15" thickBot="1">
      <c r="A25" s="856" t="s">
        <v>734</v>
      </c>
      <c r="B25" s="982"/>
      <c r="C25" s="983">
        <f>IF(Onbekend_ele_kWh="---",0,Onbekend_ele_kWh)/1000+IF(REST_rest_ele_kWh="---",0,REST_rest_ele_kWh)/1000</f>
        <v>223.767267</v>
      </c>
      <c r="D25" s="983"/>
      <c r="E25" s="983">
        <f>IF(onbekend_gas_kWh="---",0,onbekend_gas_kWh)/1000+IF(REST_rest_gas_kWh="---",0,REST_rest_gas_kWh)/1000</f>
        <v>521.7414</v>
      </c>
      <c r="F25" s="983"/>
      <c r="G25" s="983"/>
      <c r="H25" s="983"/>
      <c r="I25" s="983"/>
      <c r="J25" s="983"/>
      <c r="K25" s="983"/>
      <c r="L25" s="983"/>
      <c r="M25" s="983"/>
      <c r="N25" s="983"/>
      <c r="O25" s="983"/>
      <c r="P25" s="983"/>
      <c r="Q25" s="984"/>
      <c r="R25" s="715">
        <f>SUM(C25:Q25)</f>
        <v>745.50866700000006</v>
      </c>
      <c r="S25" s="67"/>
    </row>
    <row r="26" spans="1:19" s="474" customFormat="1" ht="15.75" thickBot="1">
      <c r="A26" s="720" t="s">
        <v>735</v>
      </c>
      <c r="B26" s="842"/>
      <c r="C26" s="837">
        <f>SUM(C24:C25)</f>
        <v>5379.7427939999998</v>
      </c>
      <c r="D26" s="837">
        <f t="shared" ref="D26:R26" si="2">SUM(D24:D25)</f>
        <v>0</v>
      </c>
      <c r="E26" s="837">
        <f t="shared" si="2"/>
        <v>4259.6092917140004</v>
      </c>
      <c r="F26" s="837">
        <f t="shared" si="2"/>
        <v>160.91629596669512</v>
      </c>
      <c r="G26" s="837">
        <f t="shared" si="2"/>
        <v>18221.788675979176</v>
      </c>
      <c r="H26" s="837">
        <f t="shared" si="2"/>
        <v>0</v>
      </c>
      <c r="I26" s="837">
        <f t="shared" si="2"/>
        <v>0</v>
      </c>
      <c r="J26" s="837">
        <f t="shared" si="2"/>
        <v>0</v>
      </c>
      <c r="K26" s="837">
        <f t="shared" si="2"/>
        <v>1420.5070140654134</v>
      </c>
      <c r="L26" s="837">
        <f t="shared" si="2"/>
        <v>0</v>
      </c>
      <c r="M26" s="837">
        <f t="shared" si="2"/>
        <v>0</v>
      </c>
      <c r="N26" s="837">
        <f t="shared" si="2"/>
        <v>0</v>
      </c>
      <c r="O26" s="837">
        <f t="shared" si="2"/>
        <v>0</v>
      </c>
      <c r="P26" s="837">
        <f t="shared" si="2"/>
        <v>0</v>
      </c>
      <c r="Q26" s="837">
        <f t="shared" si="2"/>
        <v>0</v>
      </c>
      <c r="R26" s="837">
        <f t="shared" si="2"/>
        <v>29442.564071725283</v>
      </c>
      <c r="S26" s="67"/>
    </row>
    <row r="27" spans="1:19" s="474" customFormat="1" ht="17.25" thickTop="1" thickBot="1">
      <c r="A27" s="721" t="s">
        <v>115</v>
      </c>
      <c r="B27" s="829"/>
      <c r="C27" s="722">
        <f ca="1">C22+C16+C26</f>
        <v>97215.997783132902</v>
      </c>
      <c r="D27" s="722">
        <f t="shared" ref="D27:R27" ca="1" si="3">D22+D16+D26</f>
        <v>6955.7142857142853</v>
      </c>
      <c r="E27" s="722">
        <f t="shared" ca="1" si="3"/>
        <v>79354.630278027485</v>
      </c>
      <c r="F27" s="722">
        <f t="shared" si="3"/>
        <v>17541.246934642055</v>
      </c>
      <c r="G27" s="722">
        <f t="shared" ca="1" si="3"/>
        <v>48708.399792637269</v>
      </c>
      <c r="H27" s="722">
        <f t="shared" si="3"/>
        <v>48091.52051424099</v>
      </c>
      <c r="I27" s="722">
        <f t="shared" si="3"/>
        <v>9922.5301625725933</v>
      </c>
      <c r="J27" s="722">
        <f t="shared" si="3"/>
        <v>0</v>
      </c>
      <c r="K27" s="722">
        <f t="shared" si="3"/>
        <v>2730.0833047183273</v>
      </c>
      <c r="L27" s="722">
        <f t="shared" si="3"/>
        <v>0</v>
      </c>
      <c r="M27" s="722">
        <f t="shared" ca="1" si="3"/>
        <v>0</v>
      </c>
      <c r="N27" s="722">
        <f t="shared" si="3"/>
        <v>3424.0551671480157</v>
      </c>
      <c r="O27" s="722">
        <f t="shared" ca="1" si="3"/>
        <v>15579.096715808791</v>
      </c>
      <c r="P27" s="722">
        <f t="shared" si="3"/>
        <v>461.20765122485847</v>
      </c>
      <c r="Q27" s="722">
        <f t="shared" si="3"/>
        <v>683.92340560794582</v>
      </c>
      <c r="R27" s="722">
        <f t="shared" ca="1" si="3"/>
        <v>330668.40599547559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3485.5584326280159</v>
      </c>
      <c r="D40" s="712">
        <f ca="1">tertiair!C20</f>
        <v>27.499159663865548</v>
      </c>
      <c r="E40" s="712">
        <f ca="1">tertiair!D20</f>
        <v>3395.3095129123044</v>
      </c>
      <c r="F40" s="712">
        <f>tertiair!E20</f>
        <v>37.271774360546125</v>
      </c>
      <c r="G40" s="712">
        <f ca="1">tertiair!F20</f>
        <v>367.08782415427441</v>
      </c>
      <c r="H40" s="712">
        <f>tertiair!G20</f>
        <v>0</v>
      </c>
      <c r="I40" s="712">
        <f>tertiair!H20</f>
        <v>0</v>
      </c>
      <c r="J40" s="712">
        <f>tertiair!I20</f>
        <v>0</v>
      </c>
      <c r="K40" s="712">
        <f>tertiair!J20</f>
        <v>1.4115507525758761E-2</v>
      </c>
      <c r="L40" s="712">
        <f>tertiair!K20</f>
        <v>0</v>
      </c>
      <c r="M40" s="712">
        <f ca="1">tertiair!L20</f>
        <v>0</v>
      </c>
      <c r="N40" s="712">
        <f>tertiair!M20</f>
        <v>0</v>
      </c>
      <c r="O40" s="712">
        <f ca="1">tertiair!N20</f>
        <v>0</v>
      </c>
      <c r="P40" s="712">
        <f>tertiair!O20</f>
        <v>0</v>
      </c>
      <c r="Q40" s="795">
        <f>tertiair!P20</f>
        <v>0</v>
      </c>
      <c r="R40" s="875">
        <f t="shared" ca="1" si="4"/>
        <v>7312.7408192265329</v>
      </c>
    </row>
    <row r="41" spans="1:18">
      <c r="A41" s="847" t="s">
        <v>224</v>
      </c>
      <c r="B41" s="854"/>
      <c r="C41" s="712">
        <f ca="1">huishoudens!B12</f>
        <v>3200.9033845372614</v>
      </c>
      <c r="D41" s="712">
        <f ca="1">huishoudens!C12</f>
        <v>0</v>
      </c>
      <c r="E41" s="712">
        <f>huishoudens!D12</f>
        <v>6721.6423132122009</v>
      </c>
      <c r="F41" s="712">
        <f>huishoudens!E12</f>
        <v>2302.4028042076184</v>
      </c>
      <c r="G41" s="712">
        <f>huishoudens!F12</f>
        <v>2175.6205496572238</v>
      </c>
      <c r="H41" s="712">
        <f>huishoudens!G12</f>
        <v>0</v>
      </c>
      <c r="I41" s="712">
        <f>huishoudens!H12</f>
        <v>0</v>
      </c>
      <c r="J41" s="712">
        <f>huishoudens!I12</f>
        <v>0</v>
      </c>
      <c r="K41" s="712">
        <f>huishoudens!J12</f>
        <v>73.776528267186066</v>
      </c>
      <c r="L41" s="712">
        <f>huishoudens!K12</f>
        <v>0</v>
      </c>
      <c r="M41" s="712">
        <f>huishoudens!L12</f>
        <v>0</v>
      </c>
      <c r="N41" s="712">
        <f>huishoudens!M12</f>
        <v>0</v>
      </c>
      <c r="O41" s="712">
        <f>huishoudens!N12</f>
        <v>0</v>
      </c>
      <c r="P41" s="712">
        <f>huishoudens!O12</f>
        <v>0</v>
      </c>
      <c r="Q41" s="795">
        <f>huishoudens!P12</f>
        <v>0</v>
      </c>
      <c r="R41" s="875">
        <f t="shared" ca="1" si="4"/>
        <v>14474.34557988149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10894.463897638672</v>
      </c>
      <c r="D43" s="712">
        <f ca="1">industrie!C22</f>
        <v>0</v>
      </c>
      <c r="E43" s="712">
        <f>industrie!D22</f>
        <v>5025.2633702453168</v>
      </c>
      <c r="F43" s="712">
        <f>industrie!E22</f>
        <v>1582.4926235270214</v>
      </c>
      <c r="G43" s="712">
        <f>industrie!F22</f>
        <v>5597.2167943362147</v>
      </c>
      <c r="H43" s="712">
        <f>industrie!G22</f>
        <v>0</v>
      </c>
      <c r="I43" s="712">
        <f>industrie!H22</f>
        <v>0</v>
      </c>
      <c r="J43" s="712">
        <f>industrie!I22</f>
        <v>0</v>
      </c>
      <c r="K43" s="712">
        <f>industrie!J22</f>
        <v>389.79936311641973</v>
      </c>
      <c r="L43" s="712">
        <f>industrie!K22</f>
        <v>0</v>
      </c>
      <c r="M43" s="712">
        <f>industrie!L22</f>
        <v>0</v>
      </c>
      <c r="N43" s="712">
        <f>industrie!M22</f>
        <v>0</v>
      </c>
      <c r="O43" s="712">
        <f>industrie!N22</f>
        <v>0</v>
      </c>
      <c r="P43" s="712">
        <f>industrie!O22</f>
        <v>0</v>
      </c>
      <c r="Q43" s="795">
        <f>industrie!P22</f>
        <v>0</v>
      </c>
      <c r="R43" s="874">
        <f t="shared" ca="1" si="4"/>
        <v>23489.236048863648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17580.925714803951</v>
      </c>
      <c r="D46" s="748">
        <f t="shared" ref="D46:Q46" ca="1" si="5">SUM(D39:D45)</f>
        <v>27.499159663865548</v>
      </c>
      <c r="E46" s="748">
        <f t="shared" ca="1" si="5"/>
        <v>15142.215196369822</v>
      </c>
      <c r="F46" s="748">
        <f t="shared" si="5"/>
        <v>3922.167202095186</v>
      </c>
      <c r="G46" s="748">
        <f t="shared" ca="1" si="5"/>
        <v>8139.9251681477126</v>
      </c>
      <c r="H46" s="748">
        <f t="shared" si="5"/>
        <v>0</v>
      </c>
      <c r="I46" s="748">
        <f t="shared" si="5"/>
        <v>0</v>
      </c>
      <c r="J46" s="748">
        <f t="shared" si="5"/>
        <v>0</v>
      </c>
      <c r="K46" s="748">
        <f t="shared" si="5"/>
        <v>463.59000689113157</v>
      </c>
      <c r="L46" s="748">
        <f t="shared" si="5"/>
        <v>0</v>
      </c>
      <c r="M46" s="748">
        <f t="shared" ca="1" si="5"/>
        <v>0</v>
      </c>
      <c r="N46" s="748">
        <f t="shared" si="5"/>
        <v>0</v>
      </c>
      <c r="O46" s="748">
        <f t="shared" ca="1" si="5"/>
        <v>0</v>
      </c>
      <c r="P46" s="748">
        <f t="shared" si="5"/>
        <v>0</v>
      </c>
      <c r="Q46" s="748">
        <f t="shared" si="5"/>
        <v>0</v>
      </c>
      <c r="R46" s="748">
        <f ca="1">SUM(R39:R45)</f>
        <v>45276.322447971674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130.65037714363999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130.65037714363999</v>
      </c>
    </row>
    <row r="50" spans="1:18">
      <c r="A50" s="850" t="s">
        <v>306</v>
      </c>
      <c r="B50" s="860"/>
      <c r="C50" s="718">
        <f ca="1">transport!B18</f>
        <v>6.0376255039905988</v>
      </c>
      <c r="D50" s="718">
        <f>transport!C18</f>
        <v>0</v>
      </c>
      <c r="E50" s="718">
        <f>transport!D18</f>
        <v>26.979042865503455</v>
      </c>
      <c r="F50" s="718">
        <f>transport!E18</f>
        <v>23.167852884120595</v>
      </c>
      <c r="G50" s="718">
        <f>transport!F18</f>
        <v>0</v>
      </c>
      <c r="H50" s="718">
        <f>transport!G18</f>
        <v>12709.785600158704</v>
      </c>
      <c r="I50" s="718">
        <f>transport!H18</f>
        <v>2470.7100104805759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15236.680131892896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6.0376255039905988</v>
      </c>
      <c r="D52" s="748">
        <f t="shared" ref="D52:Q52" ca="1" si="6">SUM(D48:D51)</f>
        <v>0</v>
      </c>
      <c r="E52" s="748">
        <f t="shared" si="6"/>
        <v>26.979042865503455</v>
      </c>
      <c r="F52" s="748">
        <f t="shared" si="6"/>
        <v>23.167852884120595</v>
      </c>
      <c r="G52" s="748">
        <f t="shared" si="6"/>
        <v>0</v>
      </c>
      <c r="H52" s="748">
        <f t="shared" si="6"/>
        <v>12840.435977302344</v>
      </c>
      <c r="I52" s="748">
        <f t="shared" si="6"/>
        <v>2470.7100104805759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15367.330509036536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987.38730785139194</v>
      </c>
      <c r="D54" s="718">
        <f ca="1">+landbouw!C12</f>
        <v>0</v>
      </c>
      <c r="E54" s="718">
        <f>+landbouw!D12</f>
        <v>755.04931412622807</v>
      </c>
      <c r="F54" s="718">
        <f>+landbouw!E12</f>
        <v>36.527999184439793</v>
      </c>
      <c r="G54" s="718">
        <f>+landbouw!F12</f>
        <v>4865.2175764864405</v>
      </c>
      <c r="H54" s="718">
        <f>+landbouw!G12</f>
        <v>0</v>
      </c>
      <c r="I54" s="718">
        <f>+landbouw!H12</f>
        <v>0</v>
      </c>
      <c r="J54" s="718">
        <f>+landbouw!I12</f>
        <v>0</v>
      </c>
      <c r="K54" s="718">
        <f>+landbouw!J12</f>
        <v>502.85948297915633</v>
      </c>
      <c r="L54" s="718">
        <f>+landbouw!K12</f>
        <v>0</v>
      </c>
      <c r="M54" s="718">
        <f>+landbouw!L12</f>
        <v>0</v>
      </c>
      <c r="N54" s="718">
        <f>+landbouw!M12</f>
        <v>0</v>
      </c>
      <c r="O54" s="718">
        <f>+landbouw!N12</f>
        <v>0</v>
      </c>
      <c r="P54" s="718">
        <f>+landbouw!O12</f>
        <v>0</v>
      </c>
      <c r="Q54" s="719">
        <f>+landbouw!P12</f>
        <v>0</v>
      </c>
      <c r="R54" s="747">
        <f ca="1">SUM(C54:Q54)</f>
        <v>7147.0416806276571</v>
      </c>
    </row>
    <row r="55" spans="1:18" ht="15" thickBot="1">
      <c r="A55" s="850" t="s">
        <v>734</v>
      </c>
      <c r="B55" s="860"/>
      <c r="C55" s="718">
        <f ca="1">C25*'EF ele_warmte'!B12</f>
        <v>42.85221258157334</v>
      </c>
      <c r="D55" s="718"/>
      <c r="E55" s="718">
        <f>E25*EF_CO2_aardgas</f>
        <v>105.39176280000001</v>
      </c>
      <c r="F55" s="718"/>
      <c r="G55" s="718"/>
      <c r="H55" s="718"/>
      <c r="I55" s="718"/>
      <c r="J55" s="718"/>
      <c r="K55" s="718"/>
      <c r="L55" s="718"/>
      <c r="M55" s="718"/>
      <c r="N55" s="718"/>
      <c r="O55" s="718"/>
      <c r="P55" s="718"/>
      <c r="Q55" s="719"/>
      <c r="R55" s="747">
        <f ca="1">SUM(C55:Q55)</f>
        <v>148.24397538157336</v>
      </c>
    </row>
    <row r="56" spans="1:18" ht="15.75" thickBot="1">
      <c r="A56" s="848" t="s">
        <v>735</v>
      </c>
      <c r="B56" s="861"/>
      <c r="C56" s="748">
        <f ca="1">SUM(C54:C55)</f>
        <v>1030.2395204329653</v>
      </c>
      <c r="D56" s="748">
        <f t="shared" ref="D56:Q56" ca="1" si="7">SUM(D54:D55)</f>
        <v>0</v>
      </c>
      <c r="E56" s="748">
        <f t="shared" si="7"/>
        <v>860.44107692622811</v>
      </c>
      <c r="F56" s="748">
        <f t="shared" si="7"/>
        <v>36.527999184439793</v>
      </c>
      <c r="G56" s="748">
        <f t="shared" si="7"/>
        <v>4865.2175764864405</v>
      </c>
      <c r="H56" s="748">
        <f t="shared" si="7"/>
        <v>0</v>
      </c>
      <c r="I56" s="748">
        <f t="shared" si="7"/>
        <v>0</v>
      </c>
      <c r="J56" s="748">
        <f t="shared" si="7"/>
        <v>0</v>
      </c>
      <c r="K56" s="748">
        <f t="shared" si="7"/>
        <v>502.85948297915633</v>
      </c>
      <c r="L56" s="748">
        <f t="shared" si="7"/>
        <v>0</v>
      </c>
      <c r="M56" s="748">
        <f t="shared" si="7"/>
        <v>0</v>
      </c>
      <c r="N56" s="748">
        <f t="shared" si="7"/>
        <v>0</v>
      </c>
      <c r="O56" s="748">
        <f t="shared" si="7"/>
        <v>0</v>
      </c>
      <c r="P56" s="748">
        <f t="shared" si="7"/>
        <v>0</v>
      </c>
      <c r="Q56" s="749">
        <f t="shared" si="7"/>
        <v>0</v>
      </c>
      <c r="R56" s="750">
        <f ca="1">SUM(R54:R55)</f>
        <v>7295.2856560092305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18617.202860740908</v>
      </c>
      <c r="D61" s="756">
        <f t="shared" ref="D61:Q61" ca="1" si="8">D46+D52+D56</f>
        <v>27.499159663865548</v>
      </c>
      <c r="E61" s="756">
        <f t="shared" ca="1" si="8"/>
        <v>16029.635316161553</v>
      </c>
      <c r="F61" s="756">
        <f t="shared" si="8"/>
        <v>3981.8630541637467</v>
      </c>
      <c r="G61" s="756">
        <f t="shared" ca="1" si="8"/>
        <v>13005.142744634153</v>
      </c>
      <c r="H61" s="756">
        <f t="shared" si="8"/>
        <v>12840.435977302344</v>
      </c>
      <c r="I61" s="756">
        <f t="shared" si="8"/>
        <v>2470.7100104805759</v>
      </c>
      <c r="J61" s="756">
        <f t="shared" si="8"/>
        <v>0</v>
      </c>
      <c r="K61" s="756">
        <f t="shared" si="8"/>
        <v>966.44948987028783</v>
      </c>
      <c r="L61" s="756">
        <f t="shared" si="8"/>
        <v>0</v>
      </c>
      <c r="M61" s="756">
        <f t="shared" ca="1" si="8"/>
        <v>0</v>
      </c>
      <c r="N61" s="756">
        <f t="shared" si="8"/>
        <v>0</v>
      </c>
      <c r="O61" s="756">
        <f t="shared" ca="1" si="8"/>
        <v>0</v>
      </c>
      <c r="P61" s="756">
        <f t="shared" si="8"/>
        <v>0</v>
      </c>
      <c r="Q61" s="756">
        <f t="shared" si="8"/>
        <v>0</v>
      </c>
      <c r="R61" s="756">
        <f ca="1">R46+R52+R56</f>
        <v>67938.938613017439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0.19150349001479894</v>
      </c>
      <c r="D63" s="802">
        <f t="shared" ca="1" si="9"/>
        <v>3.9534630857888447E-3</v>
      </c>
      <c r="E63" s="1008">
        <f t="shared" ca="1" si="9"/>
        <v>0.20200000000000001</v>
      </c>
      <c r="F63" s="802">
        <f t="shared" si="9"/>
        <v>0.22700000000000001</v>
      </c>
      <c r="G63" s="802">
        <f t="shared" ca="1" si="9"/>
        <v>0.26700000000000007</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8274.3622674034959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4788</v>
      </c>
      <c r="C76" s="769">
        <f>'lokale energieproductie'!B8*IFERROR(SUM(D76:H76)/SUM(D76:O76),0)</f>
        <v>81.000000000000014</v>
      </c>
      <c r="D76" s="991">
        <f>'lokale energieproductie'!C8</f>
        <v>95.294117647058826</v>
      </c>
      <c r="E76" s="992">
        <f>'lokale energieproductie'!D8</f>
        <v>0</v>
      </c>
      <c r="F76" s="992">
        <f>'lokale energieproductie'!E8</f>
        <v>0</v>
      </c>
      <c r="G76" s="992">
        <f>'lokale energieproductie'!F8</f>
        <v>0</v>
      </c>
      <c r="H76" s="992">
        <f>'lokale energieproductie'!G8</f>
        <v>0</v>
      </c>
      <c r="I76" s="992">
        <f>'lokale energieproductie'!I8</f>
        <v>0</v>
      </c>
      <c r="J76" s="992">
        <f>'lokale energieproductie'!J8</f>
        <v>5632.9411764705883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19.249411764705883</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13062.362267403496</v>
      </c>
      <c r="C78" s="774">
        <f>SUM(C72:C77)</f>
        <v>81.000000000000014</v>
      </c>
      <c r="D78" s="775">
        <f t="shared" ref="D78:H78" si="10">SUM(D76:D77)</f>
        <v>95.294117647058826</v>
      </c>
      <c r="E78" s="775">
        <f t="shared" si="10"/>
        <v>0</v>
      </c>
      <c r="F78" s="775">
        <f t="shared" si="10"/>
        <v>0</v>
      </c>
      <c r="G78" s="775">
        <f t="shared" si="10"/>
        <v>0</v>
      </c>
      <c r="H78" s="775">
        <f t="shared" si="10"/>
        <v>0</v>
      </c>
      <c r="I78" s="775">
        <f>SUM(I76:I77)</f>
        <v>0</v>
      </c>
      <c r="J78" s="775">
        <f>SUM(J76:J77)</f>
        <v>5632.9411764705883</v>
      </c>
      <c r="K78" s="775">
        <f t="shared" ref="K78:L78" si="11">SUM(K76:K77)</f>
        <v>0</v>
      </c>
      <c r="L78" s="775">
        <f t="shared" si="11"/>
        <v>0</v>
      </c>
      <c r="M78" s="775">
        <f>SUM(M76:M77)</f>
        <v>0</v>
      </c>
      <c r="N78" s="775">
        <f>SUM(N76:N77)</f>
        <v>0</v>
      </c>
      <c r="O78" s="885">
        <f>SUM(O76:O77)</f>
        <v>0</v>
      </c>
      <c r="P78" s="776">
        <v>0</v>
      </c>
      <c r="Q78" s="776">
        <f>SUM(Q76:Q77)</f>
        <v>19.249411764705883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6839.9999999999991</v>
      </c>
      <c r="C87" s="787">
        <f>'lokale energieproductie'!B17*IFERROR(SUM(D87:H87)/SUM(D87:O87),0)</f>
        <v>115.71428571428572</v>
      </c>
      <c r="D87" s="798">
        <f>'lokale energieproductie'!C17</f>
        <v>136.1344537815126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8047.0588235294108</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27.499159663865548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6839.9999999999991</v>
      </c>
      <c r="C90" s="774">
        <f>SUM(C87:C89)</f>
        <v>115.71428571428572</v>
      </c>
      <c r="D90" s="774">
        <f t="shared" ref="D90:H90" si="12">SUM(D87:D89)</f>
        <v>136.1344537815126</v>
      </c>
      <c r="E90" s="774">
        <f t="shared" si="12"/>
        <v>0</v>
      </c>
      <c r="F90" s="774">
        <f t="shared" si="12"/>
        <v>0</v>
      </c>
      <c r="G90" s="774">
        <f t="shared" si="12"/>
        <v>0</v>
      </c>
      <c r="H90" s="774">
        <f t="shared" si="12"/>
        <v>0</v>
      </c>
      <c r="I90" s="774">
        <f>SUM(I87:I89)</f>
        <v>0</v>
      </c>
      <c r="J90" s="774">
        <f>SUM(J87:J89)</f>
        <v>8047.0588235294108</v>
      </c>
      <c r="K90" s="774">
        <f t="shared" ref="K90:L90" si="13">SUM(K87:K89)</f>
        <v>0</v>
      </c>
      <c r="L90" s="774">
        <f t="shared" si="13"/>
        <v>0</v>
      </c>
      <c r="M90" s="774">
        <f>SUM(M87:M89)</f>
        <v>0</v>
      </c>
      <c r="N90" s="774">
        <f>SUM(N87:N89)</f>
        <v>0</v>
      </c>
      <c r="O90" s="774">
        <f>SUM(O87:O89)</f>
        <v>0</v>
      </c>
      <c r="P90" s="774">
        <v>0</v>
      </c>
      <c r="Q90" s="774">
        <f>SUM(Q87:Q89)</f>
        <v>27.499159663865548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8274.3622674034959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4869</v>
      </c>
      <c r="C8" s="574">
        <f>B101</f>
        <v>95.294117647058826</v>
      </c>
      <c r="D8" s="575"/>
      <c r="E8" s="575">
        <f>E101</f>
        <v>0</v>
      </c>
      <c r="F8" s="576"/>
      <c r="G8" s="577"/>
      <c r="H8" s="575">
        <f>I101</f>
        <v>0</v>
      </c>
      <c r="I8" s="575">
        <f>G101+F101</f>
        <v>0</v>
      </c>
      <c r="J8" s="575">
        <f>H101+D101+C101</f>
        <v>5632.9411764705883</v>
      </c>
      <c r="K8" s="575"/>
      <c r="L8" s="575"/>
      <c r="M8" s="575"/>
      <c r="N8" s="578"/>
      <c r="O8" s="579">
        <f>C8*$C$12+D8*$D$12+E8*$E$12+F8*$F$12+G8*$G$12+H8*$H$12+I8*$I$12+J8*$J$12</f>
        <v>19.249411764705883</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13143.362267403496</v>
      </c>
      <c r="C10" s="589">
        <f t="shared" ref="C10:L10" si="0">SUM(C8:C9)</f>
        <v>95.294117647058826</v>
      </c>
      <c r="D10" s="589">
        <f t="shared" si="0"/>
        <v>0</v>
      </c>
      <c r="E10" s="589">
        <f t="shared" si="0"/>
        <v>0</v>
      </c>
      <c r="F10" s="589">
        <f t="shared" si="0"/>
        <v>0</v>
      </c>
      <c r="G10" s="589">
        <f t="shared" si="0"/>
        <v>0</v>
      </c>
      <c r="H10" s="589">
        <f t="shared" si="0"/>
        <v>0</v>
      </c>
      <c r="I10" s="589">
        <f t="shared" si="0"/>
        <v>0</v>
      </c>
      <c r="J10" s="589">
        <f t="shared" si="0"/>
        <v>5632.9411764705883</v>
      </c>
      <c r="K10" s="589">
        <f t="shared" si="0"/>
        <v>0</v>
      </c>
      <c r="L10" s="589">
        <f t="shared" si="0"/>
        <v>0</v>
      </c>
      <c r="M10" s="1004"/>
      <c r="N10" s="1004"/>
      <c r="O10" s="590">
        <f>SUM(O4:O9)</f>
        <v>19.249411764705883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6955.7142857142853</v>
      </c>
      <c r="C17" s="605">
        <f>B102</f>
        <v>136.1344537815126</v>
      </c>
      <c r="D17" s="606"/>
      <c r="E17" s="606">
        <f>E102</f>
        <v>0</v>
      </c>
      <c r="F17" s="607"/>
      <c r="G17" s="608"/>
      <c r="H17" s="605">
        <f>I102</f>
        <v>0</v>
      </c>
      <c r="I17" s="606">
        <f>G102+F102</f>
        <v>0</v>
      </c>
      <c r="J17" s="606">
        <f>H102+D102+C102</f>
        <v>8047.0588235294108</v>
      </c>
      <c r="K17" s="606"/>
      <c r="L17" s="606"/>
      <c r="M17" s="606"/>
      <c r="N17" s="1005"/>
      <c r="O17" s="609">
        <f>C17*$C$22+E17*$E$22+H17*$H$22+I17*$I$22+J17*$J$22+D17*$D$22+F17*$F$22+G17*$G$22+K17*$K$22+L17*$L$22</f>
        <v>27.499159663865548</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6955.7142857142853</v>
      </c>
      <c r="C20" s="588">
        <f>SUM(C17:C19)</f>
        <v>136.1344537815126</v>
      </c>
      <c r="D20" s="588">
        <f t="shared" ref="D20:L20" si="1">SUM(D17:D19)</f>
        <v>0</v>
      </c>
      <c r="E20" s="588">
        <f t="shared" si="1"/>
        <v>0</v>
      </c>
      <c r="F20" s="588">
        <f t="shared" si="1"/>
        <v>0</v>
      </c>
      <c r="G20" s="588">
        <f t="shared" si="1"/>
        <v>0</v>
      </c>
      <c r="H20" s="588">
        <f t="shared" si="1"/>
        <v>0</v>
      </c>
      <c r="I20" s="588">
        <f t="shared" si="1"/>
        <v>0</v>
      </c>
      <c r="J20" s="588">
        <f t="shared" si="1"/>
        <v>8047.0588235294108</v>
      </c>
      <c r="K20" s="588">
        <f t="shared" si="1"/>
        <v>0</v>
      </c>
      <c r="L20" s="588">
        <f t="shared" si="1"/>
        <v>0</v>
      </c>
      <c r="M20" s="588"/>
      <c r="N20" s="588"/>
      <c r="O20" s="614">
        <f>SUM(O17:O19)</f>
        <v>27.499159663865548</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36006</v>
      </c>
      <c r="C28" s="817">
        <v>8830</v>
      </c>
      <c r="D28" s="666" t="s">
        <v>882</v>
      </c>
      <c r="E28" s="665" t="s">
        <v>883</v>
      </c>
      <c r="F28" s="665" t="s">
        <v>884</v>
      </c>
      <c r="G28" s="665" t="s">
        <v>885</v>
      </c>
      <c r="H28" s="665" t="s">
        <v>886</v>
      </c>
      <c r="I28" s="665" t="s">
        <v>883</v>
      </c>
      <c r="J28" s="816">
        <v>40711</v>
      </c>
      <c r="K28" s="816">
        <v>39083</v>
      </c>
      <c r="L28" s="665" t="s">
        <v>887</v>
      </c>
      <c r="M28" s="665">
        <v>1064</v>
      </c>
      <c r="N28" s="665">
        <v>4788</v>
      </c>
      <c r="O28" s="665">
        <v>6840</v>
      </c>
      <c r="P28" s="665">
        <v>0</v>
      </c>
      <c r="Q28" s="665">
        <v>13680</v>
      </c>
      <c r="R28" s="665">
        <v>0</v>
      </c>
      <c r="S28" s="665">
        <v>0</v>
      </c>
      <c r="T28" s="665">
        <v>0</v>
      </c>
      <c r="U28" s="665">
        <v>0</v>
      </c>
      <c r="V28" s="665">
        <v>0</v>
      </c>
      <c r="W28" s="665">
        <v>0</v>
      </c>
      <c r="X28" s="665">
        <v>1600</v>
      </c>
      <c r="Y28" s="665" t="s">
        <v>49</v>
      </c>
      <c r="Z28" s="667" t="s">
        <v>155</v>
      </c>
    </row>
    <row r="29" spans="1:26" s="619" customFormat="1" ht="63.75">
      <c r="A29" s="618"/>
      <c r="B29" s="817">
        <v>36006</v>
      </c>
      <c r="C29" s="817">
        <v>8830</v>
      </c>
      <c r="D29" s="666" t="s">
        <v>888</v>
      </c>
      <c r="E29" s="665" t="s">
        <v>889</v>
      </c>
      <c r="F29" s="665" t="s">
        <v>890</v>
      </c>
      <c r="G29" s="665" t="s">
        <v>885</v>
      </c>
      <c r="H29" s="665" t="s">
        <v>886</v>
      </c>
      <c r="I29" s="665" t="s">
        <v>889</v>
      </c>
      <c r="J29" s="816">
        <v>40673</v>
      </c>
      <c r="K29" s="816">
        <v>40725</v>
      </c>
      <c r="L29" s="665" t="s">
        <v>887</v>
      </c>
      <c r="M29" s="665">
        <v>18</v>
      </c>
      <c r="N29" s="665">
        <v>81</v>
      </c>
      <c r="O29" s="665">
        <v>115.71428571428572</v>
      </c>
      <c r="P29" s="665">
        <v>231.42857142857144</v>
      </c>
      <c r="Q29" s="665">
        <v>0</v>
      </c>
      <c r="R29" s="665">
        <v>0</v>
      </c>
      <c r="S29" s="665">
        <v>0</v>
      </c>
      <c r="T29" s="665">
        <v>0</v>
      </c>
      <c r="U29" s="665">
        <v>0</v>
      </c>
      <c r="V29" s="665">
        <v>0</v>
      </c>
      <c r="W29" s="665">
        <v>0</v>
      </c>
      <c r="X29" s="665">
        <v>1600</v>
      </c>
      <c r="Y29" s="665" t="s">
        <v>49</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1082</v>
      </c>
      <c r="N58" s="623">
        <f>SUM(N28:N57)</f>
        <v>4869</v>
      </c>
      <c r="O58" s="623">
        <f t="shared" ref="O58:W58" si="2">SUM(O28:O57)</f>
        <v>6955.7142857142853</v>
      </c>
      <c r="P58" s="623">
        <f t="shared" si="2"/>
        <v>231.42857142857144</v>
      </c>
      <c r="Q58" s="623">
        <f t="shared" si="2"/>
        <v>13680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1082</v>
      </c>
      <c r="N60" s="623">
        <f ca="1">SUMIF($Z$28:AD57,"tertiair",N28:N57)</f>
        <v>4869</v>
      </c>
      <c r="O60" s="623">
        <f ca="1">SUMIF($Z$28:AE57,"tertiair",O28:O57)</f>
        <v>6955.7142857142853</v>
      </c>
      <c r="P60" s="623">
        <f ca="1">SUMIF($Z$28:AF57,"tertiair",P28:P57)</f>
        <v>231.42857142857144</v>
      </c>
      <c r="Q60" s="623">
        <f ca="1">SUMIF($Z$28:AG57,"tertiair",Q28:Q57)</f>
        <v>13680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95.294117647058826</v>
      </c>
      <c r="C101" s="657">
        <f t="shared" si="9"/>
        <v>5632.9411764705883</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136.1344537815126</v>
      </c>
      <c r="C102" s="660">
        <f t="shared" si="10"/>
        <v>8047.0588235294108</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16714.595563192626</v>
      </c>
      <c r="C4" s="478">
        <f>huishoudens!C8</f>
        <v>0</v>
      </c>
      <c r="D4" s="478">
        <f>huishoudens!D8</f>
        <v>33275.456996100002</v>
      </c>
      <c r="E4" s="478">
        <f>huishoudens!E8</f>
        <v>10142.743630870566</v>
      </c>
      <c r="F4" s="478">
        <f>huishoudens!F8</f>
        <v>8148.3915717499012</v>
      </c>
      <c r="G4" s="478">
        <f>huishoudens!G8</f>
        <v>0</v>
      </c>
      <c r="H4" s="478">
        <f>huishoudens!H8</f>
        <v>0</v>
      </c>
      <c r="I4" s="478">
        <f>huishoudens!I8</f>
        <v>0</v>
      </c>
      <c r="J4" s="478">
        <f>huishoudens!J8</f>
        <v>208.40827194120359</v>
      </c>
      <c r="K4" s="478">
        <f>huishoudens!K8</f>
        <v>0</v>
      </c>
      <c r="L4" s="478">
        <f>huishoudens!L8</f>
        <v>0</v>
      </c>
      <c r="M4" s="478">
        <f>huishoudens!M8</f>
        <v>0</v>
      </c>
      <c r="N4" s="478">
        <f>huishoudens!N8</f>
        <v>13829.148118103292</v>
      </c>
      <c r="O4" s="478">
        <f>huishoudens!O8</f>
        <v>456.3103904590173</v>
      </c>
      <c r="P4" s="479">
        <f>huishoudens!P8</f>
        <v>368.6885757689758</v>
      </c>
      <c r="Q4" s="480">
        <f>SUM(B4:P4)</f>
        <v>83143.743118185594</v>
      </c>
    </row>
    <row r="5" spans="1:17">
      <c r="A5" s="477" t="s">
        <v>155</v>
      </c>
      <c r="B5" s="478">
        <f ca="1">tertiair!B16</f>
        <v>17502.155811000001</v>
      </c>
      <c r="C5" s="478">
        <f ca="1">tertiair!C16</f>
        <v>6955.7142857142853</v>
      </c>
      <c r="D5" s="478">
        <f ca="1">tertiair!D16</f>
        <v>16808.462935209427</v>
      </c>
      <c r="E5" s="478">
        <f>tertiair!E16</f>
        <v>164.1928385927142</v>
      </c>
      <c r="F5" s="478">
        <f ca="1">tertiair!F16</f>
        <v>1374.8607646227506</v>
      </c>
      <c r="G5" s="478">
        <f>tertiair!G16</f>
        <v>0</v>
      </c>
      <c r="H5" s="478">
        <f>tertiair!H16</f>
        <v>0</v>
      </c>
      <c r="I5" s="478">
        <f>tertiair!I16</f>
        <v>0</v>
      </c>
      <c r="J5" s="478">
        <f>tertiair!J16</f>
        <v>3.9874315044516273E-2</v>
      </c>
      <c r="K5" s="478">
        <f>tertiair!K16</f>
        <v>0</v>
      </c>
      <c r="L5" s="478">
        <f ca="1">tertiair!L16</f>
        <v>0</v>
      </c>
      <c r="M5" s="478">
        <f>tertiair!M16</f>
        <v>0</v>
      </c>
      <c r="N5" s="478">
        <f ca="1">tertiair!N16</f>
        <v>0</v>
      </c>
      <c r="O5" s="478">
        <f>tertiair!O16</f>
        <v>4.8972607658411542</v>
      </c>
      <c r="P5" s="479">
        <f>tertiair!P16</f>
        <v>315.23482983897009</v>
      </c>
      <c r="Q5" s="477">
        <f t="shared" ref="Q5:Q14" ca="1" si="0">SUM(B5:P5)</f>
        <v>43125.558600059041</v>
      </c>
    </row>
    <row r="6" spans="1:17">
      <c r="A6" s="477" t="s">
        <v>193</v>
      </c>
      <c r="B6" s="478">
        <f>'openbare verlichting'!B8</f>
        <v>698.86199999999997</v>
      </c>
      <c r="C6" s="478"/>
      <c r="D6" s="478"/>
      <c r="E6" s="478"/>
      <c r="F6" s="478"/>
      <c r="G6" s="478"/>
      <c r="H6" s="478"/>
      <c r="I6" s="478"/>
      <c r="J6" s="478"/>
      <c r="K6" s="478"/>
      <c r="L6" s="478"/>
      <c r="M6" s="478"/>
      <c r="N6" s="478"/>
      <c r="O6" s="478"/>
      <c r="P6" s="479"/>
      <c r="Q6" s="477">
        <f t="shared" si="0"/>
        <v>698.86199999999997</v>
      </c>
    </row>
    <row r="7" spans="1:17">
      <c r="A7" s="477" t="s">
        <v>111</v>
      </c>
      <c r="B7" s="478">
        <f>landbouw!B8</f>
        <v>5155.9755269999996</v>
      </c>
      <c r="C7" s="478">
        <f>landbouw!C8</f>
        <v>0</v>
      </c>
      <c r="D7" s="478">
        <f>landbouw!D8</f>
        <v>3737.8678917140001</v>
      </c>
      <c r="E7" s="478">
        <f>landbouw!E8</f>
        <v>160.91629596669512</v>
      </c>
      <c r="F7" s="478">
        <f>landbouw!F8</f>
        <v>18221.788675979176</v>
      </c>
      <c r="G7" s="478">
        <f>landbouw!G8</f>
        <v>0</v>
      </c>
      <c r="H7" s="478">
        <f>landbouw!H8</f>
        <v>0</v>
      </c>
      <c r="I7" s="478">
        <f>landbouw!I8</f>
        <v>0</v>
      </c>
      <c r="J7" s="478">
        <f>landbouw!J8</f>
        <v>1420.5070140654134</v>
      </c>
      <c r="K7" s="478">
        <f>landbouw!K8</f>
        <v>0</v>
      </c>
      <c r="L7" s="478">
        <f>landbouw!L8</f>
        <v>0</v>
      </c>
      <c r="M7" s="478">
        <f>landbouw!M8</f>
        <v>0</v>
      </c>
      <c r="N7" s="478">
        <f>landbouw!N8</f>
        <v>0</v>
      </c>
      <c r="O7" s="478">
        <f>landbouw!O8</f>
        <v>0</v>
      </c>
      <c r="P7" s="479">
        <f>landbouw!P8</f>
        <v>0</v>
      </c>
      <c r="Q7" s="477">
        <f t="shared" si="0"/>
        <v>28697.055404725284</v>
      </c>
    </row>
    <row r="8" spans="1:17">
      <c r="A8" s="477" t="s">
        <v>629</v>
      </c>
      <c r="B8" s="478">
        <f>industrie!B18</f>
        <v>56889.114118999998</v>
      </c>
      <c r="C8" s="478">
        <f>industrie!C18</f>
        <v>0</v>
      </c>
      <c r="D8" s="478">
        <f>industrie!D18</f>
        <v>24877.541436858002</v>
      </c>
      <c r="E8" s="478">
        <f>industrie!E18</f>
        <v>6971.3331432908426</v>
      </c>
      <c r="F8" s="478">
        <f>industrie!F18</f>
        <v>20963.358780285445</v>
      </c>
      <c r="G8" s="478">
        <f>industrie!G18</f>
        <v>0</v>
      </c>
      <c r="H8" s="478">
        <f>industrie!H18</f>
        <v>0</v>
      </c>
      <c r="I8" s="478">
        <f>industrie!I18</f>
        <v>0</v>
      </c>
      <c r="J8" s="478">
        <f>industrie!J18</f>
        <v>1101.1281443966659</v>
      </c>
      <c r="K8" s="478">
        <f>industrie!K18</f>
        <v>0</v>
      </c>
      <c r="L8" s="478">
        <f>industrie!L18</f>
        <v>0</v>
      </c>
      <c r="M8" s="478">
        <f>industrie!M18</f>
        <v>0</v>
      </c>
      <c r="N8" s="478">
        <f>industrie!N18</f>
        <v>1749.9485977054983</v>
      </c>
      <c r="O8" s="478">
        <f>industrie!O18</f>
        <v>0</v>
      </c>
      <c r="P8" s="479">
        <f>industrie!P18</f>
        <v>0</v>
      </c>
      <c r="Q8" s="477">
        <f t="shared" si="0"/>
        <v>112552.42422153646</v>
      </c>
    </row>
    <row r="9" spans="1:17" s="483" customFormat="1">
      <c r="A9" s="481" t="s">
        <v>555</v>
      </c>
      <c r="B9" s="482">
        <f>transport!B14</f>
        <v>31.527495940277777</v>
      </c>
      <c r="C9" s="482">
        <f>transport!C14</f>
        <v>0</v>
      </c>
      <c r="D9" s="482">
        <f>transport!D14</f>
        <v>133.55961814605669</v>
      </c>
      <c r="E9" s="482">
        <f>transport!E14</f>
        <v>102.06102592123609</v>
      </c>
      <c r="F9" s="482">
        <f>transport!F14</f>
        <v>0</v>
      </c>
      <c r="G9" s="482">
        <f>transport!G14</f>
        <v>47602.193259021362</v>
      </c>
      <c r="H9" s="482">
        <f>transport!H14</f>
        <v>9922.5301625725933</v>
      </c>
      <c r="I9" s="482">
        <f>transport!I14</f>
        <v>0</v>
      </c>
      <c r="J9" s="482">
        <f>transport!J14</f>
        <v>0</v>
      </c>
      <c r="K9" s="482">
        <f>transport!K14</f>
        <v>0</v>
      </c>
      <c r="L9" s="482">
        <f>transport!L14</f>
        <v>0</v>
      </c>
      <c r="M9" s="482">
        <f>transport!M14</f>
        <v>3396.8583041618222</v>
      </c>
      <c r="N9" s="482">
        <f>transport!N14</f>
        <v>0</v>
      </c>
      <c r="O9" s="482">
        <f>transport!O14</f>
        <v>0</v>
      </c>
      <c r="P9" s="482">
        <f>transport!P14</f>
        <v>0</v>
      </c>
      <c r="Q9" s="481">
        <f>SUM(B9:P9)</f>
        <v>61188.729865763351</v>
      </c>
    </row>
    <row r="10" spans="1:17">
      <c r="A10" s="477" t="s">
        <v>545</v>
      </c>
      <c r="B10" s="478">
        <f>transport!B54</f>
        <v>0</v>
      </c>
      <c r="C10" s="478">
        <f>transport!C54</f>
        <v>0</v>
      </c>
      <c r="D10" s="478">
        <f>transport!D54</f>
        <v>0</v>
      </c>
      <c r="E10" s="478">
        <f>transport!E54</f>
        <v>0</v>
      </c>
      <c r="F10" s="478">
        <f>transport!F54</f>
        <v>0</v>
      </c>
      <c r="G10" s="478">
        <f>transport!G54</f>
        <v>489.32725521962539</v>
      </c>
      <c r="H10" s="478">
        <f>transport!H54</f>
        <v>0</v>
      </c>
      <c r="I10" s="478">
        <f>transport!I54</f>
        <v>0</v>
      </c>
      <c r="J10" s="478">
        <f>transport!J54</f>
        <v>0</v>
      </c>
      <c r="K10" s="478">
        <f>transport!K54</f>
        <v>0</v>
      </c>
      <c r="L10" s="478">
        <f>transport!L54</f>
        <v>0</v>
      </c>
      <c r="M10" s="478">
        <f>transport!M54</f>
        <v>27.196862986193327</v>
      </c>
      <c r="N10" s="478">
        <f>transport!N54</f>
        <v>0</v>
      </c>
      <c r="O10" s="478">
        <f>transport!O54</f>
        <v>0</v>
      </c>
      <c r="P10" s="479">
        <f>transport!P54</f>
        <v>0</v>
      </c>
      <c r="Q10" s="477">
        <f t="shared" si="0"/>
        <v>516.5241182058187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223.767267</v>
      </c>
      <c r="C14" s="485"/>
      <c r="D14" s="485">
        <f>'SEAP template'!E25</f>
        <v>521.7414</v>
      </c>
      <c r="E14" s="485"/>
      <c r="F14" s="485"/>
      <c r="G14" s="485"/>
      <c r="H14" s="485"/>
      <c r="I14" s="485"/>
      <c r="J14" s="485"/>
      <c r="K14" s="485"/>
      <c r="L14" s="485"/>
      <c r="M14" s="485"/>
      <c r="N14" s="485"/>
      <c r="O14" s="485"/>
      <c r="P14" s="486"/>
      <c r="Q14" s="477">
        <f t="shared" si="0"/>
        <v>745.50866700000006</v>
      </c>
    </row>
    <row r="15" spans="1:17" s="489" customFormat="1">
      <c r="A15" s="487" t="s">
        <v>549</v>
      </c>
      <c r="B15" s="488">
        <f ca="1">SUM(B4:B14)</f>
        <v>97215.997783132902</v>
      </c>
      <c r="C15" s="488">
        <f t="shared" ref="C15:Q15" ca="1" si="1">SUM(C4:C14)</f>
        <v>6955.7142857142853</v>
      </c>
      <c r="D15" s="488">
        <f t="shared" ca="1" si="1"/>
        <v>79354.630278027485</v>
      </c>
      <c r="E15" s="488">
        <f t="shared" si="1"/>
        <v>17541.246934642055</v>
      </c>
      <c r="F15" s="488">
        <f t="shared" ca="1" si="1"/>
        <v>48708.399792637276</v>
      </c>
      <c r="G15" s="488">
        <f t="shared" si="1"/>
        <v>48091.52051424099</v>
      </c>
      <c r="H15" s="488">
        <f t="shared" si="1"/>
        <v>9922.5301625725933</v>
      </c>
      <c r="I15" s="488">
        <f t="shared" si="1"/>
        <v>0</v>
      </c>
      <c r="J15" s="488">
        <f t="shared" si="1"/>
        <v>2730.0833047183273</v>
      </c>
      <c r="K15" s="488">
        <f t="shared" si="1"/>
        <v>0</v>
      </c>
      <c r="L15" s="488">
        <f t="shared" ca="1" si="1"/>
        <v>0</v>
      </c>
      <c r="M15" s="488">
        <f t="shared" si="1"/>
        <v>3424.0551671480157</v>
      </c>
      <c r="N15" s="488">
        <f t="shared" ca="1" si="1"/>
        <v>15579.096715808791</v>
      </c>
      <c r="O15" s="488">
        <f t="shared" si="1"/>
        <v>461.20765122485847</v>
      </c>
      <c r="P15" s="488">
        <f t="shared" si="1"/>
        <v>683.92340560794582</v>
      </c>
      <c r="Q15" s="488">
        <f t="shared" ca="1" si="1"/>
        <v>330668.40599547554</v>
      </c>
    </row>
    <row r="17" spans="1:17">
      <c r="A17" s="490" t="s">
        <v>550</v>
      </c>
      <c r="B17" s="807">
        <f ca="1">huishoudens!B10</f>
        <v>0.19150349001479891</v>
      </c>
      <c r="C17" s="807">
        <f ca="1">huishoudens!C10</f>
        <v>3.9534630857888447E-3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3200.9033845372614</v>
      </c>
      <c r="C22" s="478">
        <f t="shared" ref="C22:C32" ca="1" si="3">C4*$C$17</f>
        <v>0</v>
      </c>
      <c r="D22" s="478">
        <f t="shared" ref="D22:D32" si="4">D4*$D$17</f>
        <v>6721.6423132122009</v>
      </c>
      <c r="E22" s="478">
        <f t="shared" ref="E22:E32" si="5">E4*$E$17</f>
        <v>2302.4028042076184</v>
      </c>
      <c r="F22" s="478">
        <f t="shared" ref="F22:F32" si="6">F4*$F$17</f>
        <v>2175.6205496572238</v>
      </c>
      <c r="G22" s="478">
        <f t="shared" ref="G22:G32" si="7">G4*$G$17</f>
        <v>0</v>
      </c>
      <c r="H22" s="478">
        <f t="shared" ref="H22:H32" si="8">H4*$H$17</f>
        <v>0</v>
      </c>
      <c r="I22" s="478">
        <f t="shared" ref="I22:I32" si="9">I4*$I$17</f>
        <v>0</v>
      </c>
      <c r="J22" s="478">
        <f t="shared" ref="J22:J32" si="10">J4*$J$17</f>
        <v>73.776528267186066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14474.34557988149</v>
      </c>
    </row>
    <row r="23" spans="1:17">
      <c r="A23" s="477" t="s">
        <v>155</v>
      </c>
      <c r="B23" s="478">
        <f t="shared" ca="1" si="2"/>
        <v>3351.7239205892934</v>
      </c>
      <c r="C23" s="478">
        <f t="shared" ca="1" si="3"/>
        <v>27.499159663865548</v>
      </c>
      <c r="D23" s="478">
        <f t="shared" ca="1" si="4"/>
        <v>3395.3095129123044</v>
      </c>
      <c r="E23" s="478">
        <f t="shared" si="5"/>
        <v>37.271774360546125</v>
      </c>
      <c r="F23" s="478">
        <f t="shared" ca="1" si="6"/>
        <v>367.08782415427441</v>
      </c>
      <c r="G23" s="478">
        <f t="shared" si="7"/>
        <v>0</v>
      </c>
      <c r="H23" s="478">
        <f t="shared" si="8"/>
        <v>0</v>
      </c>
      <c r="I23" s="478">
        <f t="shared" si="9"/>
        <v>0</v>
      </c>
      <c r="J23" s="478">
        <f t="shared" si="10"/>
        <v>1.4115507525758761E-2</v>
      </c>
      <c r="K23" s="478">
        <f t="shared" si="11"/>
        <v>0</v>
      </c>
      <c r="L23" s="478">
        <f t="shared" ca="1" si="12"/>
        <v>0</v>
      </c>
      <c r="M23" s="478">
        <f t="shared" si="13"/>
        <v>0</v>
      </c>
      <c r="N23" s="478">
        <f t="shared" ca="1" si="14"/>
        <v>0</v>
      </c>
      <c r="O23" s="478">
        <f t="shared" si="15"/>
        <v>0</v>
      </c>
      <c r="P23" s="479">
        <f t="shared" si="16"/>
        <v>0</v>
      </c>
      <c r="Q23" s="477">
        <f t="shared" ref="Q23:Q31" ca="1" si="17">SUM(B23:P23)</f>
        <v>7178.9063071878099</v>
      </c>
    </row>
    <row r="24" spans="1:17">
      <c r="A24" s="477" t="s">
        <v>193</v>
      </c>
      <c r="B24" s="478">
        <f t="shared" ca="1" si="2"/>
        <v>133.83451203872238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133.83451203872238</v>
      </c>
    </row>
    <row r="25" spans="1:17">
      <c r="A25" s="477" t="s">
        <v>111</v>
      </c>
      <c r="B25" s="478">
        <f t="shared" ca="1" si="2"/>
        <v>987.38730785139194</v>
      </c>
      <c r="C25" s="478">
        <f t="shared" ca="1" si="3"/>
        <v>0</v>
      </c>
      <c r="D25" s="478">
        <f t="shared" si="4"/>
        <v>755.04931412622807</v>
      </c>
      <c r="E25" s="478">
        <f t="shared" si="5"/>
        <v>36.527999184439793</v>
      </c>
      <c r="F25" s="478">
        <f t="shared" si="6"/>
        <v>4865.2175764864405</v>
      </c>
      <c r="G25" s="478">
        <f t="shared" si="7"/>
        <v>0</v>
      </c>
      <c r="H25" s="478">
        <f t="shared" si="8"/>
        <v>0</v>
      </c>
      <c r="I25" s="478">
        <f t="shared" si="9"/>
        <v>0</v>
      </c>
      <c r="J25" s="478">
        <f t="shared" si="10"/>
        <v>502.85948297915633</v>
      </c>
      <c r="K25" s="478">
        <f t="shared" si="11"/>
        <v>0</v>
      </c>
      <c r="L25" s="478">
        <f t="shared" si="12"/>
        <v>0</v>
      </c>
      <c r="M25" s="478">
        <f t="shared" si="13"/>
        <v>0</v>
      </c>
      <c r="N25" s="478">
        <f t="shared" si="14"/>
        <v>0</v>
      </c>
      <c r="O25" s="478">
        <f t="shared" si="15"/>
        <v>0</v>
      </c>
      <c r="P25" s="479">
        <f t="shared" si="16"/>
        <v>0</v>
      </c>
      <c r="Q25" s="477">
        <f t="shared" ca="1" si="17"/>
        <v>7147.0416806276571</v>
      </c>
    </row>
    <row r="26" spans="1:17">
      <c r="A26" s="477" t="s">
        <v>629</v>
      </c>
      <c r="B26" s="478">
        <f t="shared" ca="1" si="2"/>
        <v>10894.463897638672</v>
      </c>
      <c r="C26" s="478">
        <f t="shared" ca="1" si="3"/>
        <v>0</v>
      </c>
      <c r="D26" s="478">
        <f t="shared" si="4"/>
        <v>5025.2633702453168</v>
      </c>
      <c r="E26" s="478">
        <f t="shared" si="5"/>
        <v>1582.4926235270214</v>
      </c>
      <c r="F26" s="478">
        <f t="shared" si="6"/>
        <v>5597.2167943362147</v>
      </c>
      <c r="G26" s="478">
        <f t="shared" si="7"/>
        <v>0</v>
      </c>
      <c r="H26" s="478">
        <f t="shared" si="8"/>
        <v>0</v>
      </c>
      <c r="I26" s="478">
        <f t="shared" si="9"/>
        <v>0</v>
      </c>
      <c r="J26" s="478">
        <f t="shared" si="10"/>
        <v>389.79936311641973</v>
      </c>
      <c r="K26" s="478">
        <f t="shared" si="11"/>
        <v>0</v>
      </c>
      <c r="L26" s="478">
        <f t="shared" si="12"/>
        <v>0</v>
      </c>
      <c r="M26" s="478">
        <f t="shared" si="13"/>
        <v>0</v>
      </c>
      <c r="N26" s="478">
        <f t="shared" si="14"/>
        <v>0</v>
      </c>
      <c r="O26" s="478">
        <f t="shared" si="15"/>
        <v>0</v>
      </c>
      <c r="P26" s="479">
        <f t="shared" si="16"/>
        <v>0</v>
      </c>
      <c r="Q26" s="477">
        <f t="shared" ca="1" si="17"/>
        <v>23489.236048863648</v>
      </c>
    </row>
    <row r="27" spans="1:17" s="483" customFormat="1">
      <c r="A27" s="481" t="s">
        <v>555</v>
      </c>
      <c r="B27" s="801">
        <f t="shared" ca="1" si="2"/>
        <v>6.0376255039905988</v>
      </c>
      <c r="C27" s="482">
        <f t="shared" ca="1" si="3"/>
        <v>0</v>
      </c>
      <c r="D27" s="482">
        <f t="shared" si="4"/>
        <v>26.979042865503455</v>
      </c>
      <c r="E27" s="482">
        <f t="shared" si="5"/>
        <v>23.167852884120595</v>
      </c>
      <c r="F27" s="482">
        <f t="shared" si="6"/>
        <v>0</v>
      </c>
      <c r="G27" s="482">
        <f t="shared" si="7"/>
        <v>12709.785600158704</v>
      </c>
      <c r="H27" s="482">
        <f t="shared" si="8"/>
        <v>2470.7100104805759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15236.680131892896</v>
      </c>
    </row>
    <row r="28" spans="1:17" ht="16.5" customHeight="1">
      <c r="A28" s="477" t="s">
        <v>545</v>
      </c>
      <c r="B28" s="478">
        <f t="shared" ca="1" si="2"/>
        <v>0</v>
      </c>
      <c r="C28" s="478">
        <f t="shared" ca="1" si="3"/>
        <v>0</v>
      </c>
      <c r="D28" s="478">
        <f t="shared" si="4"/>
        <v>0</v>
      </c>
      <c r="E28" s="478">
        <f t="shared" si="5"/>
        <v>0</v>
      </c>
      <c r="F28" s="478">
        <f t="shared" si="6"/>
        <v>0</v>
      </c>
      <c r="G28" s="478">
        <f t="shared" si="7"/>
        <v>130.65037714363999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130.65037714363999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42.85221258157334</v>
      </c>
      <c r="C32" s="478">
        <f t="shared" ca="1" si="3"/>
        <v>0</v>
      </c>
      <c r="D32" s="478">
        <f t="shared" si="4"/>
        <v>105.39176280000001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148.24397538157336</v>
      </c>
    </row>
    <row r="33" spans="1:17" s="489" customFormat="1">
      <c r="A33" s="487" t="s">
        <v>549</v>
      </c>
      <c r="B33" s="488">
        <f ca="1">SUM(B22:B32)</f>
        <v>18617.202860740905</v>
      </c>
      <c r="C33" s="488">
        <f t="shared" ref="C33:Q33" ca="1" si="19">SUM(C22:C32)</f>
        <v>27.499159663865548</v>
      </c>
      <c r="D33" s="488">
        <f t="shared" ca="1" si="19"/>
        <v>16029.635316161553</v>
      </c>
      <c r="E33" s="488">
        <f t="shared" si="19"/>
        <v>3981.8630541637467</v>
      </c>
      <c r="F33" s="488">
        <f t="shared" ca="1" si="19"/>
        <v>13005.142744634153</v>
      </c>
      <c r="G33" s="488">
        <f t="shared" si="19"/>
        <v>12840.435977302344</v>
      </c>
      <c r="H33" s="488">
        <f t="shared" si="19"/>
        <v>2470.7100104805759</v>
      </c>
      <c r="I33" s="488">
        <f t="shared" si="19"/>
        <v>0</v>
      </c>
      <c r="J33" s="488">
        <f t="shared" si="19"/>
        <v>966.44948987028783</v>
      </c>
      <c r="K33" s="488">
        <f t="shared" si="19"/>
        <v>0</v>
      </c>
      <c r="L33" s="488">
        <f t="shared" ca="1" si="19"/>
        <v>0</v>
      </c>
      <c r="M33" s="488">
        <f t="shared" si="19"/>
        <v>0</v>
      </c>
      <c r="N33" s="488">
        <f t="shared" ca="1" si="19"/>
        <v>0</v>
      </c>
      <c r="O33" s="488">
        <f t="shared" si="19"/>
        <v>0</v>
      </c>
      <c r="P33" s="488">
        <f t="shared" si="19"/>
        <v>0</v>
      </c>
      <c r="Q33" s="488">
        <f t="shared" ca="1" si="19"/>
        <v>67938.938613017439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8274.3622674034959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4788</v>
      </c>
      <c r="C8" s="1062">
        <f>'SEAP template'!C76</f>
        <v>81.000000000000014</v>
      </c>
      <c r="D8" s="1062">
        <f>'SEAP template'!D76</f>
        <v>95.294117647058826</v>
      </c>
      <c r="E8" s="1062">
        <f>'SEAP template'!E76</f>
        <v>0</v>
      </c>
      <c r="F8" s="1062">
        <f>'SEAP template'!F76</f>
        <v>0</v>
      </c>
      <c r="G8" s="1062">
        <f>'SEAP template'!G76</f>
        <v>0</v>
      </c>
      <c r="H8" s="1062">
        <f>'SEAP template'!H76</f>
        <v>0</v>
      </c>
      <c r="I8" s="1062">
        <f>'SEAP template'!I76</f>
        <v>0</v>
      </c>
      <c r="J8" s="1062">
        <f>'SEAP template'!J76</f>
        <v>5632.9411764705883</v>
      </c>
      <c r="K8" s="1062">
        <f>'SEAP template'!K76</f>
        <v>0</v>
      </c>
      <c r="L8" s="1062">
        <f>'SEAP template'!L76</f>
        <v>0</v>
      </c>
      <c r="M8" s="1062">
        <f>'SEAP template'!M76</f>
        <v>0</v>
      </c>
      <c r="N8" s="1062">
        <f>'SEAP template'!N76</f>
        <v>0</v>
      </c>
      <c r="O8" s="1062">
        <f>'SEAP template'!O76</f>
        <v>0</v>
      </c>
      <c r="P8" s="1063">
        <f>'SEAP template'!Q76</f>
        <v>19.249411764705883</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13062.362267403496</v>
      </c>
      <c r="C10" s="1064">
        <f>SUM(C4:C9)</f>
        <v>81.000000000000014</v>
      </c>
      <c r="D10" s="1064">
        <f t="shared" ref="D10:H10" si="0">SUM(D8:D9)</f>
        <v>95.294117647058826</v>
      </c>
      <c r="E10" s="1064">
        <f t="shared" si="0"/>
        <v>0</v>
      </c>
      <c r="F10" s="1064">
        <f t="shared" si="0"/>
        <v>0</v>
      </c>
      <c r="G10" s="1064">
        <f t="shared" si="0"/>
        <v>0</v>
      </c>
      <c r="H10" s="1064">
        <f t="shared" si="0"/>
        <v>0</v>
      </c>
      <c r="I10" s="1064">
        <f>SUM(I8:I9)</f>
        <v>0</v>
      </c>
      <c r="J10" s="1064">
        <f>SUM(J8:J9)</f>
        <v>5632.9411764705883</v>
      </c>
      <c r="K10" s="1064">
        <f t="shared" ref="K10:L10" si="1">SUM(K8:K9)</f>
        <v>0</v>
      </c>
      <c r="L10" s="1064">
        <f t="shared" si="1"/>
        <v>0</v>
      </c>
      <c r="M10" s="1064">
        <f>SUM(M8:M9)</f>
        <v>0</v>
      </c>
      <c r="N10" s="1064">
        <f>SUM(N8:N9)</f>
        <v>0</v>
      </c>
      <c r="O10" s="1064">
        <f>SUM(O8:O9)</f>
        <v>0</v>
      </c>
      <c r="P10" s="1064">
        <f>SUM(P8:P9)</f>
        <v>19.249411764705883</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0.19150349001479891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6839.9999999999991</v>
      </c>
      <c r="C17" s="1065">
        <f>'SEAP template'!C87</f>
        <v>115.71428571428572</v>
      </c>
      <c r="D17" s="1063">
        <f>'SEAP template'!D87</f>
        <v>136.1344537815126</v>
      </c>
      <c r="E17" s="1063">
        <f>'SEAP template'!E87</f>
        <v>0</v>
      </c>
      <c r="F17" s="1063">
        <f>'SEAP template'!F87</f>
        <v>0</v>
      </c>
      <c r="G17" s="1063">
        <f>'SEAP template'!G87</f>
        <v>0</v>
      </c>
      <c r="H17" s="1063">
        <f>'SEAP template'!H87</f>
        <v>0</v>
      </c>
      <c r="I17" s="1063">
        <f>'SEAP template'!I87</f>
        <v>0</v>
      </c>
      <c r="J17" s="1063">
        <f>'SEAP template'!J87</f>
        <v>8047.0588235294108</v>
      </c>
      <c r="K17" s="1063">
        <f>'SEAP template'!K87</f>
        <v>0</v>
      </c>
      <c r="L17" s="1063">
        <f>'SEAP template'!L87</f>
        <v>0</v>
      </c>
      <c r="M17" s="1063">
        <f>'SEAP template'!M87</f>
        <v>0</v>
      </c>
      <c r="N17" s="1063">
        <f>'SEAP template'!N87</f>
        <v>0</v>
      </c>
      <c r="O17" s="1063">
        <f>'SEAP template'!O87</f>
        <v>0</v>
      </c>
      <c r="P17" s="1063">
        <f>'SEAP template'!Q87</f>
        <v>27.499159663865548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6839.9999999999991</v>
      </c>
      <c r="C20" s="1064">
        <f>SUM(C17:C19)</f>
        <v>115.71428571428572</v>
      </c>
      <c r="D20" s="1064">
        <f t="shared" ref="D20:H20" si="2">SUM(D17:D19)</f>
        <v>136.1344537815126</v>
      </c>
      <c r="E20" s="1064">
        <f t="shared" si="2"/>
        <v>0</v>
      </c>
      <c r="F20" s="1064">
        <f t="shared" si="2"/>
        <v>0</v>
      </c>
      <c r="G20" s="1064">
        <f t="shared" si="2"/>
        <v>0</v>
      </c>
      <c r="H20" s="1064">
        <f t="shared" si="2"/>
        <v>0</v>
      </c>
      <c r="I20" s="1064">
        <f>SUM(I17:I19)</f>
        <v>0</v>
      </c>
      <c r="J20" s="1064">
        <f>SUM(J17:J19)</f>
        <v>8047.0588235294108</v>
      </c>
      <c r="K20" s="1064">
        <f t="shared" ref="K20:L20" si="3">SUM(K17:K19)</f>
        <v>0</v>
      </c>
      <c r="L20" s="1064">
        <f t="shared" si="3"/>
        <v>0</v>
      </c>
      <c r="M20" s="1064">
        <f>SUM(M17:M19)</f>
        <v>0</v>
      </c>
      <c r="N20" s="1064">
        <f>SUM(N17:N19)</f>
        <v>0</v>
      </c>
      <c r="O20" s="1064">
        <f>SUM(O17:O19)</f>
        <v>0</v>
      </c>
      <c r="P20" s="1064">
        <f>SUM(P17:P19)</f>
        <v>27.499159663865548</v>
      </c>
    </row>
    <row r="21" spans="1:16">
      <c r="B21" s="913"/>
    </row>
    <row r="22" spans="1:16">
      <c r="A22" s="490" t="s">
        <v>815</v>
      </c>
      <c r="B22" s="807" t="s">
        <v>813</v>
      </c>
      <c r="C22" s="807">
        <f ca="1">'EF ele_warmte'!B22</f>
        <v>3.9534630857888447E-3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0.19150349001479891</v>
      </c>
      <c r="C17" s="527">
        <f ca="1">'EF ele_warmte'!B22</f>
        <v>3.9534630857888447E-3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2019-06-29T17:10:12Z</dcterms:modified>
</cp:coreProperties>
</file>