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<sst xmlns="http://schemas.openxmlformats.org/spreadsheetml/2006/main" count="2367" uniqueCount="882">
  <si>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</si>
  <si>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</si>
  <si>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</si>
  <si>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</si>
  <si>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</si>
  <si>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</si>
  <si>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</si>
  <si>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</si>
  <si>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</si>
  <si>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</si>
  <si>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</si>
  <si>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</si>
  <si>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</si>
  <si>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</si>
  <si>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</si>
  <si>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</si>
  <si>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</si>
  <si>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</si>
  <si>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</si>
  <si>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</si>
  <si>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</si>
  <si>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</si>
  <si>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</si>
  <si>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</si>
  <si>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</si>
  <si>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</si>
  <si>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</si>
  <si>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</si>
  <si>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</si>
  <si>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</si>
  <si>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</si>
  <si>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</si>
  <si>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</si>
  <si>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</si>
  <si>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</si>
  <si>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</si>
  <si>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</si>
  <si>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</si>
  <si>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</si>
  <si>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</si>
  <si>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</si>
  <si>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</si>
  <si>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</si>
  <si>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</si>
  <si>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</si>
  <si>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</si>
  <si>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</si>
  <si>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</si>
  <si>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</si>
  <si>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</si>
  <si>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</si>
  <si>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</si>
  <si>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</si>
  <si>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</si>
  <si>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</si>
  <si>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</si>
  <si>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</si>
  <si>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</si>
  <si>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</si>
  <si>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</si>
  <si>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</si>
  <si>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</si>
  <si>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</si>
  <si>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</si>
  <si>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</si>
  <si>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</si>
  <si>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</si>
  <si>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</si>
  <si>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</si>
  <si>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</si>
  <si>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</si>
  <si>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</si>
  <si>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</si>
  <si>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</si>
  <si>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</si>
  <si>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</si>
  <si>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</si>
  <si>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</si>
  <si>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</si>
  <si>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</si>
  <si>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</si>
  <si>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</si>
  <si>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</si>
  <si>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</si>
  <si>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</si>
  <si>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</si>
  <si>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</si>
  <si>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</si>
  <si>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</si>
  <si>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</si>
  <si>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</si>
  <si>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</si>
  <si>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</si>
  <si>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</si>
  <si>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</si>
  <si>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</si>
  <si>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</si>
  <si>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</si>
  <si>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</si>
  <si>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</si>
  <si>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</si>
  <si>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</si>
  <si>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</si>
  <si>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</si>
  <si>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</si>
  <si>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</si>
  <si>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</si>
  <si>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</si>
  <si>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</si>
  <si>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</si>
  <si>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</si>
  <si>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</si>
  <si>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</si>
  <si>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</si>
  <si>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</si>
  <si>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</si>
  <si>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</si>
  <si>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</si>
  <si>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</si>
  <si>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</si>
  <si>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</si>
  <si>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</si>
  <si>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</si>
  <si>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</si>
  <si>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</si>
  <si>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</si>
  <si>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</si>
  <si>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</si>
  <si>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</si>
  <si>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</si>
  <si>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</si>
  <si>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</si>
  <si>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</si>
  <si>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</si>
  <si>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</si>
  <si>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</si>
  <si>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</si>
  <si>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</si>
  <si>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</si>
  <si>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</si>
  <si>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</si>
  <si>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</si>
  <si>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</si>
  <si>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</si>
  <si>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</si>
  <si>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</si>
  <si>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</si>
  <si>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</si>
  <si>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</si>
  <si>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</si>
  <si>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</si>
  <si>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</si>
  <si>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</si>
  <si>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</si>
  <si>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</si>
  <si>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</si>
  <si>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</si>
  <si>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</si>
  <si>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</si>
  <si>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</si>
  <si>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</si>
  <si>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</si>
  <si>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</si>
  <si>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</si>
  <si>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</si>
  <si>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</si>
  <si>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</si>
  <si>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</si>
  <si>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</si>
  <si>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</si>
  <si>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</si>
  <si>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</si>
  <si>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</si>
  <si>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</si>
  <si>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</si>
  <si>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</si>
  <si>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</si>
  <si>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</si>
  <si>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</si>
  <si>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</si>
  <si>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</si>
  <si>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</si>
  <si>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</si>
  <si>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</si>
  <si>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</si>
  <si>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</si>
  <si>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</si>
  <si>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</si>
  <si>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</si>
  <si>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</si>
  <si>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</si>
  <si>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</si>
  <si>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</si>
  <si>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</si>
  <si>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</si>
  <si>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</si>
  <si>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</si>
  <si>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</si>
  <si>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</si>
  <si>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</si>
  <si>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</si>
  <si>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</si>
  <si>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</si>
  <si>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</si>
  <si>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</si>
  <si>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</si>
  <si>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</si>
  <si>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</si>
  <si>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</si>
  <si>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</si>
  <si>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</si>
  <si>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</si>
  <si>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</si>
  <si>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</si>
  <si>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</si>
  <si>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</si>
  <si>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</si>
  <si>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</si>
  <si>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</si>
  <si>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</si>
  <si>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</si>
  <si>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</si>
  <si>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</si>
  <si>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</si>
  <si>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</si>
  <si>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</si>
  <si>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</si>
  <si>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</si>
  <si>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</si>
  <si>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</si>
  <si>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</si>
  <si>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</si>
  <si>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</si>
  <si>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</si>
  <si>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</si>
  <si>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</si>
  <si>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</si>
  <si>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</si>
  <si>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</si>
  <si>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</si>
  <si>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</si>
  <si>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</si>
  <si>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</si>
  <si>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</si>
  <si>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</si>
  <si>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</si>
  <si>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</si>
  <si>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</si>
  <si>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</si>
  <si>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</si>
  <si>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</si>
  <si>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</si>
  <si>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</si>
  <si>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</si>
  <si>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</si>
  <si>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</si>
  <si>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</si>
  <si>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</si>
  <si>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</si>
  <si>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</si>
  <si>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</si>
  <si>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</si>
  <si>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</si>
  <si>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</si>
  <si>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</si>
  <si>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</si>
  <si>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</si>
  <si>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</si>
  <si>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</si>
  <si>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</si>
  <si>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</si>
  <si>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</si>
  <si>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</si>
  <si>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</si>
  <si>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</si>
  <si>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</si>
  <si>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</si>
  <si>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</si>
  <si>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</si>
  <si>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</si>
  <si>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</si>
  <si>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</si>
  <si>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</si>
  <si>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</si>
  <si>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</si>
  <si>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</si>
  <si>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</si>
  <si>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</si>
  <si>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</si>
  <si>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</si>
  <si>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</si>
  <si>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</si>
  <si>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</si>
  <si>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</si>
  <si>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</si>
  <si>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</si>
  <si>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</si>
  <si>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</si>
  <si>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</si>
  <si>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</si>
  <si>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</si>
  <si>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</si>
  <si>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</si>
  <si>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</si>
  <si>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</si>
  <si>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</si>
  <si>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</si>
  <si>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</si>
  <si>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</si>
  <si>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</si>
  <si>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</si>
  <si>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</si>
  <si>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</si>
  <si>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</si>
  <si>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</si>
  <si>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</si>
  <si>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</si>
  <si>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</si>
  <si>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</si>
  <si>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</si>
  <si>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</si>
  <si>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</si>
  <si>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</si>
  <si>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</si>
  <si>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</si>
  <si>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</si>
  <si>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</si>
  <si>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</si>
  <si>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</si>
  <si>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</si>
  <si>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</si>
  <si>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</si>
  <si>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</si>
  <si>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</si>
  <si>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</si>
  <si>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</si>
  <si>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</si>
  <si>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</si>
  <si>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</si>
  <si>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</si>
  <si>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</si>
  <si>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</si>
  <si>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</si>
  <si>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</si>
  <si>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</si>
  <si>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</si>
  <si>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</si>
  <si>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</si>
  <si>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</si>
  <si>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</si>
  <si>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</si>
  <si>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</si>
  <si>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</si>
  <si>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</si>
  <si>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</si>
  <si>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</si>
  <si>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</si>
  <si>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</si>
  <si>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</si>
  <si>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</si>
  <si>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</si>
  <si>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</si>
  <si>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</si>
  <si>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</si>
  <si>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</si>
  <si>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</si>
  <si>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</si>
  <si>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</si>
  <si>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</si>
  <si>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</si>
  <si>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</si>
  <si>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</si>
  <si>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</si>
  <si>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</si>
  <si>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</si>
  <si>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</si>
  <si>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</si>
  <si>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</si>
  <si>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</si>
  <si>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</si>
  <si>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</si>
  <si>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</si>
  <si>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</si>
  <si>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</si>
  <si>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</si>
  <si>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</si>
  <si>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</si>
  <si>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</si>
  <si>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</si>
  <si>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</si>
  <si>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</si>
  <si>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</si>
  <si>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</si>
  <si>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</si>
  <si>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</si>
  <si>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</si>
  <si>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</si>
  <si>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</si>
  <si>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</si>
  <si>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</si>
  <si>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</si>
  <si>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</si>
  <si>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</si>
  <si>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</si>
  <si>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</si>
  <si>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</si>
  <si>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</si>
  <si>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</si>
  <si>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</si>
  <si>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</si>
  <si>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</si>
  <si>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</si>
  <si>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</si>
  <si>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</si>
  <si>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</si>
  <si>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</si>
  <si>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</si>
  <si>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</si>
  <si>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</si>
  <si>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</si>
  <si>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</si>
  <si>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</si>
  <si>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</si>
  <si>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</si>
  <si>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</si>
  <si>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</si>
  <si>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</si>
  <si>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</si>
  <si>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</si>
  <si>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</si>
  <si>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</si>
  <si>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</si>
  <si>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</si>
  <si>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</si>
  <si>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</si>
  <si>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</si>
  <si>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</si>
  <si>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</si>
  <si>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</si>
  <si>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</si>
  <si>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</si>
  <si>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</si>
  <si>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</si>
  <si>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</si>
  <si>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</si>
  <si>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</si>
  <si>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</si>
  <si>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</si>
  <si>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</si>
  <si>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</si>
  <si>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</si>
  <si>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</si>
  <si>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</si>
  <si>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</si>
  <si>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</si>
  <si>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</si>
  <si>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</si>
  <si>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</si>
  <si>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</si>
  <si>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</si>
  <si>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</si>
  <si>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</si>
  <si>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</si>
  <si>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</si>
  <si>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</si>
  <si>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</si>
  <si>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</si>
  <si>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</si>
  <si>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</si>
  <si>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</si>
  <si>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</si>
  <si>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</si>
  <si>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</si>
  <si>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</si>
  <si>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</si>
  <si>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</si>
  <si>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</si>
  <si>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</si>
  <si>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</si>
  <si>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</si>
  <si>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</si>
  <si>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</si>
  <si>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</si>
  <si>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</si>
  <si>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</si>
  <si>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</si>
  <si>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</si>
  <si>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</si>
  <si>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</si>
  <si>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</si>
  <si>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</si>
  <si>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</si>
  <si>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</si>
  <si>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</si>
  <si>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</si>
  <si>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</si>
  <si>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</si>
  <si>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</si>
  <si>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</si>
  <si>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</si>
  <si>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</si>
  <si>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</si>
  <si>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</si>
  <si>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</si>
  <si>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</si>
  <si>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</si>
  <si>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</si>
  <si>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</si>
  <si>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</si>
  <si>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</si>
  <si>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</si>
  <si>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</si>
  <si>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</si>
  <si>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</si>
  <si>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</si>
  <si>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</si>
  <si>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</si>
  <si>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</si>
  <si>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</si>
  <si>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</si>
  <si>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</si>
  <si>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</si>
  <si>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</si>
  <si>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</si>
  <si>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</si>
  <si>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</si>
  <si>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</si>
  <si>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</si>
  <si>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</si>
  <si>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</si>
  <si>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</si>
  <si>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</si>
  <si>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</si>
  <si>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</si>
  <si>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</si>
  <si>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</si>
  <si>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</si>
  <si>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</si>
  <si>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</si>
  <si>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</si>
  <si>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</si>
  <si>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</si>
  <si>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</si>
  <si>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</si>
  <si>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</si>
  <si>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</si>
  <si>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</si>
  <si>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</si>
  <si>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</si>
  <si>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</si>
  <si>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</si>
  <si>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</si>
  <si>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</si>
  <si>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</si>
  <si>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</si>
  <si>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</si>
  <si>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</si>
  <si>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</si>
  <si>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</si>
  <si>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</si>
  <si>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</si>
  <si>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</si>
  <si>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</si>
  <si>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</si>
  <si>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</si>
  <si>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</si>
  <si>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</si>
  <si>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</si>
  <si>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</si>
  <si>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</si>
  <si>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</si>
  <si>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</si>
  <si>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</si>
  <si>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</si>
  <si>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</si>
  <si>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</si>
  <si>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</si>
  <si>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</si>
  <si>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</si>
  <si>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</si>
  <si>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</si>
  <si>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</si>
  <si>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</si>
  <si>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</si>
  <si>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</si>
  <si>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</si>
  <si>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</si>
  <si>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</si>
  <si>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</si>
  <si>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</si>
  <si>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</si>
  <si>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</si>
  <si>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</si>
  <si>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</si>
  <si>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</si>
  <si>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</si>
  <si>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</si>
  <si>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</si>
  <si>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</si>
  <si>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</si>
  <si>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</si>
  <si>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</si>
  <si>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</si>
  <si>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</si>
  <si>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</si>
  <si>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</si>
  <si>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</si>
  <si>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</si>
  <si>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</si>
  <si>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</si>
  <si>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</si>
  <si>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</si>
  <si>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</si>
  <si>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</si>
  <si>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</si>
  <si>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</si>
  <si>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</si>
  <si>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</si>
  <si>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</si>
  <si>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</si>
  <si>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</si>
  <si>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</si>
  <si>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</si>
  <si>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</si>
  <si>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</si>
  <si>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</si>
  <si>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</si>
  <si>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</si>
  <si>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</si>
  <si>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</si>
  <si>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</si>
  <si>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</si>
  <si>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</si>
  <si>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</si>
  <si>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</si>
  <si>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</si>
  <si>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</si>
  <si>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</si>
  <si>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</si>
  <si>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</si>
  <si>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</si>
  <si>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</si>
  <si>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</si>
  <si>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</si>
  <si>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</si>
  <si>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</si>
  <si>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</si>
  <si>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</si>
  <si>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</si>
  <si>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</si>
  <si>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</si>
  <si>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</si>
  <si>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</si>
  <si>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</si>
  <si>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</si>
  <si>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</si>
  <si>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</si>
  <si>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</si>
  <si>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</si>
  <si>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</si>
  <si>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</si>
  <si>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</si>
  <si>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</si>
  <si>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</si>
  <si>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</si>
  <si>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</si>
  <si>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</si>
  <si>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</si>
  <si>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</si>
  <si>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</si>
  <si>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</si>
  <si>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</si>
  <si>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</si>
  <si>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</si>
  <si>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</si>
  <si>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</si>
  <si>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</si>
  <si>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</si>
  <si>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</si>
  <si>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</si>
  <si>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</si>
  <si>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</si>
  <si>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</si>
  <si>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</si>
  <si>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</si>
  <si>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</si>
  <si>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</si>
  <si>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</si>
  <si>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</si>
  <si>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</si>
  <si>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</si>
  <si>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</si>
  <si>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</si>
  <si>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</si>
  <si>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</si>
  <si>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</si>
  <si>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</si>
  <si>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</si>
  <si>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</si>
  <si>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</si>
  <si>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</si>
  <si>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</si>
  <si>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</si>
  <si>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</si>
  <si>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</si>
  <si>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</si>
  <si>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</si>
  <si>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</si>
  <si>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</si>
  <si>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</si>
  <si>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</si>
  <si>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</si>
  <si>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</si>
  <si>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</si>
  <si>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</si>
  <si>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</si>
  <si>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</si>
  <si>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</si>
  <si>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</si>
  <si>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</si>
  <si>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</si>
  <si>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</si>
  <si>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</si>
  <si>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</si>
  <si>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</si>
  <si>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</si>
  <si>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</si>
  <si>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</si>
  <si>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</si>
  <si>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</si>
  <si>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</si>
  <si>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</si>
  <si>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</si>
  <si>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</si>
  <si>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</si>
  <si>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</si>
  <si>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</si>
  <si>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</si>
  <si>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</si>
  <si>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</si>
  <si>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</si>
  <si>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</si>
  <si>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</si>
  <si>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</si>
  <si>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</si>
  <si>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</si>
  <si>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</si>
  <si>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</si>
  <si>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</si>
  <si>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</si>
  <si>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</si>
  <si>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</si>
  <si>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</si>
  <si>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</si>
  <si>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</si>
  <si>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</si>
  <si>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</si>
  <si>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</si>
  <si>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</si>
  <si>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</si>
  <si>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</si>
  <si>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</si>
  <si>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</si>
  <si>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</si>
  <si>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</si>
  <si>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</si>
  <si>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</si>
  <si>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</si>
  <si>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</si>
  <si>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</si>
  <si>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</si>
  <si>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</si>
  <si>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</si>
  <si>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</si>
  <si>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</si>
  <si>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</si>
  <si>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</si>
  <si>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</si>
  <si>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</si>
  <si>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</si>
  <si>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</si>
  <si>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</si>
  <si>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</si>
  <si>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</si>
  <si>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</si>
  <si>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</si>
  <si>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</si>
  <si>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</si>
  <si>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</si>
  <si>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</si>
  <si>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</si>
  <si>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</si>
  <si>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</si>
  <si>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</si>
  <si>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</si>
  <si>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</si>
  <si>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</si>
  <si>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</si>
  <si>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</si>
  <si>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</si>
  <si>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</si>
  <si>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</si>
  <si>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</si>
  <si>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</si>
  <si>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</si>
  <si>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</si>
  <si>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</si>
  <si>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</si>
  <si>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</si>
  <si>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</si>
  <si>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</si>
  <si>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</si>
  <si>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</si>
  <si>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</si>
  <si>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</si>
  <si>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</si>
  <si>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</si>
  <si>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</si>
  <si>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</si>
  <si>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</si>
  <si>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</si>
  <si>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</si>
  <si>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</si>
  <si>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</si>
  <si>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</si>
  <si>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</si>
  <si>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</si>
  <si>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</si>
  <si>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</si>
  <si>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</si>
  <si>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</si>
  <si>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</si>
  <si>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</si>
  <si>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</si>
  <si>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</si>
  <si>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</si>
  <si>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</si>
  <si>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</si>
  <si>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</si>
  <si>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</si>
  <si>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</si>
  <si>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</si>
  <si>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</si>
  <si>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</si>
  <si>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</si>
  <si>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</si>
  <si>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</si>
  <si>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</si>
  <si>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</si>
  <si>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</si>
  <si>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</si>
  <si>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</si>
  <si>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</si>
  <si>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</si>
  <si>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</si>
  <si>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</si>
  <si>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</si>
  <si>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</si>
  <si>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</si>
  <si>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</si>
  <si>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</si>
  <si>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</si>
  <si>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</si>
  <si>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</si>
  <si>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</si>
  <si>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</si>
  <si>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</si>
  <si>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</si>
  <si>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</si>
  <si>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</si>
  <si>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</si>
  <si>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</si>
  <si>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</si>
  <si>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</si>
  <si>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24137</t>
  </si>
  <si>
    <t>GLABBEEK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</si>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</sst>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52287.147778372753</c:v>
                </c:pt>
                <c:pt idx="1">
                  <c:v>9034.89537114218</c:v>
                </c:pt>
                <c:pt idx="2">
                  <c:v>451.52100000000002</c:v>
                </c:pt>
                <c:pt idx="3">
                  <c:v>11621.526539085722</c:v>
                </c:pt>
                <c:pt idx="4">
                  <c:v>2683.8697851877746</c:v>
                </c:pt>
                <c:pt idx="5">
                  <c:v>47602.732276930699</c:v>
                </c:pt>
                <c:pt idx="6">
                  <c:v>522.94930863486866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52287.147778372753</c:v>
                </c:pt>
                <c:pt idx="1">
                  <c:v>9034.89537114218</c:v>
                </c:pt>
                <c:pt idx="2">
                  <c:v>451.52100000000002</c:v>
                </c:pt>
                <c:pt idx="3">
                  <c:v>11621.526539085722</c:v>
                </c:pt>
                <c:pt idx="4">
                  <c:v>2683.8697851877746</c:v>
                </c:pt>
                <c:pt idx="5">
                  <c:v>47602.732276930699</c:v>
                </c:pt>
                <c:pt idx="6">
                  <c:v>522.94930863486866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11334.372299550418</c:v>
                </c:pt>
                <c:pt idx="1">
                  <c:v>1727.4729148771348</c:v>
                </c:pt>
                <c:pt idx="2">
                  <c:v>82.870915476810907</c:v>
                </c:pt>
                <c:pt idx="3">
                  <c:v>2952.0052745001672</c:v>
                </c:pt>
                <c:pt idx="4">
                  <c:v>545.10636183469342</c:v>
                </c:pt>
                <c:pt idx="5">
                  <c:v>11847.260902608859</c:v>
                </c:pt>
                <c:pt idx="6">
                  <c:v>132.27557434777245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9168"/>
        <c:axId val="160765056"/>
      </c:barChart>
      <c:catAx>
        <c:axId val="160759168"/>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59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11334.372299550418</c:v>
                </c:pt>
                <c:pt idx="1">
                  <c:v>1727.4729148771348</c:v>
                </c:pt>
                <c:pt idx="2">
                  <c:v>82.870915476810907</c:v>
                </c:pt>
                <c:pt idx="3">
                  <c:v>2952.0052745001672</c:v>
                </c:pt>
                <c:pt idx="4">
                  <c:v>545.10636183469342</c:v>
                </c:pt>
                <c:pt idx="5">
                  <c:v>11847.260902608859</c:v>
                </c:pt>
                <c:pt idx="6">
                  <c:v>132.27557434777245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0.18353723409722009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0.18353723409722009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2104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1715.94</v>
      </c>
    </row>
    <row r="15" spans="1:6">
      <c r="A15" s="348" t="s">
        <v>183</v>
      </c>
      <c r="B15" s="334">
        <v>20</v>
      </c>
    </row>
    <row r="16" spans="1:6">
      <c r="A16" s="348" t="s">
        <v>6</v>
      </c>
      <c r="B16" s="334">
        <v>517</v>
      </c>
    </row>
    <row r="17" spans="1:6">
      <c r="A17" s="348" t="s">
        <v>7</v>
      </c>
      <c r="B17" s="334">
        <v>491</v>
      </c>
    </row>
    <row r="18" spans="1:6">
      <c r="A18" s="348" t="s">
        <v>8</v>
      </c>
      <c r="B18" s="334">
        <v>680</v>
      </c>
    </row>
    <row r="19" spans="1:6">
      <c r="A19" s="348" t="s">
        <v>9</v>
      </c>
      <c r="B19" s="334">
        <v>616</v>
      </c>
    </row>
    <row r="20" spans="1:6">
      <c r="A20" s="348" t="s">
        <v>10</v>
      </c>
      <c r="B20" s="334">
        <v>351</v>
      </c>
    </row>
    <row r="21" spans="1:6">
      <c r="A21" s="348" t="s">
        <v>11</v>
      </c>
      <c r="B21" s="334">
        <v>7347</v>
      </c>
    </row>
    <row r="22" spans="1:6">
      <c r="A22" s="348" t="s">
        <v>12</v>
      </c>
      <c r="B22" s="334">
        <v>7129</v>
      </c>
    </row>
    <row r="23" spans="1:6">
      <c r="A23" s="348" t="s">
        <v>13</v>
      </c>
      <c r="B23" s="334">
        <v>469</v>
      </c>
    </row>
    <row r="24" spans="1:6">
      <c r="A24" s="348" t="s">
        <v>14</v>
      </c>
      <c r="B24" s="334">
        <v>4</v>
      </c>
    </row>
    <row r="25" spans="1:6">
      <c r="A25" s="348" t="s">
        <v>15</v>
      </c>
      <c r="B25" s="334">
        <v>1766</v>
      </c>
    </row>
    <row r="26" spans="1:6">
      <c r="A26" s="348" t="s">
        <v>16</v>
      </c>
      <c r="B26" s="334">
        <v>390</v>
      </c>
    </row>
    <row r="27" spans="1:6">
      <c r="A27" s="348" t="s">
        <v>17</v>
      </c>
      <c r="B27" s="334">
        <v>0</v>
      </c>
    </row>
    <row r="28" spans="1:6" s="356" customFormat="1">
      <c r="A28" s="355" t="s">
        <v>18</v>
      </c>
      <c r="B28" s="355">
        <v>2264</v>
      </c>
    </row>
    <row r="29" spans="1:6">
      <c r="A29" s="355" t="s">
        <v>713</v>
      </c>
      <c r="B29" s="355">
        <v>108</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519</v>
      </c>
      <c r="D39" s="334">
        <v>9522738.1999999993</v>
      </c>
      <c r="E39" s="334">
        <v>1953</v>
      </c>
      <c r="F39" s="334">
        <v>7353588.1500000004</v>
      </c>
    </row>
    <row r="40" spans="1:6">
      <c r="A40" s="348" t="s">
        <v>29</v>
      </c>
      <c r="B40" s="348" t="s">
        <v>28</v>
      </c>
      <c r="C40" s="334">
        <v>0</v>
      </c>
      <c r="D40" s="334">
        <v>0</v>
      </c>
      <c r="E40" s="334">
        <v>0</v>
      </c>
      <c r="F40" s="334">
        <v>0</v>
      </c>
    </row>
    <row r="41" spans="1:6">
      <c r="A41" s="348" t="s">
        <v>31</v>
      </c>
      <c r="B41" s="348" t="s">
        <v>32</v>
      </c>
      <c r="C41" s="334">
        <v>38</v>
      </c>
      <c r="D41" s="334">
        <v>968174</v>
      </c>
      <c r="E41" s="334">
        <v>71</v>
      </c>
      <c r="F41" s="334">
        <v>519625.69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90183</v>
      </c>
      <c r="E44" s="334">
        <v>14</v>
      </c>
      <c r="F44" s="334">
        <v>200914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14416</v>
      </c>
      <c r="E48" s="334">
        <v>2</v>
      </c>
      <c r="F48" s="334">
        <v>6579</v>
      </c>
    </row>
    <row r="49" spans="1:6">
      <c r="A49" s="348" t="s">
        <v>31</v>
      </c>
      <c r="B49" s="348" t="s">
        <v>39</v>
      </c>
      <c r="C49" s="334">
        <v>0</v>
      </c>
      <c r="D49" s="334">
        <v>0</v>
      </c>
      <c r="E49" s="334">
        <v>0</v>
      </c>
      <c r="F49" s="334">
        <v>0</v>
      </c>
    </row>
    <row r="50" spans="1:6">
      <c r="A50" s="348" t="s">
        <v>31</v>
      </c>
      <c r="B50" s="348" t="s">
        <v>40</v>
      </c>
      <c r="C50" s="334">
        <v>0</v>
      </c>
      <c r="D50" s="334">
        <v>0</v>
      </c>
      <c r="E50" s="334">
        <v>8</v>
      </c>
      <c r="F50" s="334">
        <v>315780.62099999998</v>
      </c>
    </row>
    <row r="51" spans="1:6">
      <c r="A51" s="348" t="s">
        <v>41</v>
      </c>
      <c r="B51" s="348" t="s">
        <v>42</v>
      </c>
      <c r="C51" s="334">
        <v>4</v>
      </c>
      <c r="D51" s="334">
        <v>108154</v>
      </c>
      <c r="E51" s="334">
        <v>79</v>
      </c>
      <c r="F51" s="334">
        <v>2380578.9219999998</v>
      </c>
    </row>
    <row r="52" spans="1:6">
      <c r="A52" s="348" t="s">
        <v>41</v>
      </c>
      <c r="B52" s="348" t="s">
        <v>28</v>
      </c>
      <c r="C52" s="334">
        <v>0</v>
      </c>
      <c r="D52" s="334">
        <v>0</v>
      </c>
      <c r="E52" s="334">
        <v>0</v>
      </c>
      <c r="F52" s="334">
        <v>0</v>
      </c>
    </row>
    <row r="53" spans="1:6">
      <c r="A53" s="348" t="s">
        <v>43</v>
      </c>
      <c r="B53" s="348" t="s">
        <v>44</v>
      </c>
      <c r="C53" s="334">
        <v>9</v>
      </c>
      <c r="D53" s="334">
        <v>348374</v>
      </c>
      <c r="E53" s="334">
        <v>39</v>
      </c>
      <c r="F53" s="334">
        <v>197140.05</v>
      </c>
    </row>
    <row r="54" spans="1:6">
      <c r="A54" s="348" t="s">
        <v>45</v>
      </c>
      <c r="B54" s="348" t="s">
        <v>46</v>
      </c>
      <c r="C54" s="334">
        <v>0</v>
      </c>
      <c r="D54" s="334">
        <v>0</v>
      </c>
      <c r="E54" s="334">
        <v>1</v>
      </c>
      <c r="F54" s="334">
        <v>451521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v>
      </c>
      <c r="D57" s="334">
        <v>119041</v>
      </c>
      <c r="E57" s="334">
        <v>34</v>
      </c>
      <c r="F57" s="334">
        <v>242445</v>
      </c>
    </row>
    <row r="58" spans="1:6">
      <c r="A58" s="348" t="s">
        <v>48</v>
      </c>
      <c r="B58" s="348" t="s">
        <v>50</v>
      </c>
      <c r="C58" s="334">
        <v>8</v>
      </c>
      <c r="D58" s="334">
        <v>612168</v>
      </c>
      <c r="E58" s="334">
        <v>19</v>
      </c>
      <c r="F58" s="334">
        <v>311854.45</v>
      </c>
    </row>
    <row r="59" spans="1:6">
      <c r="A59" s="348" t="s">
        <v>48</v>
      </c>
      <c r="B59" s="348" t="s">
        <v>51</v>
      </c>
      <c r="C59" s="334">
        <v>13</v>
      </c>
      <c r="D59" s="334">
        <v>528948</v>
      </c>
      <c r="E59" s="334">
        <v>58</v>
      </c>
      <c r="F59" s="334">
        <v>3734698.551</v>
      </c>
    </row>
    <row r="60" spans="1:6">
      <c r="A60" s="348" t="s">
        <v>48</v>
      </c>
      <c r="B60" s="348" t="s">
        <v>52</v>
      </c>
      <c r="C60" s="334">
        <v>6</v>
      </c>
      <c r="D60" s="334">
        <v>211535</v>
      </c>
      <c r="E60" s="334">
        <v>18</v>
      </c>
      <c r="F60" s="334">
        <v>250973</v>
      </c>
    </row>
    <row r="61" spans="1:6">
      <c r="A61" s="348" t="s">
        <v>48</v>
      </c>
      <c r="B61" s="348" t="s">
        <v>53</v>
      </c>
      <c r="C61" s="334">
        <v>37</v>
      </c>
      <c r="D61" s="334">
        <v>1252527</v>
      </c>
      <c r="E61" s="334">
        <v>93</v>
      </c>
      <c r="F61" s="334">
        <v>1058000.449</v>
      </c>
    </row>
    <row r="62" spans="1:6">
      <c r="A62" s="348" t="s">
        <v>48</v>
      </c>
      <c r="B62" s="348" t="s">
        <v>54</v>
      </c>
      <c r="C62" s="334">
        <v>0</v>
      </c>
      <c r="D62" s="334">
        <v>0</v>
      </c>
      <c r="E62" s="334">
        <v>3</v>
      </c>
      <c r="F62" s="334">
        <v>36455</v>
      </c>
    </row>
    <row r="63" spans="1:6">
      <c r="A63" s="348" t="s">
        <v>48</v>
      </c>
      <c r="B63" s="348" t="s">
        <v>28</v>
      </c>
      <c r="C63" s="334">
        <v>1</v>
      </c>
      <c r="D63" s="334">
        <v>84707</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31531966</v>
      </c>
      <c r="E73" s="476"/>
    </row>
    <row r="74" spans="1:6">
      <c r="A74" s="348" t="s">
        <v>63</v>
      </c>
      <c r="B74" s="348" t="s">
        <v>651</v>
      </c>
      <c r="C74" s="1307" t="s">
        <v>653</v>
      </c>
      <c r="D74" s="476">
        <v>5385603</v>
      </c>
      <c r="E74" s="476"/>
    </row>
    <row r="75" spans="1:6">
      <c r="A75" s="348" t="s">
        <v>64</v>
      </c>
      <c r="B75" s="348" t="s">
        <v>650</v>
      </c>
      <c r="C75" s="1307" t="s">
        <v>654</v>
      </c>
      <c r="D75" s="476">
        <v>14481926</v>
      </c>
      <c r="E75" s="476"/>
    </row>
    <row r="76" spans="1:6">
      <c r="A76" s="348" t="s">
        <v>64</v>
      </c>
      <c r="B76" s="348" t="s">
        <v>651</v>
      </c>
      <c r="C76" s="1307" t="s">
        <v>655</v>
      </c>
      <c r="D76" s="476">
        <v>262242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145282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1881.7688270277424</v>
      </c>
    </row>
    <row r="92" spans="1:6">
      <c r="A92" s="341" t="s">
        <v>68</v>
      </c>
      <c r="B92" s="342">
        <v>1333.4028452035325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v>
      </c>
    </row>
    <row r="98" spans="1:6">
      <c r="A98" s="348" t="s">
        <v>71</v>
      </c>
      <c r="B98" s="334">
        <v>0</v>
      </c>
    </row>
    <row r="99" spans="1:6">
      <c r="A99" s="348" t="s">
        <v>72</v>
      </c>
      <c r="B99" s="334">
        <v>65</v>
      </c>
    </row>
    <row r="100" spans="1:6">
      <c r="A100" s="348" t="s">
        <v>73</v>
      </c>
      <c r="B100" s="334">
        <v>83</v>
      </c>
    </row>
    <row r="101" spans="1:6">
      <c r="A101" s="348" t="s">
        <v>74</v>
      </c>
      <c r="B101" s="334">
        <v>28</v>
      </c>
    </row>
    <row r="102" spans="1:6">
      <c r="A102" s="348" t="s">
        <v>75</v>
      </c>
      <c r="B102" s="334">
        <v>20</v>
      </c>
    </row>
    <row r="103" spans="1:6">
      <c r="A103" s="348" t="s">
        <v>76</v>
      </c>
      <c r="B103" s="334">
        <v>74</v>
      </c>
    </row>
    <row r="104" spans="1:6">
      <c r="A104" s="348" t="s">
        <v>77</v>
      </c>
      <c r="B104" s="334">
        <v>1532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4</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55</v>
      </c>
    </row>
    <row r="130" spans="1:6">
      <c r="A130" s="348" t="s">
        <v>294</v>
      </c>
      <c r="B130" s="334">
        <v>1</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18966.910809711073</v>
      </c>
      <c r="C3" s="43" t="s">
        <v>169</v>
      </c>
      <c r="D3" s="43"/>
      <c r="E3" s="154"/>
      <c r="F3" s="43"/>
      <c r="G3" s="43"/>
      <c r="H3" s="43"/>
      <c r="I3" s="43"/>
      <c r="J3" s="43"/>
      <c r="K3" s="96"/>
    </row>
    <row r="4" spans="1:11">
      <c r="A4" s="383" t="s">
        <v>170</v>
      </c>
      <c r="B4" s="49">
        <f>IF(ISERROR('SEAP template'!B78),0,'SEAP template'!B78)</f>
        <v>3215.1716722312749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0.18353723409722009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451.52100000000002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451.52100000000002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0.18353723409722009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82.870915476810907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7353.5881500000005</v>
      </c>
      <c r="C5" s="17">
        <f>IF(ISERROR('Eigen informatie GS &amp; warmtenet'!B59),0,'Eigen informatie GS &amp; warmtenet'!B59)</f>
        <v>0</v>
      </c>
      <c r="D5" s="30">
        <f>(SUM(HH_hh_gas_kWh,HH_rest_gas_kWh)/1000)*0.902</f>
        <v>8589.5098564</v>
      </c>
      <c r="E5" s="17">
        <f>B46*B57</f>
        <v>5107.1158371532292</v>
      </c>
      <c r="F5" s="17">
        <f>B51*B62</f>
        <v>24012.700755840677</v>
      </c>
      <c r="G5" s="18"/>
      <c r="H5" s="17"/>
      <c r="I5" s="17"/>
      <c r="J5" s="17">
        <f>B50*B61+C50*C61</f>
        <v>942.2402153961466</v>
      </c>
      <c r="K5" s="17"/>
      <c r="L5" s="17"/>
      <c r="M5" s="17"/>
      <c r="N5" s="17">
        <f>B48*B59+C48*C59</f>
        <v>3807.1584745459099</v>
      </c>
      <c r="O5" s="17">
        <f>B69*B70*B71</f>
        <v>119.0374931632219</v>
      </c>
      <c r="P5" s="17">
        <f>B77*B78*B79/1000-B77*B78*B79/1000/B80</f>
        <v>474.02816884582603</v>
      </c>
    </row>
    <row r="6" spans="1:16">
      <c r="A6" s="16" t="s">
        <v>615</v>
      </c>
      <c r="B6" s="809">
        <f>kWh_PV_kleiner_dan_10kW</f>
        <v>1881.7688270277424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9235.3569770277427</v>
      </c>
      <c r="C8" s="21">
        <f>C5</f>
        <v>0</v>
      </c>
      <c r="D8" s="21">
        <f>D5</f>
        <v>8589.5098564</v>
      </c>
      <c r="E8" s="21">
        <f>E5</f>
        <v>5107.1158371532292</v>
      </c>
      <c r="F8" s="21">
        <f>F5</f>
        <v>24012.700755840677</v>
      </c>
      <c r="G8" s="21"/>
      <c r="H8" s="21"/>
      <c r="I8" s="21"/>
      <c r="J8" s="21">
        <f>J5</f>
        <v>942.2402153961466</v>
      </c>
      <c r="K8" s="21"/>
      <c r="L8" s="21">
        <f>L5</f>
        <v>0</v>
      </c>
      <c r="M8" s="21">
        <f>M5</f>
        <v>0</v>
      </c>
      <c r="N8" s="21">
        <f>N5</f>
        <v>3807.1584745459099</v>
      </c>
      <c r="O8" s="21">
        <f>O5</f>
        <v>119.0374931632219</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0.18353723409722009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1695.0318754641357</v>
      </c>
      <c r="C12" s="23">
        <f ca="1">C10*C8</f>
        <v>0</v>
      </c>
      <c r="D12" s="23">
        <f>D8*D10</f>
        <v>1735.0809909928</v>
      </c>
      <c r="E12" s="23">
        <f>E10*E8</f>
        <v>1159.3152950337831</v>
      </c>
      <c r="F12" s="23">
        <f>F10*F8</f>
        <v>6411.3911018094614</v>
      </c>
      <c r="G12" s="23"/>
      <c r="H12" s="23"/>
      <c r="I12" s="23"/>
      <c r="J12" s="23">
        <f>J10*J8</f>
        <v>333.55303625023589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2104</v>
      </c>
      <c r="C28" s="36"/>
      <c r="D28" s="228"/>
    </row>
    <row r="29" spans="1:7" s="15" customFormat="1">
      <c r="A29" s="230" t="s">
        <v>838</v>
      </c>
      <c r="B29" s="37">
        <f>SUM(HH_hh_gas_aantal,HH_rest_gas_aantal)</f>
        <v>519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519</v>
      </c>
      <c r="C32" s="167">
        <f>IF(ISERROR(B32/SUM($B$32,$B$34,$B$35,$B$36,$B$38,$B$39)*100),0,B32/SUM($B$32,$B$34,$B$35,$B$36,$B$38,$B$39)*100)</f>
        <v>25.206410879067509</v>
      </c>
      <c r="D32" s="233"/>
      <c r="G32" s="15"/>
    </row>
    <row r="33" spans="1:7">
      <c r="A33" s="171" t="s">
        <v>71</v>
      </c>
      <c r="B33" s="34" t="s">
        <v>110</v>
      </c>
      <c r="C33" s="167"/>
      <c r="D33" s="233"/>
      <c r="G33" s="15"/>
    </row>
    <row r="34" spans="1:7">
      <c r="A34" s="171" t="s">
        <v>72</v>
      </c>
      <c r="B34" s="33">
        <f>IF((($B$28-$B$32-$B$39-$B$77-$B$38)*C20/100)&lt;0,0,($B$28-$B$32-$B$39-$B$77-$B$38)*C20/100)</f>
        <v>130.36931818181813</v>
      </c>
      <c r="C34" s="167">
        <f>IF(ISERROR(B34/SUM($B$32,$B$34,$B$35,$B$36,$B$38,$B$39)*100),0,B34/SUM($B$32,$B$34,$B$35,$B$36,$B$38,$B$39)*100)</f>
        <v>6.3316813104331295</v>
      </c>
      <c r="D34" s="233"/>
      <c r="G34" s="15"/>
    </row>
    <row r="35" spans="1:7">
      <c r="A35" s="171" t="s">
        <v>73</v>
      </c>
      <c r="B35" s="33">
        <f>IF((($B$28-$B$32-$B$39-$B$77-$B$38)*C21/100)&lt;0,0,($B$28-$B$32-$B$39-$B$77-$B$38)*C21/100)</f>
        <v>166.47159090909088</v>
      </c>
      <c r="C35" s="167">
        <f>IF(ISERROR(B35/SUM($B$32,$B$34,$B$35,$B$36,$B$38,$B$39)*100),0,B35/SUM($B$32,$B$34,$B$35,$B$36,$B$38,$B$39)*100)</f>
        <v>8.0850699810146125</v>
      </c>
      <c r="D35" s="233"/>
      <c r="G35" s="15"/>
    </row>
    <row r="36" spans="1:7">
      <c r="A36" s="171" t="s">
        <v>74</v>
      </c>
      <c r="B36" s="33">
        <f>IF((($B$28-$B$32-$B$39-$B$77-$B$38)*C22/100)&lt;0,0,($B$28-$B$32-$B$39-$B$77-$B$38)*C22/100)</f>
        <v>56.159090909090892</v>
      </c>
      <c r="C36" s="167">
        <f>IF(ISERROR(B36/SUM($B$32,$B$34,$B$35,$B$36,$B$38,$B$39)*100),0,B36/SUM($B$32,$B$34,$B$35,$B$36,$B$38,$B$39)*100)</f>
        <v>2.7274934875711945</v>
      </c>
      <c r="D36" s="233"/>
      <c r="G36" s="15"/>
    </row>
    <row r="37" spans="1:7">
      <c r="A37" s="171" t="s">
        <v>75</v>
      </c>
      <c r="B37" s="34" t="s">
        <v>110</v>
      </c>
      <c r="C37" s="167"/>
      <c r="D37" s="173"/>
      <c r="G37" s="15"/>
    </row>
    <row r="38" spans="1:7">
      <c r="A38" s="171" t="s">
        <v>76</v>
      </c>
      <c r="B38" s="33">
        <f>IF((B24-(B29-B18)*0.1)&lt;0,0,B24-(B29-B18)*0.1)</f>
        <v>32.099999999999994</v>
      </c>
      <c r="C38" s="167">
        <f>IF(ISERROR(B38/SUM($B$32,$B$34,$B$35,$B$36,$B$38,$B$39)*100),0,B38/SUM($B$32,$B$34,$B$35,$B$36,$B$38,$B$39)*100)</f>
        <v>1.5590092277804757</v>
      </c>
      <c r="D38" s="234"/>
      <c r="G38" s="15"/>
    </row>
    <row r="39" spans="1:7">
      <c r="A39" s="171" t="s">
        <v>77</v>
      </c>
      <c r="B39" s="33">
        <f>IF((B25-(B29-B18))&lt;0,0,B25-(B29-B18)*0.9)</f>
        <v>1154.9000000000001</v>
      </c>
      <c r="C39" s="167">
        <f>IF(ISERROR(B39/SUM($B$32,$B$34,$B$35,$B$36,$B$38,$B$39)*100),0,B39/SUM($B$32,$B$34,$B$35,$B$36,$B$38,$B$39)*100)</f>
        <v>56.090335114133083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519</v>
      </c>
      <c r="C44" s="34" t="s">
        <v>110</v>
      </c>
      <c r="D44" s="174"/>
    </row>
    <row r="45" spans="1:7">
      <c r="A45" s="171" t="s">
        <v>71</v>
      </c>
      <c r="B45" s="33" t="str">
        <f t="shared" si="0"/>
        <v>-</v>
      </c>
      <c r="C45" s="34" t="s">
        <v>110</v>
      </c>
      <c r="D45" s="174"/>
    </row>
    <row r="46" spans="1:7">
      <c r="A46" s="171" t="s">
        <v>72</v>
      </c>
      <c r="B46" s="33">
        <f t="shared" si="0"/>
        <v>130.36931818181813</v>
      </c>
      <c r="C46" s="34" t="s">
        <v>110</v>
      </c>
      <c r="D46" s="174"/>
    </row>
    <row r="47" spans="1:7">
      <c r="A47" s="171" t="s">
        <v>73</v>
      </c>
      <c r="B47" s="33">
        <f t="shared" si="0"/>
        <v>166.47159090909088</v>
      </c>
      <c r="C47" s="34" t="s">
        <v>110</v>
      </c>
      <c r="D47" s="174"/>
    </row>
    <row r="48" spans="1:7">
      <c r="A48" s="171" t="s">
        <v>74</v>
      </c>
      <c r="B48" s="33">
        <f t="shared" si="0"/>
        <v>56.159090909090892</v>
      </c>
      <c r="C48" s="33">
        <f>B48*10</f>
        <v>561.59090909090889</v>
      </c>
      <c r="D48" s="234"/>
    </row>
    <row r="49" spans="1:6">
      <c r="A49" s="171" t="s">
        <v>75</v>
      </c>
      <c r="B49" s="33" t="str">
        <f t="shared" si="0"/>
        <v>-</v>
      </c>
      <c r="C49" s="34" t="s">
        <v>110</v>
      </c>
      <c r="D49" s="234"/>
    </row>
    <row r="50" spans="1:6">
      <c r="A50" s="171" t="s">
        <v>76</v>
      </c>
      <c r="B50" s="33">
        <f t="shared" si="0"/>
        <v>32.099999999999994</v>
      </c>
      <c r="C50" s="33">
        <f>B50*2</f>
        <v>64.199999999999989</v>
      </c>
      <c r="D50" s="234"/>
    </row>
    <row r="51" spans="1:6">
      <c r="A51" s="171" t="s">
        <v>77</v>
      </c>
      <c r="B51" s="33">
        <f t="shared" si="0"/>
        <v>1154.9000000000001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5634.4264499999999</v>
      </c>
      <c r="C5" s="17">
        <f>IF(ISERROR('Eigen informatie GS &amp; warmtenet'!B60),0,'Eigen informatie GS &amp; warmtenet'!B60)</f>
        <v>0</v>
      </c>
      <c r="D5" s="30">
        <f>SUM(D6:D12)</f>
        <v>2533.6512519999997</v>
      </c>
      <c r="E5" s="17">
        <f>SUM(E6:E12)</f>
        <v>113.32419926701451</v>
      </c>
      <c r="F5" s="17">
        <f>SUM(F6:F12)</f>
        <v>583.60399027497579</v>
      </c>
      <c r="G5" s="18"/>
      <c r="H5" s="17"/>
      <c r="I5" s="17"/>
      <c r="J5" s="17">
        <f>SUM(J6:J12)</f>
        <v>4.115759563509595E-3</v>
      </c>
      <c r="K5" s="17"/>
      <c r="L5" s="17"/>
      <c r="M5" s="17"/>
      <c r="N5" s="17">
        <f>SUM(N6:N12)</f>
        <v>164.98810307478468</v>
      </c>
      <c r="O5" s="17">
        <f>B38*B39*B40</f>
        <v>4.8972607658411542</v>
      </c>
      <c r="P5" s="17">
        <f>B46*B47*B48/1000-B46*B47*B48/1000/B49</f>
        <v>0</v>
      </c>
      <c r="R5" s="32"/>
    </row>
    <row r="6" spans="1:18">
      <c r="A6" s="32" t="s">
        <v>53</v>
      </c>
      <c r="B6" s="37">
        <f>B26</f>
        <v>1058.0004490000001</v>
      </c>
      <c r="C6" s="33"/>
      <c r="D6" s="37">
        <f>IF(ISERROR(TER_kantoor_gas_kWh/1000),0,TER_kantoor_gas_kWh/1000)*0.902</f>
        <v>1129.779354</v>
      </c>
      <c r="E6" s="33">
        <f>$C$26*'E Balans VL '!I12/100/3.6*1000000</f>
        <v>8.5133903914343563</v>
      </c>
      <c r="F6" s="33">
        <f>$C$26*('E Balans VL '!L12+'E Balans VL '!N12)/100/3.6*1000000</f>
        <v>129.35168469864539</v>
      </c>
      <c r="G6" s="34"/>
      <c r="H6" s="33"/>
      <c r="I6" s="33"/>
      <c r="J6" s="33">
        <f>$C$26*('E Balans VL '!D12+'E Balans VL '!E12)/100/3.6*1000000</f>
        <v>0</v>
      </c>
      <c r="K6" s="33"/>
      <c r="L6" s="33"/>
      <c r="M6" s="33"/>
      <c r="N6" s="33">
        <f>$C$26*'E Balans VL '!Y12/100/3.6*1000000</f>
        <v>0.5686231404544998</v>
      </c>
      <c r="O6" s="33"/>
      <c r="P6" s="33"/>
      <c r="R6" s="32"/>
    </row>
    <row r="7" spans="1:18">
      <c r="A7" s="32" t="s">
        <v>52</v>
      </c>
      <c r="B7" s="37">
        <f t="shared" ref="B7:B12" si="0">B27</f>
        <v>250.97300000000001</v>
      </c>
      <c r="C7" s="33"/>
      <c r="D7" s="37">
        <f>IF(ISERROR(TER_horeca_gas_kWh/1000),0,TER_horeca_gas_kWh/1000)*0.902</f>
        <v>190.80457000000001</v>
      </c>
      <c r="E7" s="33">
        <f>$C$27*'E Balans VL '!I9/100/3.6*1000000</f>
        <v>2.6948337380555056</v>
      </c>
      <c r="F7" s="33">
        <f>$C$27*('E Balans VL '!L9+'E Balans VL '!N9)/100/3.6*1000000</f>
        <v>30.185966132845643</v>
      </c>
      <c r="G7" s="34"/>
      <c r="H7" s="33"/>
      <c r="I7" s="33"/>
      <c r="J7" s="33">
        <f>$C$27*('E Balans VL '!D9+'E Balans VL '!E9)/100/3.6*1000000</f>
        <v>0</v>
      </c>
      <c r="K7" s="33"/>
      <c r="L7" s="33"/>
      <c r="M7" s="33"/>
      <c r="N7" s="33">
        <f>$C$27*'E Balans VL '!Y9/100/3.6*1000000</f>
        <v>3.7625939332159471E-2</v>
      </c>
      <c r="O7" s="33"/>
      <c r="P7" s="33"/>
      <c r="R7" s="32"/>
    </row>
    <row r="8" spans="1:18">
      <c r="A8" s="6" t="s">
        <v>51</v>
      </c>
      <c r="B8" s="37">
        <f t="shared" si="0"/>
        <v>3734.698551</v>
      </c>
      <c r="C8" s="33"/>
      <c r="D8" s="37">
        <f>IF(ISERROR(TER_handel_gas_kWh/1000),0,TER_handel_gas_kWh/1000)*0.902</f>
        <v>477.11109599999997</v>
      </c>
      <c r="E8" s="33">
        <f>$C$28*'E Balans VL '!I13/100/3.6*1000000</f>
        <v>100.22787544014179</v>
      </c>
      <c r="F8" s="33">
        <f>$C$28*('E Balans VL '!L13+'E Balans VL '!N13)/100/3.6*1000000</f>
        <v>356.40534814273138</v>
      </c>
      <c r="G8" s="34"/>
      <c r="H8" s="33"/>
      <c r="I8" s="33"/>
      <c r="J8" s="33">
        <f>$C$28*('E Balans VL '!D13+'E Balans VL '!E13)/100/3.6*1000000</f>
        <v>0</v>
      </c>
      <c r="K8" s="33"/>
      <c r="L8" s="33"/>
      <c r="M8" s="33"/>
      <c r="N8" s="33">
        <f>$C$28*'E Balans VL '!Y13/100/3.6*1000000</f>
        <v>1.480476970578579</v>
      </c>
      <c r="O8" s="33"/>
      <c r="P8" s="33"/>
      <c r="R8" s="32"/>
    </row>
    <row r="9" spans="1:18">
      <c r="A9" s="32" t="s">
        <v>50</v>
      </c>
      <c r="B9" s="37">
        <f t="shared" si="0"/>
        <v>311.85444999999999</v>
      </c>
      <c r="C9" s="33"/>
      <c r="D9" s="37">
        <f>IF(ISERROR(TER_gezond_gas_kWh/1000),0,TER_gezond_gas_kWh/1000)*0.902</f>
        <v>552.17553599999997</v>
      </c>
      <c r="E9" s="33">
        <f>$C$29*'E Balans VL '!I10/100/3.6*1000000</f>
        <v>0.58451678351835556</v>
      </c>
      <c r="F9" s="33">
        <f>$C$29*('E Balans VL '!L10+'E Balans VL '!N10)/100/3.6*1000000</f>
        <v>25.637281242604693</v>
      </c>
      <c r="G9" s="34"/>
      <c r="H9" s="33"/>
      <c r="I9" s="33"/>
      <c r="J9" s="33">
        <f>$C$29*('E Balans VL '!D10+'E Balans VL '!E10)/100/3.6*1000000</f>
        <v>0</v>
      </c>
      <c r="K9" s="33"/>
      <c r="L9" s="33"/>
      <c r="M9" s="33"/>
      <c r="N9" s="33">
        <f>$C$29*'E Balans VL '!Y10/100/3.6*1000000</f>
        <v>2.4264602978523278</v>
      </c>
      <c r="O9" s="33"/>
      <c r="P9" s="33"/>
      <c r="R9" s="32"/>
    </row>
    <row r="10" spans="1:18">
      <c r="A10" s="32" t="s">
        <v>49</v>
      </c>
      <c r="B10" s="37">
        <f t="shared" si="0"/>
        <v>242.44499999999999</v>
      </c>
      <c r="C10" s="33"/>
      <c r="D10" s="37">
        <f>IF(ISERROR(TER_ander_gas_kWh/1000),0,TER_ander_gas_kWh/1000)*0.902</f>
        <v>107.374982</v>
      </c>
      <c r="E10" s="33">
        <f>$C$30*'E Balans VL '!I14/100/3.6*1000000</f>
        <v>0.37373142415722649</v>
      </c>
      <c r="F10" s="33">
        <f>$C$30*('E Balans VL '!L14+'E Balans VL '!N14)/100/3.6*1000000</f>
        <v>37.63965318062202</v>
      </c>
      <c r="G10" s="34"/>
      <c r="H10" s="33"/>
      <c r="I10" s="33"/>
      <c r="J10" s="33">
        <f>$C$30*('E Balans VL '!D14+'E Balans VL '!E14)/100/3.6*1000000</f>
        <v>4.115759563509595E-3</v>
      </c>
      <c r="K10" s="33"/>
      <c r="L10" s="33"/>
      <c r="M10" s="33"/>
      <c r="N10" s="33">
        <f>$C$30*'E Balans VL '!Y14/100/3.6*1000000</f>
        <v>160.39384169607678</v>
      </c>
      <c r="O10" s="33"/>
      <c r="P10" s="33"/>
      <c r="R10" s="32"/>
    </row>
    <row r="11" spans="1:18">
      <c r="A11" s="32" t="s">
        <v>54</v>
      </c>
      <c r="B11" s="37">
        <f t="shared" si="0"/>
        <v>36.454999999999998</v>
      </c>
      <c r="C11" s="33"/>
      <c r="D11" s="37">
        <f>IF(ISERROR(TER_onderwijs_gas_kWh/1000),0,TER_onderwijs_gas_kWh/1000)*0.902</f>
        <v>0</v>
      </c>
      <c r="E11" s="33">
        <f>$C$31*'E Balans VL '!I11/100/3.6*1000000</f>
        <v>0.9298514897072776</v>
      </c>
      <c r="F11" s="33">
        <f>$C$31*('E Balans VL '!L11+'E Balans VL '!N11)/100/3.6*1000000</f>
        <v>4.3840568775267528</v>
      </c>
      <c r="G11" s="34"/>
      <c r="H11" s="33"/>
      <c r="I11" s="33"/>
      <c r="J11" s="33">
        <f>$C$31*('E Balans VL '!D11+'E Balans VL '!E11)/100/3.6*1000000</f>
        <v>0</v>
      </c>
      <c r="K11" s="33"/>
      <c r="L11" s="33"/>
      <c r="M11" s="33"/>
      <c r="N11" s="33">
        <f>$C$31*'E Balans VL '!Y11/100/3.6*1000000</f>
        <v>8.1075030490335376E-2</v>
      </c>
      <c r="O11" s="33"/>
      <c r="P11" s="33"/>
      <c r="R11" s="32"/>
    </row>
    <row r="12" spans="1:18">
      <c r="A12" s="32" t="s">
        <v>259</v>
      </c>
      <c r="B12" s="37">
        <f t="shared" si="0"/>
        <v>0</v>
      </c>
      <c r="C12" s="33"/>
      <c r="D12" s="37">
        <f>IF(ISERROR(TER_rest_gas_kWh/1000),0,TER_rest_gas_kWh/1000)*0.902</f>
        <v>76.405714000000003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5634.4264499999999</v>
      </c>
      <c r="C16" s="21">
        <f t="shared" ca="1" si="1"/>
        <v>0</v>
      </c>
      <c r="D16" s="21">
        <f t="shared" ca="1" si="1"/>
        <v>2533.6512519999997</v>
      </c>
      <c r="E16" s="21">
        <f t="shared" si="1"/>
        <v>113.32419926701451</v>
      </c>
      <c r="F16" s="21">
        <f t="shared" ca="1" si="1"/>
        <v>583.60399027497579</v>
      </c>
      <c r="G16" s="21">
        <f t="shared" si="1"/>
        <v>0</v>
      </c>
      <c r="H16" s="21">
        <f t="shared" si="1"/>
        <v>0</v>
      </c>
      <c r="I16" s="21">
        <f t="shared" si="1"/>
        <v>0</v>
      </c>
      <c r="J16" s="21">
        <f t="shared" si="1"/>
        <v>4.115759563509595E-3</v>
      </c>
      <c r="K16" s="21">
        <f t="shared" si="1"/>
        <v>0</v>
      </c>
      <c r="L16" s="21">
        <f t="shared" ca="1" si="1"/>
        <v>0</v>
      </c>
      <c r="M16" s="21">
        <f t="shared" si="1"/>
        <v>0</v>
      </c>
      <c r="N16" s="21">
        <f t="shared" ca="1" si="1"/>
        <v>164.98810307478468</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0.18353723409722009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1034.1270463572187</v>
      </c>
      <c r="C20" s="23">
        <f t="shared" ref="C20:P20" ca="1" si="2">C16*C18</f>
        <v>0</v>
      </c>
      <c r="D20" s="23">
        <f t="shared" ca="1" si="2"/>
        <v>511.79755290399999</v>
      </c>
      <c r="E20" s="23">
        <f t="shared" si="2"/>
        <v>25.724593233612293</v>
      </c>
      <c r="F20" s="23">
        <f t="shared" ca="1" si="2"/>
        <v>155.82226540341856</v>
      </c>
      <c r="G20" s="23">
        <f t="shared" si="2"/>
        <v>0</v>
      </c>
      <c r="H20" s="23">
        <f t="shared" si="2"/>
        <v>0</v>
      </c>
      <c r="I20" s="23">
        <f t="shared" si="2"/>
        <v>0</v>
      </c>
      <c r="J20" s="23">
        <f t="shared" si="2"/>
        <v>1.4569788854823964E-3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1058.0004490000001</v>
      </c>
      <c r="C26" s="39">
        <f>IF(ISERROR(B26*3.6/1000000/'E Balans VL '!Z12*100),0,B26*3.6/1000000/'E Balans VL '!Z12*100)</f>
        <v>2.2444511566278479E-2</v>
      </c>
      <c r="D26" s="237" t="s">
        <v>716</v>
      </c>
      <c r="F26" s="6"/>
    </row>
    <row r="27" spans="1:18">
      <c r="A27" s="231" t="s">
        <v>52</v>
      </c>
      <c r="B27" s="33">
        <f>IF(ISERROR(TER_horeca_ele_kWh/1000),0,TER_horeca_ele_kWh/1000)</f>
        <v>250.97300000000001</v>
      </c>
      <c r="C27" s="39">
        <f>IF(ISERROR(B27*3.6/1000000/'E Balans VL '!Z9*100),0,B27*3.6/1000000/'E Balans VL '!Z9*100)</f>
        <v>1.890049014596628E-2</v>
      </c>
      <c r="D27" s="237" t="s">
        <v>716</v>
      </c>
      <c r="F27" s="6"/>
    </row>
    <row r="28" spans="1:18">
      <c r="A28" s="171" t="s">
        <v>51</v>
      </c>
      <c r="B28" s="33">
        <f>IF(ISERROR(TER_handel_ele_kWh/1000),0,TER_handel_ele_kWh/1000)</f>
        <v>3734.698551</v>
      </c>
      <c r="C28" s="39">
        <f>IF(ISERROR(B28*3.6/1000000/'E Balans VL '!Z13*100),0,B28*3.6/1000000/'E Balans VL '!Z13*100)</f>
        <v>0.10840506586609587</v>
      </c>
      <c r="D28" s="237" t="s">
        <v>716</v>
      </c>
      <c r="F28" s="6"/>
    </row>
    <row r="29" spans="1:18">
      <c r="A29" s="231" t="s">
        <v>50</v>
      </c>
      <c r="B29" s="33">
        <f>IF(ISERROR(TER_gezond_ele_kWh/1000),0,TER_gezond_ele_kWh/1000)</f>
        <v>311.85444999999999</v>
      </c>
      <c r="C29" s="39">
        <f>IF(ISERROR(B29*3.6/1000000/'E Balans VL '!Z10*100),0,B29*3.6/1000000/'E Balans VL '!Z10*100)</f>
        <v>3.1450893184078843E-2</v>
      </c>
      <c r="D29" s="237" t="s">
        <v>716</v>
      </c>
      <c r="F29" s="6"/>
    </row>
    <row r="30" spans="1:18">
      <c r="A30" s="231" t="s">
        <v>49</v>
      </c>
      <c r="B30" s="33">
        <f>IF(ISERROR(TER_ander_ele_kWh/1000),0,TER_ander_ele_kWh/1000)</f>
        <v>242.44499999999999</v>
      </c>
      <c r="C30" s="39">
        <f>IF(ISERROR(B30*3.6/1000000/'E Balans VL '!Z14*100),0,B30*3.6/1000000/'E Balans VL '!Z14*100)</f>
        <v>1.7592692306257256E-2</v>
      </c>
      <c r="D30" s="237" t="s">
        <v>716</v>
      </c>
      <c r="F30" s="6"/>
    </row>
    <row r="31" spans="1:18">
      <c r="A31" s="231" t="s">
        <v>54</v>
      </c>
      <c r="B31" s="33">
        <f>IF(ISERROR(TER_onderwijs_ele_kWh/1000),0,TER_onderwijs_ele_kWh/1000)</f>
        <v>36.454999999999998</v>
      </c>
      <c r="C31" s="39">
        <f>IF(ISERROR(B31*3.6/1000000/'E Balans VL '!Z11*100),0,B31*3.6/1000000/'E Balans VL '!Z11*100)</f>
        <v>1.0391159516724481E-2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1042.8993109999999</v>
      </c>
      <c r="C5" s="17">
        <f>IF(ISERROR('Eigen informatie GS &amp; warmtenet'!B61),0,'Eigen informatie GS &amp; warmtenet'!B61)</f>
        <v>0</v>
      </c>
      <c r="D5" s="30">
        <f>SUM(D6:D15)</f>
        <v>967.64124600000002</v>
      </c>
      <c r="E5" s="17">
        <f>SUM(E6:E15)</f>
        <v>146.31464647975068</v>
      </c>
      <c r="F5" s="17">
        <f>SUM(F6:F15)</f>
        <v>467.89428403612726</v>
      </c>
      <c r="G5" s="18"/>
      <c r="H5" s="17"/>
      <c r="I5" s="17"/>
      <c r="J5" s="17">
        <f>SUM(J6:J15)</f>
        <v>0.25643099239397837</v>
      </c>
      <c r="K5" s="17"/>
      <c r="L5" s="17"/>
      <c r="M5" s="17"/>
      <c r="N5" s="17">
        <f>SUM(N6:N15)</f>
        <v>58.863866679502578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200.91399999999999</v>
      </c>
      <c r="C8" s="33"/>
      <c r="D8" s="37">
        <f>IF( ISERROR(IND_metaal_Gas_kWH/1000),0,IND_metaal_Gas_kWH/1000)*0.902</f>
        <v>81.345066000000003</v>
      </c>
      <c r="E8" s="33">
        <f>C30*'E Balans VL '!I18/100/3.6*1000000</f>
        <v>1.4494534953756346</v>
      </c>
      <c r="F8" s="33">
        <f>C30*'E Balans VL '!L18/100/3.6*1000000+C30*'E Balans VL '!N18/100/3.6*1000000</f>
        <v>19.002759805347644</v>
      </c>
      <c r="G8" s="34"/>
      <c r="H8" s="33"/>
      <c r="I8" s="33"/>
      <c r="J8" s="40">
        <f>C30*'E Balans VL '!D18/100/3.6*1000000+C30*'E Balans VL '!E18/100/3.6*1000000</f>
        <v>0.20208046875105848</v>
      </c>
      <c r="K8" s="33"/>
      <c r="L8" s="33"/>
      <c r="M8" s="33"/>
      <c r="N8" s="33">
        <f>C30*'E Balans VL '!Y18/100/3.6*1000000</f>
        <v>2.5400845259643789</v>
      </c>
      <c r="O8" s="33"/>
      <c r="P8" s="33"/>
      <c r="R8" s="32"/>
    </row>
    <row r="9" spans="1:18">
      <c r="A9" s="6" t="s">
        <v>32</v>
      </c>
      <c r="B9" s="37">
        <f t="shared" si="0"/>
        <v>519.62568999999996</v>
      </c>
      <c r="C9" s="33"/>
      <c r="D9" s="37">
        <f>IF( ISERROR(IND_andere_gas_kWh/1000),0,IND_andere_gas_kWh/1000)*0.902</f>
        <v>873.29294800000002</v>
      </c>
      <c r="E9" s="33">
        <f>C31*'E Balans VL '!I19/100/3.6*1000000</f>
        <v>143.99522696496956</v>
      </c>
      <c r="F9" s="33">
        <f>C31*'E Balans VL '!L19/100/3.6*1000000+C31*'E Balans VL '!N19/100/3.6*1000000</f>
        <v>430.66689479177029</v>
      </c>
      <c r="G9" s="34"/>
      <c r="H9" s="33"/>
      <c r="I9" s="33"/>
      <c r="J9" s="40">
        <f>C31*'E Balans VL '!D19/100/3.6*1000000+C31*'E Balans VL '!E19/100/3.6*1000000</f>
        <v>0</v>
      </c>
      <c r="K9" s="33"/>
      <c r="L9" s="33"/>
      <c r="M9" s="33"/>
      <c r="N9" s="33">
        <f>C31*'E Balans VL '!Y19/100/3.6*1000000</f>
        <v>37.718469383753146</v>
      </c>
      <c r="O9" s="33"/>
      <c r="P9" s="33"/>
      <c r="R9" s="32"/>
    </row>
    <row r="10" spans="1:18">
      <c r="A10" s="6" t="s">
        <v>40</v>
      </c>
      <c r="B10" s="37">
        <f t="shared" si="0"/>
        <v>315.780621</v>
      </c>
      <c r="C10" s="33"/>
      <c r="D10" s="37">
        <f>IF( ISERROR(IND_voed_gas_kWh/1000),0,IND_voed_gas_kWh/1000)*0.902</f>
        <v>0</v>
      </c>
      <c r="E10" s="33">
        <f>C32*'E Balans VL '!I20/100/3.6*1000000</f>
        <v>0.55903866092395715</v>
      </c>
      <c r="F10" s="33">
        <f>C32*'E Balans VL '!L20/100/3.6*1000000+C32*'E Balans VL '!N20/100/3.6*1000000</f>
        <v>17.054952272538831</v>
      </c>
      <c r="G10" s="34"/>
      <c r="H10" s="33"/>
      <c r="I10" s="33"/>
      <c r="J10" s="40">
        <f>C32*'E Balans VL '!D20/100/3.6*1000000+C32*'E Balans VL '!E20/100/3.6*1000000</f>
        <v>0</v>
      </c>
      <c r="K10" s="33"/>
      <c r="L10" s="33"/>
      <c r="M10" s="33"/>
      <c r="N10" s="33">
        <f>C32*'E Balans VL '!Y20/100/3.6*1000000</f>
        <v>18.349265726753838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6.5789999999999997</v>
      </c>
      <c r="C15" s="33"/>
      <c r="D15" s="37">
        <f>IF( ISERROR(IND_rest_gas_kWh/1000),0,IND_rest_gas_kWh/1000)*0.902</f>
        <v>13.003232000000001</v>
      </c>
      <c r="E15" s="33">
        <f>C37*'E Balans VL '!I15/100/3.6*1000000</f>
        <v>0.31092735848153474</v>
      </c>
      <c r="F15" s="33">
        <f>C37*'E Balans VL '!L15/100/3.6*1000000+C37*'E Balans VL '!N15/100/3.6*1000000</f>
        <v>1.1696771664704508</v>
      </c>
      <c r="G15" s="34"/>
      <c r="H15" s="33"/>
      <c r="I15" s="33"/>
      <c r="J15" s="40">
        <f>C37*'E Balans VL '!D15/100/3.6*1000000+C37*'E Balans VL '!E15/100/3.6*1000000</f>
        <v>5.4350523642919903E-2</v>
      </c>
      <c r="K15" s="33"/>
      <c r="L15" s="33"/>
      <c r="M15" s="33"/>
      <c r="N15" s="33">
        <f>C37*'E Balans VL '!Y15/100/3.6*1000000</f>
        <v>0.25604704303121367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1042.8993109999999</v>
      </c>
      <c r="C18" s="21">
        <f>C5+C16</f>
        <v>0</v>
      </c>
      <c r="D18" s="21">
        <f>MAX((D5+D16),0)</f>
        <v>967.64124600000002</v>
      </c>
      <c r="E18" s="21">
        <f>MAX((E5+E16),0)</f>
        <v>146.31464647975068</v>
      </c>
      <c r="F18" s="21">
        <f>MAX((F5+F16),0)</f>
        <v>467.89428403612726</v>
      </c>
      <c r="G18" s="21"/>
      <c r="H18" s="21"/>
      <c r="I18" s="21"/>
      <c r="J18" s="21">
        <f>MAX((J5+J16),0)</f>
        <v>0.25643099239397837</v>
      </c>
      <c r="K18" s="21"/>
      <c r="L18" s="21">
        <f>MAX((L5+L16),0)</f>
        <v>0</v>
      </c>
      <c r="M18" s="21"/>
      <c r="N18" s="21">
        <f>MAX((N5+N16),0)</f>
        <v>58.863866679502578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0.18353723409722009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191.41085498283653</v>
      </c>
      <c r="C22" s="23">
        <f ca="1">C18*C20</f>
        <v>0</v>
      </c>
      <c r="D22" s="23">
        <f>D18*D20</f>
        <v>195.463531692</v>
      </c>
      <c r="E22" s="23">
        <f>E18*E20</f>
        <v>33.213424750903407</v>
      </c>
      <c r="F22" s="23">
        <f>F18*F20</f>
        <v>124.92777383764599</v>
      </c>
      <c r="G22" s="23"/>
      <c r="H22" s="23"/>
      <c r="I22" s="23"/>
      <c r="J22" s="23">
        <f>J18*J20</f>
        <v>9.0776571307468343E-2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200.91399999999999</v>
      </c>
      <c r="C30" s="39">
        <f>IF(ISERROR(B30*3.6/1000000/'E Balans VL '!Z18*100),0,B30*3.6/1000000/'E Balans VL '!Z18*100)</f>
        <v>1.1598451724308671E-2</v>
      </c>
      <c r="D30" s="237" t="s">
        <v>716</v>
      </c>
    </row>
    <row r="31" spans="1:18">
      <c r="A31" s="6" t="s">
        <v>32</v>
      </c>
      <c r="B31" s="37">
        <f>IF( ISERROR(IND_ander_ele_kWh/1000),0,IND_ander_ele_kWh/1000)</f>
        <v>519.62568999999996</v>
      </c>
      <c r="C31" s="39">
        <f>IF(ISERROR(B31*3.6/1000000/'E Balans VL '!Z19*100),0,B31*3.6/1000000/'E Balans VL '!Z19*100)</f>
        <v>2.613548790554366E-2</v>
      </c>
      <c r="D31" s="237" t="s">
        <v>716</v>
      </c>
    </row>
    <row r="32" spans="1:18">
      <c r="A32" s="171" t="s">
        <v>40</v>
      </c>
      <c r="B32" s="37">
        <f>IF( ISERROR(IND_voed_ele_kWh/1000),0,IND_voed_ele_kWh/1000)</f>
        <v>315.780621</v>
      </c>
      <c r="C32" s="39">
        <f>IF(ISERROR(B32*3.6/1000000/'E Balans VL '!Z20*100),0,B32*3.6/1000000/'E Balans VL '!Z20*100)</f>
        <v>1.051736986296805E-2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6.5789999999999997</v>
      </c>
      <c r="C37" s="39">
        <f>IF(ISERROR(B37*3.6/1000000/'E Balans VL '!Z15*100),0,B37*3.6/1000000/'E Balans VL '!Z15*100)</f>
        <v>5.1334191138619472E-5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2380.5789219999997</v>
      </c>
      <c r="C5" s="17">
        <f>'Eigen informatie GS &amp; warmtenet'!B62</f>
        <v>0</v>
      </c>
      <c r="D5" s="30">
        <f>IF(ISERROR(SUM(LB_lb_gas_kWh,LB_rest_gas_kWh)/1000),0,SUM(LB_lb_gas_kWh,LB_rest_gas_kWh)/1000)*0.902</f>
        <v>97.554907999999998</v>
      </c>
      <c r="E5" s="17">
        <f>B17*'E Balans VL '!I25/3.6*1000000/100</f>
        <v>74.297083137537527</v>
      </c>
      <c r="F5" s="17">
        <f>B17*('E Balans VL '!L25/3.6*1000000+'E Balans VL '!N25/3.6*1000000)/100</f>
        <v>8413.2296237670453</v>
      </c>
      <c r="G5" s="18"/>
      <c r="H5" s="17"/>
      <c r="I5" s="17"/>
      <c r="J5" s="17">
        <f>('E Balans VL '!D25+'E Balans VL '!E25)/3.6*1000000*landbouw!B17/100</f>
        <v>655.86600218113858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2380.5789219999997</v>
      </c>
      <c r="C8" s="21">
        <f>C5+C6</f>
        <v>0</v>
      </c>
      <c r="D8" s="21">
        <f>MAX((D5+D6),0)</f>
        <v>97.554907999999998</v>
      </c>
      <c r="E8" s="21">
        <f>MAX((E5+E6),0)</f>
        <v>74.297083137537527</v>
      </c>
      <c r="F8" s="21">
        <f>MAX((F5+F6),0)</f>
        <v>8413.2296237670453</v>
      </c>
      <c r="G8" s="21"/>
      <c r="H8" s="21"/>
      <c r="I8" s="21"/>
      <c r="J8" s="21">
        <f>MAX((J5+J6),0)</f>
        <v>655.86600218113858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0.18353723409722009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436.92487089402181</v>
      </c>
      <c r="C12" s="23">
        <f ca="1">C8*C10</f>
        <v>0</v>
      </c>
      <c r="D12" s="23">
        <f>D8*D10</f>
        <v>19.706091416</v>
      </c>
      <c r="E12" s="23">
        <f>E8*E10</f>
        <v>16.865437872221019</v>
      </c>
      <c r="F12" s="23">
        <f>F8*F10</f>
        <v>2246.3323095458013</v>
      </c>
      <c r="G12" s="23"/>
      <c r="H12" s="23"/>
      <c r="I12" s="23"/>
      <c r="J12" s="23">
        <f>J8*J10</f>
        <v>232.17656477212304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0.35389012236150419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224.6841264663027</v>
      </c>
      <c r="C26" s="247">
        <f>B26*'GWP N2O_CH4'!B5</f>
        <v>4718.3666557923571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97.883672460198568</v>
      </c>
      <c r="C27" s="247">
        <f>B27*'GWP N2O_CH4'!B5</f>
        <v>2055.5571216641702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2.9432795265284089</v>
      </c>
      <c r="C28" s="247">
        <f>B28*'GWP N2O_CH4'!B4</f>
        <v>912.41665322380675</v>
      </c>
      <c r="D28" s="50"/>
    </row>
    <row r="29" spans="1:4">
      <c r="A29" s="41" t="s">
        <v>276</v>
      </c>
      <c r="B29" s="247">
        <f>B34*'ha_N2O bodem landbouw'!B4</f>
        <v>11.585784298032777</v>
      </c>
      <c r="C29" s="247">
        <f>B29*'GWP N2O_CH4'!B4</f>
        <v>3591.5931323901609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2.5405538992025753E-3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8.9957158860000004E-5</v>
      </c>
      <c r="C5" s="463" t="s">
        <v>210</v>
      </c>
      <c r="D5" s="448">
        <f>SUM(D6:D11)</f>
        <v>3.8857466375296799E-4</v>
      </c>
      <c r="E5" s="448">
        <f>SUM(E6:E11)</f>
        <v>2.9612129834194999E-4</v>
      </c>
      <c r="F5" s="461" t="s">
        <v>210</v>
      </c>
      <c r="G5" s="448">
        <f>SUM(G6:G11)</f>
        <v>0.13223508149768412</v>
      </c>
      <c r="H5" s="448">
        <f>SUM(H6:H11)</f>
        <v>2.883996138387189E-2</v>
      </c>
      <c r="I5" s="463" t="s">
        <v>210</v>
      </c>
      <c r="J5" s="463" t="s">
        <v>210</v>
      </c>
      <c r="K5" s="463" t="s">
        <v>210</v>
      </c>
      <c r="L5" s="463" t="s">
        <v>210</v>
      </c>
      <c r="M5" s="448">
        <f>SUM(M6:M11)</f>
        <v>9.5201401944395945E-3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6.1644993530000005E-5</v>
      </c>
      <c r="C6" s="449"/>
      <c r="D6" s="917">
        <f>vkm_2011_GW_PW*SUMIFS(TableVerdeelsleutelVkm[CNG],TableVerdeelsleutelVkm[Voertuigtype],"Lichte voertuigen")*SUMIFS(TableECFTransport[EnergieConsumptieFactor (PJ per km)],TableECFTransport[Index],CONCATENATE($A6,"_CNG_CNG"))</f>
        <v>2.14350142648488E-4</v>
      </c>
      <c r="E6" s="917">
        <f>vkm_2011_GW_PW*SUMIFS(TableVerdeelsleutelVkm[LPG],TableVerdeelsleutelVkm[Voertuigtype],"Lichte voertuigen")*SUMIFS(TableECFTransport[EnergieConsumptieFactor (PJ per km)],TableECFTransport[Index],CONCATENATE($A6,"_LPG_LPG"))</f>
        <v>1.688725971096E-4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4.5969084489355654E-2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1.6086126376437752E-2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3.7081888878331992E-3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5.0948618241794384E-2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1.2835598747095969E-5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2.9378565023898311E-3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2.8312165329999998E-5</v>
      </c>
      <c r="C8" s="449"/>
      <c r="D8" s="451">
        <f>vkm_2011_NGW_PW*SUMIFS(TableVerdeelsleutelVkm[CNG],TableVerdeelsleutelVkm[Voertuigtype],"Lichte voertuigen")*SUMIFS(TableECFTransport[EnergieConsumptieFactor (PJ per km)],TableECFTransport[Index],CONCATENATE($A8,"_CNG_CNG"))</f>
        <v>1.7422452110448002E-4</v>
      </c>
      <c r="E8" s="451">
        <f>vkm_2011_NGW_PW*SUMIFS(TableVerdeelsleutelVkm[LPG],TableVerdeelsleutelVkm[Voertuigtype],"Lichte voertuigen")*SUMIFS(TableECFTransport[EnergieConsumptieFactor (PJ per km)],TableECFTransport[Index],CONCATENATE($A8,"_LPG_LPG"))</f>
        <v>1.2724870123235002E-4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3.2143542788433295E-2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1.2740244950298763E-2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2.6910844750617619E-3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3.1738359781007934E-3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7.5445838827791476E-7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1.8301032915480123E-4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24.988099683333335</v>
      </c>
      <c r="C14" s="21"/>
      <c r="D14" s="21">
        <f t="shared" ref="D14:M14" si="0">((D5)*10^9/3600)+D12</f>
        <v>107.93740659804666</v>
      </c>
      <c r="E14" s="21">
        <f t="shared" si="0"/>
        <v>82.255916206097226</v>
      </c>
      <c r="F14" s="21"/>
      <c r="G14" s="21">
        <f t="shared" si="0"/>
        <v>36731.967082690033</v>
      </c>
      <c r="H14" s="21">
        <f t="shared" si="0"/>
        <v>8011.1003844088582</v>
      </c>
      <c r="I14" s="21"/>
      <c r="J14" s="21"/>
      <c r="K14" s="21"/>
      <c r="L14" s="21"/>
      <c r="M14" s="21">
        <f t="shared" si="0"/>
        <v>2644.4833873443317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0.18353723409722009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4.5862467012246215</v>
      </c>
      <c r="C18" s="23"/>
      <c r="D18" s="23">
        <f t="shared" ref="D18:M18" si="1">D14*D16</f>
        <v>21.803356132805426</v>
      </c>
      <c r="E18" s="23">
        <f t="shared" si="1"/>
        <v>18.672092978784072</v>
      </c>
      <c r="F18" s="23"/>
      <c r="G18" s="23">
        <f t="shared" si="1"/>
        <v>9807.4352110782402</v>
      </c>
      <c r="H18" s="23">
        <f t="shared" si="1"/>
        <v>1994.7639957178058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1.7834908900823251E-3</v>
      </c>
      <c r="H50" s="321">
        <f t="shared" si="2"/>
        <v>0</v>
      </c>
      <c r="I50" s="321">
        <f t="shared" si="2"/>
        <v>0</v>
      </c>
      <c r="J50" s="321">
        <f t="shared" si="2"/>
        <v>0</v>
      </c>
      <c r="K50" s="321">
        <f t="shared" si="2"/>
        <v>0</v>
      </c>
      <c r="L50" s="321">
        <f t="shared" si="2"/>
        <v>0</v>
      </c>
      <c r="M50" s="321">
        <f t="shared" si="2"/>
        <v>9.9126621003202148E-5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1.7834908900823251E-3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9.9126621003202148E-5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495.41413613397918</v>
      </c>
      <c r="H54" s="21">
        <f t="shared" si="3"/>
        <v>0</v>
      </c>
      <c r="I54" s="21">
        <f t="shared" si="3"/>
        <v>0</v>
      </c>
      <c r="J54" s="21">
        <f t="shared" si="3"/>
        <v>0</v>
      </c>
      <c r="K54" s="21">
        <f t="shared" si="3"/>
        <v>0</v>
      </c>
      <c r="L54" s="21">
        <f t="shared" si="3"/>
        <v>0</v>
      </c>
      <c r="M54" s="21">
        <f t="shared" si="3"/>
        <v>27.535172500889484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0.18353723409722009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132.27557434777245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6085.9474499999997</v>
      </c>
      <c r="D10" s="712">
        <f ca="1">tertiair!C16</f>
        <v>0</v>
      </c>
      <c r="E10" s="712">
        <f ca="1">tertiair!D16</f>
        <v>2533.6512519999997</v>
      </c>
      <c r="F10" s="712">
        <f>tertiair!E16</f>
        <v>113.32419926701451</v>
      </c>
      <c r="G10" s="712">
        <f ca="1">tertiair!F16</f>
        <v>583.60399027497579</v>
      </c>
      <c r="H10" s="712">
        <f>tertiair!G16</f>
        <v>0</v>
      </c>
      <c r="I10" s="712">
        <f>tertiair!H16</f>
        <v>0</v>
      </c>
      <c r="J10" s="712">
        <f>tertiair!I16</f>
        <v>0</v>
      </c>
      <c r="K10" s="712">
        <f>tertiair!J16</f>
        <v>4.115759563509595E-3</v>
      </c>
      <c r="L10" s="712">
        <f>tertiair!K16</f>
        <v>0</v>
      </c>
      <c r="M10" s="712">
        <f ca="1">tertiair!L16</f>
        <v>0</v>
      </c>
      <c r="N10" s="712">
        <f>tertiair!M16</f>
        <v>0</v>
      </c>
      <c r="O10" s="712">
        <f ca="1">tertiair!N16</f>
        <v>164.98810307478468</v>
      </c>
      <c r="P10" s="712">
        <f>tertiair!O16</f>
        <v>4.8972607658411542</v>
      </c>
      <c r="Q10" s="713">
        <f>tertiair!P16</f>
        <v>0</v>
      </c>
      <c r="R10" s="715">
        <f ca="1">SUM(C10:Q10)</f>
        <v>9486.4163711421788</v>
      </c>
      <c r="S10" s="67"/>
    </row>
    <row r="11" spans="1:19" s="474" customFormat="1">
      <c r="A11" s="834" t="s">
        <v>224</v>
      </c>
      <c r="B11" s="839"/>
      <c r="C11" s="712">
        <f>huishoudens!B8</f>
        <v>9235.3569770277427</v>
      </c>
      <c r="D11" s="712">
        <f>huishoudens!C8</f>
        <v>0</v>
      </c>
      <c r="E11" s="712">
        <f>huishoudens!D8</f>
        <v>8589.5098564</v>
      </c>
      <c r="F11" s="712">
        <f>huishoudens!E8</f>
        <v>5107.1158371532292</v>
      </c>
      <c r="G11" s="712">
        <f>huishoudens!F8</f>
        <v>24012.700755840677</v>
      </c>
      <c r="H11" s="712">
        <f>huishoudens!G8</f>
        <v>0</v>
      </c>
      <c r="I11" s="712">
        <f>huishoudens!H8</f>
        <v>0</v>
      </c>
      <c r="J11" s="712">
        <f>huishoudens!I8</f>
        <v>0</v>
      </c>
      <c r="K11" s="712">
        <f>huishoudens!J8</f>
        <v>942.2402153961466</v>
      </c>
      <c r="L11" s="712">
        <f>huishoudens!K8</f>
        <v>0</v>
      </c>
      <c r="M11" s="712">
        <f>huishoudens!L8</f>
        <v>0</v>
      </c>
      <c r="N11" s="712">
        <f>huishoudens!M8</f>
        <v>0</v>
      </c>
      <c r="O11" s="712">
        <f>huishoudens!N8</f>
        <v>3807.1584745459099</v>
      </c>
      <c r="P11" s="712">
        <f>huishoudens!O8</f>
        <v>119.0374931632219</v>
      </c>
      <c r="Q11" s="713">
        <f>huishoudens!P8</f>
        <v>474.02816884582603</v>
      </c>
      <c r="R11" s="715">
        <f>SUM(C11:Q11)</f>
        <v>52287.147778372753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1042.8993109999999</v>
      </c>
      <c r="D13" s="712">
        <f>industrie!C18</f>
        <v>0</v>
      </c>
      <c r="E13" s="712">
        <f>industrie!D18</f>
        <v>967.64124600000002</v>
      </c>
      <c r="F13" s="712">
        <f>industrie!E18</f>
        <v>146.31464647975068</v>
      </c>
      <c r="G13" s="712">
        <f>industrie!F18</f>
        <v>467.89428403612726</v>
      </c>
      <c r="H13" s="712">
        <f>industrie!G18</f>
        <v>0</v>
      </c>
      <c r="I13" s="712">
        <f>industrie!H18</f>
        <v>0</v>
      </c>
      <c r="J13" s="712">
        <f>industrie!I18</f>
        <v>0</v>
      </c>
      <c r="K13" s="712">
        <f>industrie!J18</f>
        <v>0.25643099239397837</v>
      </c>
      <c r="L13" s="712">
        <f>industrie!K18</f>
        <v>0</v>
      </c>
      <c r="M13" s="712">
        <f>industrie!L18</f>
        <v>0</v>
      </c>
      <c r="N13" s="712">
        <f>industrie!M18</f>
        <v>0</v>
      </c>
      <c r="O13" s="712">
        <f>industrie!N18</f>
        <v>58.863866679502578</v>
      </c>
      <c r="P13" s="712">
        <f>industrie!O18</f>
        <v>0</v>
      </c>
      <c r="Q13" s="713">
        <f>industrie!P18</f>
        <v>0</v>
      </c>
      <c r="R13" s="715">
        <f>SUM(C13:Q13)</f>
        <v>2683.8697851877746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16364.203738027742</v>
      </c>
      <c r="D16" s="748">
        <f t="shared" ref="D16:R16" ca="1" si="0">SUM(D9:D15)</f>
        <v>0</v>
      </c>
      <c r="E16" s="748">
        <f t="shared" ca="1" si="0"/>
        <v>12090.802354399999</v>
      </c>
      <c r="F16" s="748">
        <f t="shared" si="0"/>
        <v>5366.7546828999948</v>
      </c>
      <c r="G16" s="748">
        <f t="shared" ca="1" si="0"/>
        <v>25064.19903015178</v>
      </c>
      <c r="H16" s="748">
        <f t="shared" si="0"/>
        <v>0</v>
      </c>
      <c r="I16" s="748">
        <f t="shared" si="0"/>
        <v>0</v>
      </c>
      <c r="J16" s="748">
        <f t="shared" si="0"/>
        <v>0</v>
      </c>
      <c r="K16" s="748">
        <f t="shared" si="0"/>
        <v>942.50076214810417</v>
      </c>
      <c r="L16" s="748">
        <f t="shared" si="0"/>
        <v>0</v>
      </c>
      <c r="M16" s="748">
        <f t="shared" ca="1" si="0"/>
        <v>0</v>
      </c>
      <c r="N16" s="748">
        <f t="shared" si="0"/>
        <v>0</v>
      </c>
      <c r="O16" s="748">
        <f t="shared" ca="1" si="0"/>
        <v>4031.0104443001974</v>
      </c>
      <c r="P16" s="748">
        <f t="shared" si="0"/>
        <v>123.93475392906305</v>
      </c>
      <c r="Q16" s="748">
        <f t="shared" si="0"/>
        <v>474.02816884582603</v>
      </c>
      <c r="R16" s="748">
        <f t="shared" ca="1" si="0"/>
        <v>64457.433934702705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495.41413613397918</v>
      </c>
      <c r="I19" s="712">
        <f>transport!H54</f>
        <v>0</v>
      </c>
      <c r="J19" s="712">
        <f>transport!I54</f>
        <v>0</v>
      </c>
      <c r="K19" s="712">
        <f>transport!J54</f>
        <v>0</v>
      </c>
      <c r="L19" s="712">
        <f>transport!K54</f>
        <v>0</v>
      </c>
      <c r="M19" s="712">
        <f>transport!L54</f>
        <v>0</v>
      </c>
      <c r="N19" s="712">
        <f>transport!M54</f>
        <v>27.535172500889484</v>
      </c>
      <c r="O19" s="712">
        <f>transport!N54</f>
        <v>0</v>
      </c>
      <c r="P19" s="712">
        <f>transport!O54</f>
        <v>0</v>
      </c>
      <c r="Q19" s="713">
        <f>transport!P54</f>
        <v>0</v>
      </c>
      <c r="R19" s="715">
        <f>SUM(C19:Q19)</f>
        <v>522.94930863486866</v>
      </c>
      <c r="S19" s="67"/>
    </row>
    <row r="20" spans="1:19" s="474" customFormat="1">
      <c r="A20" s="834" t="s">
        <v>306</v>
      </c>
      <c r="B20" s="839"/>
      <c r="C20" s="712">
        <f>transport!B14</f>
        <v>24.988099683333335</v>
      </c>
      <c r="D20" s="712">
        <f>transport!C14</f>
        <v>0</v>
      </c>
      <c r="E20" s="712">
        <f>transport!D14</f>
        <v>107.93740659804666</v>
      </c>
      <c r="F20" s="712">
        <f>transport!E14</f>
        <v>82.255916206097226</v>
      </c>
      <c r="G20" s="712">
        <f>transport!F14</f>
        <v>0</v>
      </c>
      <c r="H20" s="712">
        <f>transport!G14</f>
        <v>36731.967082690033</v>
      </c>
      <c r="I20" s="712">
        <f>transport!H14</f>
        <v>8011.1003844088582</v>
      </c>
      <c r="J20" s="712">
        <f>transport!I14</f>
        <v>0</v>
      </c>
      <c r="K20" s="712">
        <f>transport!J14</f>
        <v>0</v>
      </c>
      <c r="L20" s="712">
        <f>transport!K14</f>
        <v>0</v>
      </c>
      <c r="M20" s="712">
        <f>transport!L14</f>
        <v>0</v>
      </c>
      <c r="N20" s="712">
        <f>transport!M14</f>
        <v>2644.4833873443317</v>
      </c>
      <c r="O20" s="712">
        <f>transport!N14</f>
        <v>0</v>
      </c>
      <c r="P20" s="712">
        <f>transport!O14</f>
        <v>0</v>
      </c>
      <c r="Q20" s="713">
        <f>transport!P14</f>
        <v>0</v>
      </c>
      <c r="R20" s="715">
        <f>SUM(C20:Q20)</f>
        <v>47602.732276930699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24.988099683333335</v>
      </c>
      <c r="D22" s="837">
        <f t="shared" ref="D22:R22" si="1">SUM(D18:D21)</f>
        <v>0</v>
      </c>
      <c r="E22" s="837">
        <f t="shared" si="1"/>
        <v>107.93740659804666</v>
      </c>
      <c r="F22" s="837">
        <f t="shared" si="1"/>
        <v>82.255916206097226</v>
      </c>
      <c r="G22" s="837">
        <f t="shared" si="1"/>
        <v>0</v>
      </c>
      <c r="H22" s="837">
        <f t="shared" si="1"/>
        <v>37227.381218824012</v>
      </c>
      <c r="I22" s="837">
        <f t="shared" si="1"/>
        <v>8011.1003844088582</v>
      </c>
      <c r="J22" s="837">
        <f t="shared" si="1"/>
        <v>0</v>
      </c>
      <c r="K22" s="837">
        <f t="shared" si="1"/>
        <v>0</v>
      </c>
      <c r="L22" s="837">
        <f t="shared" si="1"/>
        <v>0</v>
      </c>
      <c r="M22" s="837">
        <f t="shared" si="1"/>
        <v>0</v>
      </c>
      <c r="N22" s="837">
        <f t="shared" si="1"/>
        <v>2672.0185598452213</v>
      </c>
      <c r="O22" s="837">
        <f t="shared" si="1"/>
        <v>0</v>
      </c>
      <c r="P22" s="837">
        <f t="shared" si="1"/>
        <v>0</v>
      </c>
      <c r="Q22" s="837">
        <f t="shared" si="1"/>
        <v>0</v>
      </c>
      <c r="R22" s="837">
        <f t="shared" si="1"/>
        <v>48125.681585565566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2380.5789219999997</v>
      </c>
      <c r="D24" s="712">
        <f>+landbouw!C8</f>
        <v>0</v>
      </c>
      <c r="E24" s="712">
        <f>+landbouw!D8</f>
        <v>97.554907999999998</v>
      </c>
      <c r="F24" s="712">
        <f>+landbouw!E8</f>
        <v>74.297083137537527</v>
      </c>
      <c r="G24" s="712">
        <f>+landbouw!F8</f>
        <v>8413.2296237670453</v>
      </c>
      <c r="H24" s="712">
        <f>+landbouw!G8</f>
        <v>0</v>
      </c>
      <c r="I24" s="712">
        <f>+landbouw!H8</f>
        <v>0</v>
      </c>
      <c r="J24" s="712">
        <f>+landbouw!I8</f>
        <v>0</v>
      </c>
      <c r="K24" s="712">
        <f>+landbouw!J8</f>
        <v>655.86600218113858</v>
      </c>
      <c r="L24" s="712">
        <f>+landbouw!K8</f>
        <v>0</v>
      </c>
      <c r="M24" s="712">
        <f>+landbouw!L8</f>
        <v>0</v>
      </c>
      <c r="N24" s="712">
        <f>+landbouw!M8</f>
        <v>0</v>
      </c>
      <c r="O24" s="712">
        <f>+landbouw!N8</f>
        <v>0</v>
      </c>
      <c r="P24" s="712">
        <f>+landbouw!O8</f>
        <v>0</v>
      </c>
      <c r="Q24" s="713">
        <f>+landbouw!P8</f>
        <v>0</v>
      </c>
      <c r="R24" s="715">
        <f>SUM(C24:Q24)</f>
        <v>11621.526539085722</v>
      </c>
      <c r="S24" s="67"/>
    </row>
    <row r="25" spans="1:19" s="474" customFormat="1" ht="15" thickBot="1">
      <c r="A25" s="856" t="s">
        <v>734</v>
      </c>
      <c r="B25" s="982"/>
      <c r="C25" s="983">
        <f>IF(Onbekend_ele_kWh="---",0,Onbekend_ele_kWh)/1000+IF(REST_rest_ele_kWh="---",0,REST_rest_ele_kWh)/1000</f>
        <v>197.14005</v>
      </c>
      <c r="D25" s="983"/>
      <c r="E25" s="983">
        <f>IF(onbekend_gas_kWh="---",0,onbekend_gas_kWh)/1000+IF(REST_rest_gas_kWh="---",0,REST_rest_gas_kWh)/1000</f>
        <v>348.37400000000002</v>
      </c>
      <c r="F25" s="983"/>
      <c r="G25" s="983"/>
      <c r="H25" s="983"/>
      <c r="I25" s="983"/>
      <c r="J25" s="983"/>
      <c r="K25" s="983"/>
      <c r="L25" s="983"/>
      <c r="M25" s="983"/>
      <c r="N25" s="983"/>
      <c r="O25" s="983"/>
      <c r="P25" s="983"/>
      <c r="Q25" s="984"/>
      <c r="R25" s="715">
        <f>SUM(C25:Q25)</f>
        <v>545.51405</v>
      </c>
      <c r="S25" s="67"/>
    </row>
    <row r="26" spans="1:19" s="474" customFormat="1" ht="15.75" thickBot="1">
      <c r="A26" s="720" t="s">
        <v>735</v>
      </c>
      <c r="B26" s="842"/>
      <c r="C26" s="837">
        <f>SUM(C24:C25)</f>
        <v>2577.7189719999997</v>
      </c>
      <c r="D26" s="837">
        <f t="shared" ref="D26:R26" si="2">SUM(D24:D25)</f>
        <v>0</v>
      </c>
      <c r="E26" s="837">
        <f t="shared" si="2"/>
        <v>445.92890800000004</v>
      </c>
      <c r="F26" s="837">
        <f t="shared" si="2"/>
        <v>74.297083137537527</v>
      </c>
      <c r="G26" s="837">
        <f t="shared" si="2"/>
        <v>8413.2296237670453</v>
      </c>
      <c r="H26" s="837">
        <f t="shared" si="2"/>
        <v>0</v>
      </c>
      <c r="I26" s="837">
        <f t="shared" si="2"/>
        <v>0</v>
      </c>
      <c r="J26" s="837">
        <f t="shared" si="2"/>
        <v>0</v>
      </c>
      <c r="K26" s="837">
        <f t="shared" si="2"/>
        <v>655.86600218113858</v>
      </c>
      <c r="L26" s="837">
        <f t="shared" si="2"/>
        <v>0</v>
      </c>
      <c r="M26" s="837">
        <f t="shared" si="2"/>
        <v>0</v>
      </c>
      <c r="N26" s="837">
        <f t="shared" si="2"/>
        <v>0</v>
      </c>
      <c r="O26" s="837">
        <f t="shared" si="2"/>
        <v>0</v>
      </c>
      <c r="P26" s="837">
        <f t="shared" si="2"/>
        <v>0</v>
      </c>
      <c r="Q26" s="837">
        <f t="shared" si="2"/>
        <v>0</v>
      </c>
      <c r="R26" s="837">
        <f t="shared" si="2"/>
        <v>12167.040589085722</v>
      </c>
      <c r="S26" s="67"/>
    </row>
    <row r="27" spans="1:19" s="474" customFormat="1" ht="17.25" thickTop="1" thickBot="1">
      <c r="A27" s="721" t="s">
        <v>115</v>
      </c>
      <c r="B27" s="829"/>
      <c r="C27" s="722">
        <f ca="1">C22+C16+C26</f>
        <v>18966.910809711073</v>
      </c>
      <c r="D27" s="722">
        <f t="shared" ref="D27:R27" ca="1" si="3">D22+D16+D26</f>
        <v>0</v>
      </c>
      <c r="E27" s="722">
        <f t="shared" ca="1" si="3"/>
        <v>12644.668668998045</v>
      </c>
      <c r="F27" s="722">
        <f t="shared" si="3"/>
        <v>5523.3076822436296</v>
      </c>
      <c r="G27" s="722">
        <f t="shared" ca="1" si="3"/>
        <v>33477.428653918825</v>
      </c>
      <c r="H27" s="722">
        <f t="shared" si="3"/>
        <v>37227.381218824012</v>
      </c>
      <c r="I27" s="722">
        <f t="shared" si="3"/>
        <v>8011.1003844088582</v>
      </c>
      <c r="J27" s="722">
        <f t="shared" si="3"/>
        <v>0</v>
      </c>
      <c r="K27" s="722">
        <f t="shared" si="3"/>
        <v>1598.3667643292429</v>
      </c>
      <c r="L27" s="722">
        <f t="shared" si="3"/>
        <v>0</v>
      </c>
      <c r="M27" s="722">
        <f t="shared" ca="1" si="3"/>
        <v>0</v>
      </c>
      <c r="N27" s="722">
        <f t="shared" si="3"/>
        <v>2672.0185598452213</v>
      </c>
      <c r="O27" s="722">
        <f t="shared" ca="1" si="3"/>
        <v>4031.0104443001974</v>
      </c>
      <c r="P27" s="722">
        <f t="shared" si="3"/>
        <v>123.93475392906305</v>
      </c>
      <c r="Q27" s="722">
        <f t="shared" si="3"/>
        <v>474.02816884582603</v>
      </c>
      <c r="R27" s="722">
        <f t="shared" ca="1" si="3"/>
        <v>124750.15610935399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1116.9979618340296</v>
      </c>
      <c r="D40" s="712">
        <f ca="1">tertiair!C20</f>
        <v>0</v>
      </c>
      <c r="E40" s="712">
        <f ca="1">tertiair!D20</f>
        <v>511.79755290399999</v>
      </c>
      <c r="F40" s="712">
        <f>tertiair!E20</f>
        <v>25.724593233612293</v>
      </c>
      <c r="G40" s="712">
        <f ca="1">tertiair!F20</f>
        <v>155.82226540341856</v>
      </c>
      <c r="H40" s="712">
        <f>tertiair!G20</f>
        <v>0</v>
      </c>
      <c r="I40" s="712">
        <f>tertiair!H20</f>
        <v>0</v>
      </c>
      <c r="J40" s="712">
        <f>tertiair!I20</f>
        <v>0</v>
      </c>
      <c r="K40" s="712">
        <f>tertiair!J20</f>
        <v>1.4569788854823964E-3</v>
      </c>
      <c r="L40" s="712">
        <f>tertiair!K20</f>
        <v>0</v>
      </c>
      <c r="M40" s="712">
        <f ca="1">tertiair!L20</f>
        <v>0</v>
      </c>
      <c r="N40" s="712">
        <f>tertiair!M20</f>
        <v>0</v>
      </c>
      <c r="O40" s="712">
        <f ca="1">tertiair!N20</f>
        <v>0</v>
      </c>
      <c r="P40" s="712">
        <f>tertiair!O20</f>
        <v>0</v>
      </c>
      <c r="Q40" s="795">
        <f>tertiair!P20</f>
        <v>0</v>
      </c>
      <c r="R40" s="875">
        <f t="shared" ca="1" si="4"/>
        <v>1810.343830353946</v>
      </c>
    </row>
    <row r="41" spans="1:18">
      <c r="A41" s="847" t="s">
        <v>224</v>
      </c>
      <c r="B41" s="854"/>
      <c r="C41" s="712">
        <f ca="1">huishoudens!B12</f>
        <v>1695.0318754641357</v>
      </c>
      <c r="D41" s="712">
        <f ca="1">huishoudens!C12</f>
        <v>0</v>
      </c>
      <c r="E41" s="712">
        <f>huishoudens!D12</f>
        <v>1735.0809909928</v>
      </c>
      <c r="F41" s="712">
        <f>huishoudens!E12</f>
        <v>1159.3152950337831</v>
      </c>
      <c r="G41" s="712">
        <f>huishoudens!F12</f>
        <v>6411.3911018094614</v>
      </c>
      <c r="H41" s="712">
        <f>huishoudens!G12</f>
        <v>0</v>
      </c>
      <c r="I41" s="712">
        <f>huishoudens!H12</f>
        <v>0</v>
      </c>
      <c r="J41" s="712">
        <f>huishoudens!I12</f>
        <v>0</v>
      </c>
      <c r="K41" s="712">
        <f>huishoudens!J12</f>
        <v>333.55303625023589</v>
      </c>
      <c r="L41" s="712">
        <f>huishoudens!K12</f>
        <v>0</v>
      </c>
      <c r="M41" s="712">
        <f>huishoudens!L12</f>
        <v>0</v>
      </c>
      <c r="N41" s="712">
        <f>huishoudens!M12</f>
        <v>0</v>
      </c>
      <c r="O41" s="712">
        <f>huishoudens!N12</f>
        <v>0</v>
      </c>
      <c r="P41" s="712">
        <f>huishoudens!O12</f>
        <v>0</v>
      </c>
      <c r="Q41" s="795">
        <f>huishoudens!P12</f>
        <v>0</v>
      </c>
      <c r="R41" s="875">
        <f t="shared" ca="1" si="4"/>
        <v>11334.372299550418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191.41085498283653</v>
      </c>
      <c r="D43" s="712">
        <f ca="1">industrie!C22</f>
        <v>0</v>
      </c>
      <c r="E43" s="712">
        <f>industrie!D22</f>
        <v>195.463531692</v>
      </c>
      <c r="F43" s="712">
        <f>industrie!E22</f>
        <v>33.213424750903407</v>
      </c>
      <c r="G43" s="712">
        <f>industrie!F22</f>
        <v>124.92777383764599</v>
      </c>
      <c r="H43" s="712">
        <f>industrie!G22</f>
        <v>0</v>
      </c>
      <c r="I43" s="712">
        <f>industrie!H22</f>
        <v>0</v>
      </c>
      <c r="J43" s="712">
        <f>industrie!I22</f>
        <v>0</v>
      </c>
      <c r="K43" s="712">
        <f>industrie!J22</f>
        <v>9.0776571307468343E-2</v>
      </c>
      <c r="L43" s="712">
        <f>industrie!K22</f>
        <v>0</v>
      </c>
      <c r="M43" s="712">
        <f>industrie!L22</f>
        <v>0</v>
      </c>
      <c r="N43" s="712">
        <f>industrie!M22</f>
        <v>0</v>
      </c>
      <c r="O43" s="712">
        <f>industrie!N22</f>
        <v>0</v>
      </c>
      <c r="P43" s="712">
        <f>industrie!O22</f>
        <v>0</v>
      </c>
      <c r="Q43" s="795">
        <f>industrie!P22</f>
        <v>0</v>
      </c>
      <c r="R43" s="874">
        <f t="shared" ca="1" si="4"/>
        <v>545.10636183469342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3003.4406922810017</v>
      </c>
      <c r="D46" s="748">
        <f t="shared" ref="D46:Q46" ca="1" si="5">SUM(D39:D45)</f>
        <v>0</v>
      </c>
      <c r="E46" s="748">
        <f t="shared" ca="1" si="5"/>
        <v>2442.3420755887996</v>
      </c>
      <c r="F46" s="748">
        <f t="shared" si="5"/>
        <v>1218.2533130182987</v>
      </c>
      <c r="G46" s="748">
        <f t="shared" ca="1" si="5"/>
        <v>6692.1411410505261</v>
      </c>
      <c r="H46" s="748">
        <f t="shared" si="5"/>
        <v>0</v>
      </c>
      <c r="I46" s="748">
        <f t="shared" si="5"/>
        <v>0</v>
      </c>
      <c r="J46" s="748">
        <f t="shared" si="5"/>
        <v>0</v>
      </c>
      <c r="K46" s="748">
        <f t="shared" si="5"/>
        <v>333.64526980042882</v>
      </c>
      <c r="L46" s="748">
        <f t="shared" si="5"/>
        <v>0</v>
      </c>
      <c r="M46" s="748">
        <f t="shared" ca="1" si="5"/>
        <v>0</v>
      </c>
      <c r="N46" s="748">
        <f t="shared" si="5"/>
        <v>0</v>
      </c>
      <c r="O46" s="748">
        <f t="shared" ca="1" si="5"/>
        <v>0</v>
      </c>
      <c r="P46" s="748">
        <f t="shared" si="5"/>
        <v>0</v>
      </c>
      <c r="Q46" s="748">
        <f t="shared" si="5"/>
        <v>0</v>
      </c>
      <c r="R46" s="748">
        <f ca="1">SUM(R39:R45)</f>
        <v>13689.822491739058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132.27557434777245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132.27557434777245</v>
      </c>
    </row>
    <row r="50" spans="1:18">
      <c r="A50" s="850" t="s">
        <v>306</v>
      </c>
      <c r="B50" s="860"/>
      <c r="C50" s="718">
        <f ca="1">transport!B18</f>
        <v>4.5862467012246215</v>
      </c>
      <c r="D50" s="718">
        <f>transport!C18</f>
        <v>0</v>
      </c>
      <c r="E50" s="718">
        <f>transport!D18</f>
        <v>21.803356132805426</v>
      </c>
      <c r="F50" s="718">
        <f>transport!E18</f>
        <v>18.672092978784072</v>
      </c>
      <c r="G50" s="718">
        <f>transport!F18</f>
        <v>0</v>
      </c>
      <c r="H50" s="718">
        <f>transport!G18</f>
        <v>9807.4352110782402</v>
      </c>
      <c r="I50" s="718">
        <f>transport!H18</f>
        <v>1994.7639957178058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11847.260902608859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4.5862467012246215</v>
      </c>
      <c r="D52" s="748">
        <f t="shared" ref="D52:Q52" ca="1" si="6">SUM(D48:D51)</f>
        <v>0</v>
      </c>
      <c r="E52" s="748">
        <f t="shared" si="6"/>
        <v>21.803356132805426</v>
      </c>
      <c r="F52" s="748">
        <f t="shared" si="6"/>
        <v>18.672092978784072</v>
      </c>
      <c r="G52" s="748">
        <f t="shared" si="6"/>
        <v>0</v>
      </c>
      <c r="H52" s="748">
        <f t="shared" si="6"/>
        <v>9939.7107854260121</v>
      </c>
      <c r="I52" s="748">
        <f t="shared" si="6"/>
        <v>1994.7639957178058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11979.536476956631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436.92487089402181</v>
      </c>
      <c r="D54" s="718">
        <f ca="1">+landbouw!C12</f>
        <v>0</v>
      </c>
      <c r="E54" s="718">
        <f>+landbouw!D12</f>
        <v>19.706091416</v>
      </c>
      <c r="F54" s="718">
        <f>+landbouw!E12</f>
        <v>16.865437872221019</v>
      </c>
      <c r="G54" s="718">
        <f>+landbouw!F12</f>
        <v>2246.3323095458013</v>
      </c>
      <c r="H54" s="718">
        <f>+landbouw!G12</f>
        <v>0</v>
      </c>
      <c r="I54" s="718">
        <f>+landbouw!H12</f>
        <v>0</v>
      </c>
      <c r="J54" s="718">
        <f>+landbouw!I12</f>
        <v>0</v>
      </c>
      <c r="K54" s="718">
        <f>+landbouw!J12</f>
        <v>232.17656477212304</v>
      </c>
      <c r="L54" s="718">
        <f>+landbouw!K12</f>
        <v>0</v>
      </c>
      <c r="M54" s="718">
        <f>+landbouw!L12</f>
        <v>0</v>
      </c>
      <c r="N54" s="718">
        <f>+landbouw!M12</f>
        <v>0</v>
      </c>
      <c r="O54" s="718">
        <f>+landbouw!N12</f>
        <v>0</v>
      </c>
      <c r="P54" s="718">
        <f>+landbouw!O12</f>
        <v>0</v>
      </c>
      <c r="Q54" s="719">
        <f>+landbouw!P12</f>
        <v>0</v>
      </c>
      <c r="R54" s="747">
        <f ca="1">SUM(C54:Q54)</f>
        <v>2952.0052745001672</v>
      </c>
    </row>
    <row r="55" spans="1:18" ht="15" thickBot="1">
      <c r="A55" s="850" t="s">
        <v>734</v>
      </c>
      <c r="B55" s="860"/>
      <c r="C55" s="718">
        <f ca="1">C25*'EF ele_warmte'!B12</f>
        <v>36.18253950678767</v>
      </c>
      <c r="D55" s="718"/>
      <c r="E55" s="718">
        <f>E25*EF_CO2_aardgas</f>
        <v>70.371548000000004</v>
      </c>
      <c r="F55" s="718"/>
      <c r="G55" s="718"/>
      <c r="H55" s="718"/>
      <c r="I55" s="718"/>
      <c r="J55" s="718"/>
      <c r="K55" s="718"/>
      <c r="L55" s="718"/>
      <c r="M55" s="718"/>
      <c r="N55" s="718"/>
      <c r="O55" s="718"/>
      <c r="P55" s="718"/>
      <c r="Q55" s="719"/>
      <c r="R55" s="747">
        <f ca="1">SUM(C55:Q55)</f>
        <v>106.55408750678768</v>
      </c>
    </row>
    <row r="56" spans="1:18" ht="15.75" thickBot="1">
      <c r="A56" s="848" t="s">
        <v>735</v>
      </c>
      <c r="B56" s="861"/>
      <c r="C56" s="748">
        <f ca="1">SUM(C54:C55)</f>
        <v>473.1074104008095</v>
      </c>
      <c r="D56" s="748">
        <f t="shared" ref="D56:Q56" ca="1" si="7">SUM(D54:D55)</f>
        <v>0</v>
      </c>
      <c r="E56" s="748">
        <f t="shared" si="7"/>
        <v>90.077639416000011</v>
      </c>
      <c r="F56" s="748">
        <f t="shared" si="7"/>
        <v>16.865437872221019</v>
      </c>
      <c r="G56" s="748">
        <f t="shared" si="7"/>
        <v>2246.3323095458013</v>
      </c>
      <c r="H56" s="748">
        <f t="shared" si="7"/>
        <v>0</v>
      </c>
      <c r="I56" s="748">
        <f t="shared" si="7"/>
        <v>0</v>
      </c>
      <c r="J56" s="748">
        <f t="shared" si="7"/>
        <v>0</v>
      </c>
      <c r="K56" s="748">
        <f t="shared" si="7"/>
        <v>232.17656477212304</v>
      </c>
      <c r="L56" s="748">
        <f t="shared" si="7"/>
        <v>0</v>
      </c>
      <c r="M56" s="748">
        <f t="shared" si="7"/>
        <v>0</v>
      </c>
      <c r="N56" s="748">
        <f t="shared" si="7"/>
        <v>0</v>
      </c>
      <c r="O56" s="748">
        <f t="shared" si="7"/>
        <v>0</v>
      </c>
      <c r="P56" s="748">
        <f t="shared" si="7"/>
        <v>0</v>
      </c>
      <c r="Q56" s="749">
        <f t="shared" si="7"/>
        <v>0</v>
      </c>
      <c r="R56" s="750">
        <f ca="1">SUM(R54:R55)</f>
        <v>3058.5593620069549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3481.1343493830359</v>
      </c>
      <c r="D61" s="756">
        <f t="shared" ref="D61:Q61" ca="1" si="8">D46+D52+D56</f>
        <v>0</v>
      </c>
      <c r="E61" s="756">
        <f t="shared" ca="1" si="8"/>
        <v>2554.2230711376051</v>
      </c>
      <c r="F61" s="756">
        <f t="shared" si="8"/>
        <v>1253.7908438693039</v>
      </c>
      <c r="G61" s="756">
        <f t="shared" ca="1" si="8"/>
        <v>8938.4734505963279</v>
      </c>
      <c r="H61" s="756">
        <f t="shared" si="8"/>
        <v>9939.7107854260121</v>
      </c>
      <c r="I61" s="756">
        <f t="shared" si="8"/>
        <v>1994.7639957178058</v>
      </c>
      <c r="J61" s="756">
        <f t="shared" si="8"/>
        <v>0</v>
      </c>
      <c r="K61" s="756">
        <f t="shared" si="8"/>
        <v>565.82183457255189</v>
      </c>
      <c r="L61" s="756">
        <f t="shared" si="8"/>
        <v>0</v>
      </c>
      <c r="M61" s="756">
        <f t="shared" ca="1" si="8"/>
        <v>0</v>
      </c>
      <c r="N61" s="756">
        <f t="shared" si="8"/>
        <v>0</v>
      </c>
      <c r="O61" s="756">
        <f t="shared" ca="1" si="8"/>
        <v>0</v>
      </c>
      <c r="P61" s="756">
        <f t="shared" si="8"/>
        <v>0</v>
      </c>
      <c r="Q61" s="756">
        <f t="shared" si="8"/>
        <v>0</v>
      </c>
      <c r="R61" s="756">
        <f ca="1">R46+R52+R56</f>
        <v>28727.918330702647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0.18353723409722011</v>
      </c>
      <c r="D63" s="802">
        <f t="shared" ca="1" si="9"/>
        <v>0</v>
      </c>
      <c r="E63" s="1008">
        <f t="shared" ca="1" si="9"/>
        <v>0.20199999999999999</v>
      </c>
      <c r="F63" s="802">
        <f t="shared" si="9"/>
        <v>0.22700000000000001</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3215.1716722312749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3215.1716722312749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3215.1716722312749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3215.1716722312749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9235.3569770277427</v>
      </c>
      <c r="C4" s="478">
        <f>huishoudens!C8</f>
        <v>0</v>
      </c>
      <c r="D4" s="478">
        <f>huishoudens!D8</f>
        <v>8589.5098564</v>
      </c>
      <c r="E4" s="478">
        <f>huishoudens!E8</f>
        <v>5107.1158371532292</v>
      </c>
      <c r="F4" s="478">
        <f>huishoudens!F8</f>
        <v>24012.700755840677</v>
      </c>
      <c r="G4" s="478">
        <f>huishoudens!G8</f>
        <v>0</v>
      </c>
      <c r="H4" s="478">
        <f>huishoudens!H8</f>
        <v>0</v>
      </c>
      <c r="I4" s="478">
        <f>huishoudens!I8</f>
        <v>0</v>
      </c>
      <c r="J4" s="478">
        <f>huishoudens!J8</f>
        <v>942.2402153961466</v>
      </c>
      <c r="K4" s="478">
        <f>huishoudens!K8</f>
        <v>0</v>
      </c>
      <c r="L4" s="478">
        <f>huishoudens!L8</f>
        <v>0</v>
      </c>
      <c r="M4" s="478">
        <f>huishoudens!M8</f>
        <v>0</v>
      </c>
      <c r="N4" s="478">
        <f>huishoudens!N8</f>
        <v>3807.1584745459099</v>
      </c>
      <c r="O4" s="478">
        <f>huishoudens!O8</f>
        <v>119.0374931632219</v>
      </c>
      <c r="P4" s="479">
        <f>huishoudens!P8</f>
        <v>474.02816884582603</v>
      </c>
      <c r="Q4" s="480">
        <f>SUM(B4:P4)</f>
        <v>52287.147778372753</v>
      </c>
    </row>
    <row r="5" spans="1:17">
      <c r="A5" s="477" t="s">
        <v>155</v>
      </c>
      <c r="B5" s="478">
        <f ca="1">tertiair!B16</f>
        <v>5634.4264499999999</v>
      </c>
      <c r="C5" s="478">
        <f ca="1">tertiair!C16</f>
        <v>0</v>
      </c>
      <c r="D5" s="478">
        <f ca="1">tertiair!D16</f>
        <v>2533.6512519999997</v>
      </c>
      <c r="E5" s="478">
        <f>tertiair!E16</f>
        <v>113.32419926701451</v>
      </c>
      <c r="F5" s="478">
        <f ca="1">tertiair!F16</f>
        <v>583.60399027497579</v>
      </c>
      <c r="G5" s="478">
        <f>tertiair!G16</f>
        <v>0</v>
      </c>
      <c r="H5" s="478">
        <f>tertiair!H16</f>
        <v>0</v>
      </c>
      <c r="I5" s="478">
        <f>tertiair!I16</f>
        <v>0</v>
      </c>
      <c r="J5" s="478">
        <f>tertiair!J16</f>
        <v>4.115759563509595E-3</v>
      </c>
      <c r="K5" s="478">
        <f>tertiair!K16</f>
        <v>0</v>
      </c>
      <c r="L5" s="478">
        <f ca="1">tertiair!L16</f>
        <v>0</v>
      </c>
      <c r="M5" s="478">
        <f>tertiair!M16</f>
        <v>0</v>
      </c>
      <c r="N5" s="478">
        <f ca="1">tertiair!N16</f>
        <v>164.98810307478468</v>
      </c>
      <c r="O5" s="478">
        <f>tertiair!O16</f>
        <v>4.8972607658411542</v>
      </c>
      <c r="P5" s="479">
        <f>tertiair!P16</f>
        <v>0</v>
      </c>
      <c r="Q5" s="477">
        <f t="shared" ref="Q5:Q14" ca="1" si="0">SUM(B5:P5)</f>
        <v>9034.89537114218</v>
      </c>
    </row>
    <row r="6" spans="1:17">
      <c r="A6" s="477" t="s">
        <v>193</v>
      </c>
      <c r="B6" s="478">
        <f>'openbare verlichting'!B8</f>
        <v>451.52100000000002</v>
      </c>
      <c r="C6" s="478"/>
      <c r="D6" s="478"/>
      <c r="E6" s="478"/>
      <c r="F6" s="478"/>
      <c r="G6" s="478"/>
      <c r="H6" s="478"/>
      <c r="I6" s="478"/>
      <c r="J6" s="478"/>
      <c r="K6" s="478"/>
      <c r="L6" s="478"/>
      <c r="M6" s="478"/>
      <c r="N6" s="478"/>
      <c r="O6" s="478"/>
      <c r="P6" s="479"/>
      <c r="Q6" s="477">
        <f t="shared" si="0"/>
        <v>451.52100000000002</v>
      </c>
    </row>
    <row r="7" spans="1:17">
      <c r="A7" s="477" t="s">
        <v>111</v>
      </c>
      <c r="B7" s="478">
        <f>landbouw!B8</f>
        <v>2380.5789219999997</v>
      </c>
      <c r="C7" s="478">
        <f>landbouw!C8</f>
        <v>0</v>
      </c>
      <c r="D7" s="478">
        <f>landbouw!D8</f>
        <v>97.554907999999998</v>
      </c>
      <c r="E7" s="478">
        <f>landbouw!E8</f>
        <v>74.297083137537527</v>
      </c>
      <c r="F7" s="478">
        <f>landbouw!F8</f>
        <v>8413.2296237670453</v>
      </c>
      <c r="G7" s="478">
        <f>landbouw!G8</f>
        <v>0</v>
      </c>
      <c r="H7" s="478">
        <f>landbouw!H8</f>
        <v>0</v>
      </c>
      <c r="I7" s="478">
        <f>landbouw!I8</f>
        <v>0</v>
      </c>
      <c r="J7" s="478">
        <f>landbouw!J8</f>
        <v>655.86600218113858</v>
      </c>
      <c r="K7" s="478">
        <f>landbouw!K8</f>
        <v>0</v>
      </c>
      <c r="L7" s="478">
        <f>landbouw!L8</f>
        <v>0</v>
      </c>
      <c r="M7" s="478">
        <f>landbouw!M8</f>
        <v>0</v>
      </c>
      <c r="N7" s="478">
        <f>landbouw!N8</f>
        <v>0</v>
      </c>
      <c r="O7" s="478">
        <f>landbouw!O8</f>
        <v>0</v>
      </c>
      <c r="P7" s="479">
        <f>landbouw!P8</f>
        <v>0</v>
      </c>
      <c r="Q7" s="477">
        <f t="shared" si="0"/>
        <v>11621.526539085722</v>
      </c>
    </row>
    <row r="8" spans="1:17">
      <c r="A8" s="477" t="s">
        <v>629</v>
      </c>
      <c r="B8" s="478">
        <f>industrie!B18</f>
        <v>1042.8993109999999</v>
      </c>
      <c r="C8" s="478">
        <f>industrie!C18</f>
        <v>0</v>
      </c>
      <c r="D8" s="478">
        <f>industrie!D18</f>
        <v>967.64124600000002</v>
      </c>
      <c r="E8" s="478">
        <f>industrie!E18</f>
        <v>146.31464647975068</v>
      </c>
      <c r="F8" s="478">
        <f>industrie!F18</f>
        <v>467.89428403612726</v>
      </c>
      <c r="G8" s="478">
        <f>industrie!G18</f>
        <v>0</v>
      </c>
      <c r="H8" s="478">
        <f>industrie!H18</f>
        <v>0</v>
      </c>
      <c r="I8" s="478">
        <f>industrie!I18</f>
        <v>0</v>
      </c>
      <c r="J8" s="478">
        <f>industrie!J18</f>
        <v>0.25643099239397837</v>
      </c>
      <c r="K8" s="478">
        <f>industrie!K18</f>
        <v>0</v>
      </c>
      <c r="L8" s="478">
        <f>industrie!L18</f>
        <v>0</v>
      </c>
      <c r="M8" s="478">
        <f>industrie!M18</f>
        <v>0</v>
      </c>
      <c r="N8" s="478">
        <f>industrie!N18</f>
        <v>58.863866679502578</v>
      </c>
      <c r="O8" s="478">
        <f>industrie!O18</f>
        <v>0</v>
      </c>
      <c r="P8" s="479">
        <f>industrie!P18</f>
        <v>0</v>
      </c>
      <c r="Q8" s="477">
        <f t="shared" si="0"/>
        <v>2683.8697851877746</v>
      </c>
    </row>
    <row r="9" spans="1:17" s="483" customFormat="1">
      <c r="A9" s="481" t="s">
        <v>555</v>
      </c>
      <c r="B9" s="482">
        <f>transport!B14</f>
        <v>24.988099683333335</v>
      </c>
      <c r="C9" s="482">
        <f>transport!C14</f>
        <v>0</v>
      </c>
      <c r="D9" s="482">
        <f>transport!D14</f>
        <v>107.93740659804666</v>
      </c>
      <c r="E9" s="482">
        <f>transport!E14</f>
        <v>82.255916206097226</v>
      </c>
      <c r="F9" s="482">
        <f>transport!F14</f>
        <v>0</v>
      </c>
      <c r="G9" s="482">
        <f>transport!G14</f>
        <v>36731.967082690033</v>
      </c>
      <c r="H9" s="482">
        <f>transport!H14</f>
        <v>8011.1003844088582</v>
      </c>
      <c r="I9" s="482">
        <f>transport!I14</f>
        <v>0</v>
      </c>
      <c r="J9" s="482">
        <f>transport!J14</f>
        <v>0</v>
      </c>
      <c r="K9" s="482">
        <f>transport!K14</f>
        <v>0</v>
      </c>
      <c r="L9" s="482">
        <f>transport!L14</f>
        <v>0</v>
      </c>
      <c r="M9" s="482">
        <f>transport!M14</f>
        <v>2644.4833873443317</v>
      </c>
      <c r="N9" s="482">
        <f>transport!N14</f>
        <v>0</v>
      </c>
      <c r="O9" s="482">
        <f>transport!O14</f>
        <v>0</v>
      </c>
      <c r="P9" s="482">
        <f>transport!P14</f>
        <v>0</v>
      </c>
      <c r="Q9" s="481">
        <f>SUM(B9:P9)</f>
        <v>47602.732276930699</v>
      </c>
    </row>
    <row r="10" spans="1:17">
      <c r="A10" s="477" t="s">
        <v>545</v>
      </c>
      <c r="B10" s="478">
        <f>transport!B54</f>
        <v>0</v>
      </c>
      <c r="C10" s="478">
        <f>transport!C54</f>
        <v>0</v>
      </c>
      <c r="D10" s="478">
        <f>transport!D54</f>
        <v>0</v>
      </c>
      <c r="E10" s="478">
        <f>transport!E54</f>
        <v>0</v>
      </c>
      <c r="F10" s="478">
        <f>transport!F54</f>
        <v>0</v>
      </c>
      <c r="G10" s="478">
        <f>transport!G54</f>
        <v>495.41413613397918</v>
      </c>
      <c r="H10" s="478">
        <f>transport!H54</f>
        <v>0</v>
      </c>
      <c r="I10" s="478">
        <f>transport!I54</f>
        <v>0</v>
      </c>
      <c r="J10" s="478">
        <f>transport!J54</f>
        <v>0</v>
      </c>
      <c r="K10" s="478">
        <f>transport!K54</f>
        <v>0</v>
      </c>
      <c r="L10" s="478">
        <f>transport!L54</f>
        <v>0</v>
      </c>
      <c r="M10" s="478">
        <f>transport!M54</f>
        <v>27.535172500889484</v>
      </c>
      <c r="N10" s="478">
        <f>transport!N54</f>
        <v>0</v>
      </c>
      <c r="O10" s="478">
        <f>transport!O54</f>
        <v>0</v>
      </c>
      <c r="P10" s="479">
        <f>transport!P54</f>
        <v>0</v>
      </c>
      <c r="Q10" s="477">
        <f t="shared" si="0"/>
        <v>522.94930863486866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197.14005</v>
      </c>
      <c r="C14" s="485"/>
      <c r="D14" s="485">
        <f>'SEAP template'!E25</f>
        <v>348.37400000000002</v>
      </c>
      <c r="E14" s="485"/>
      <c r="F14" s="485"/>
      <c r="G14" s="485"/>
      <c r="H14" s="485"/>
      <c r="I14" s="485"/>
      <c r="J14" s="485"/>
      <c r="K14" s="485"/>
      <c r="L14" s="485"/>
      <c r="M14" s="485"/>
      <c r="N14" s="485"/>
      <c r="O14" s="485"/>
      <c r="P14" s="486"/>
      <c r="Q14" s="477">
        <f t="shared" si="0"/>
        <v>545.51405</v>
      </c>
    </row>
    <row r="15" spans="1:17" s="489" customFormat="1">
      <c r="A15" s="487" t="s">
        <v>549</v>
      </c>
      <c r="B15" s="488">
        <f ca="1">SUM(B4:B14)</f>
        <v>18966.91080971108</v>
      </c>
      <c r="C15" s="488">
        <f t="shared" ref="C15:Q15" ca="1" si="1">SUM(C4:C14)</f>
        <v>0</v>
      </c>
      <c r="D15" s="488">
        <f t="shared" ca="1" si="1"/>
        <v>12644.668668998045</v>
      </c>
      <c r="E15" s="488">
        <f t="shared" si="1"/>
        <v>5523.3076822436296</v>
      </c>
      <c r="F15" s="488">
        <f t="shared" ca="1" si="1"/>
        <v>33477.428653918825</v>
      </c>
      <c r="G15" s="488">
        <f t="shared" si="1"/>
        <v>37227.381218824012</v>
      </c>
      <c r="H15" s="488">
        <f t="shared" si="1"/>
        <v>8011.1003844088582</v>
      </c>
      <c r="I15" s="488">
        <f t="shared" si="1"/>
        <v>0</v>
      </c>
      <c r="J15" s="488">
        <f t="shared" si="1"/>
        <v>1598.3667643292426</v>
      </c>
      <c r="K15" s="488">
        <f t="shared" si="1"/>
        <v>0</v>
      </c>
      <c r="L15" s="488">
        <f t="shared" ca="1" si="1"/>
        <v>0</v>
      </c>
      <c r="M15" s="488">
        <f t="shared" si="1"/>
        <v>2672.0185598452213</v>
      </c>
      <c r="N15" s="488">
        <f t="shared" ca="1" si="1"/>
        <v>4031.0104443001974</v>
      </c>
      <c r="O15" s="488">
        <f t="shared" si="1"/>
        <v>123.93475392906305</v>
      </c>
      <c r="P15" s="488">
        <f t="shared" si="1"/>
        <v>474.02816884582603</v>
      </c>
      <c r="Q15" s="488">
        <f t="shared" ca="1" si="1"/>
        <v>124750.15610935401</v>
      </c>
    </row>
    <row r="17" spans="1:17">
      <c r="A17" s="490" t="s">
        <v>550</v>
      </c>
      <c r="B17" s="807">
        <f ca="1">huishoudens!B10</f>
        <v>0.18353723409722009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1695.0318754641357</v>
      </c>
      <c r="C22" s="478">
        <f t="shared" ref="C22:C32" ca="1" si="3">C4*$C$17</f>
        <v>0</v>
      </c>
      <c r="D22" s="478">
        <f t="shared" ref="D22:D32" si="4">D4*$D$17</f>
        <v>1735.0809909928</v>
      </c>
      <c r="E22" s="478">
        <f t="shared" ref="E22:E32" si="5">E4*$E$17</f>
        <v>1159.3152950337831</v>
      </c>
      <c r="F22" s="478">
        <f t="shared" ref="F22:F32" si="6">F4*$F$17</f>
        <v>6411.3911018094614</v>
      </c>
      <c r="G22" s="478">
        <f t="shared" ref="G22:G32" si="7">G4*$G$17</f>
        <v>0</v>
      </c>
      <c r="H22" s="478">
        <f t="shared" ref="H22:H32" si="8">H4*$H$17</f>
        <v>0</v>
      </c>
      <c r="I22" s="478">
        <f t="shared" ref="I22:I32" si="9">I4*$I$17</f>
        <v>0</v>
      </c>
      <c r="J22" s="478">
        <f t="shared" ref="J22:J32" si="10">J4*$J$17</f>
        <v>333.55303625023589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11334.372299550418</v>
      </c>
    </row>
    <row r="23" spans="1:17">
      <c r="A23" s="477" t="s">
        <v>155</v>
      </c>
      <c r="B23" s="478">
        <f t="shared" ca="1" si="2"/>
        <v>1034.1270463572187</v>
      </c>
      <c r="C23" s="478">
        <f t="shared" ca="1" si="3"/>
        <v>0</v>
      </c>
      <c r="D23" s="478">
        <f t="shared" ca="1" si="4"/>
        <v>511.79755290399999</v>
      </c>
      <c r="E23" s="478">
        <f t="shared" si="5"/>
        <v>25.724593233612293</v>
      </c>
      <c r="F23" s="478">
        <f t="shared" ca="1" si="6"/>
        <v>155.82226540341856</v>
      </c>
      <c r="G23" s="478">
        <f t="shared" si="7"/>
        <v>0</v>
      </c>
      <c r="H23" s="478">
        <f t="shared" si="8"/>
        <v>0</v>
      </c>
      <c r="I23" s="478">
        <f t="shared" si="9"/>
        <v>0</v>
      </c>
      <c r="J23" s="478">
        <f t="shared" si="10"/>
        <v>1.4569788854823964E-3</v>
      </c>
      <c r="K23" s="478">
        <f t="shared" si="11"/>
        <v>0</v>
      </c>
      <c r="L23" s="478">
        <f t="shared" ca="1" si="12"/>
        <v>0</v>
      </c>
      <c r="M23" s="478">
        <f t="shared" si="13"/>
        <v>0</v>
      </c>
      <c r="N23" s="478">
        <f t="shared" ca="1" si="14"/>
        <v>0</v>
      </c>
      <c r="O23" s="478">
        <f t="shared" si="15"/>
        <v>0</v>
      </c>
      <c r="P23" s="479">
        <f t="shared" si="16"/>
        <v>0</v>
      </c>
      <c r="Q23" s="477">
        <f t="shared" ref="Q23:Q31" ca="1" si="17">SUM(B23:P23)</f>
        <v>1727.4729148771348</v>
      </c>
    </row>
    <row r="24" spans="1:17">
      <c r="A24" s="477" t="s">
        <v>193</v>
      </c>
      <c r="B24" s="478">
        <f t="shared" ca="1" si="2"/>
        <v>82.870915476810907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82.870915476810907</v>
      </c>
    </row>
    <row r="25" spans="1:17">
      <c r="A25" s="477" t="s">
        <v>111</v>
      </c>
      <c r="B25" s="478">
        <f t="shared" ca="1" si="2"/>
        <v>436.92487089402181</v>
      </c>
      <c r="C25" s="478">
        <f t="shared" ca="1" si="3"/>
        <v>0</v>
      </c>
      <c r="D25" s="478">
        <f t="shared" si="4"/>
        <v>19.706091416</v>
      </c>
      <c r="E25" s="478">
        <f t="shared" si="5"/>
        <v>16.865437872221019</v>
      </c>
      <c r="F25" s="478">
        <f t="shared" si="6"/>
        <v>2246.3323095458013</v>
      </c>
      <c r="G25" s="478">
        <f t="shared" si="7"/>
        <v>0</v>
      </c>
      <c r="H25" s="478">
        <f t="shared" si="8"/>
        <v>0</v>
      </c>
      <c r="I25" s="478">
        <f t="shared" si="9"/>
        <v>0</v>
      </c>
      <c r="J25" s="478">
        <f t="shared" si="10"/>
        <v>232.17656477212304</v>
      </c>
      <c r="K25" s="478">
        <f t="shared" si="11"/>
        <v>0</v>
      </c>
      <c r="L25" s="478">
        <f t="shared" si="12"/>
        <v>0</v>
      </c>
      <c r="M25" s="478">
        <f t="shared" si="13"/>
        <v>0</v>
      </c>
      <c r="N25" s="478">
        <f t="shared" si="14"/>
        <v>0</v>
      </c>
      <c r="O25" s="478">
        <f t="shared" si="15"/>
        <v>0</v>
      </c>
      <c r="P25" s="479">
        <f t="shared" si="16"/>
        <v>0</v>
      </c>
      <c r="Q25" s="477">
        <f t="shared" ca="1" si="17"/>
        <v>2952.0052745001672</v>
      </c>
    </row>
    <row r="26" spans="1:17">
      <c r="A26" s="477" t="s">
        <v>629</v>
      </c>
      <c r="B26" s="478">
        <f t="shared" ca="1" si="2"/>
        <v>191.41085498283653</v>
      </c>
      <c r="C26" s="478">
        <f t="shared" ca="1" si="3"/>
        <v>0</v>
      </c>
      <c r="D26" s="478">
        <f t="shared" si="4"/>
        <v>195.463531692</v>
      </c>
      <c r="E26" s="478">
        <f t="shared" si="5"/>
        <v>33.213424750903407</v>
      </c>
      <c r="F26" s="478">
        <f t="shared" si="6"/>
        <v>124.92777383764599</v>
      </c>
      <c r="G26" s="478">
        <f t="shared" si="7"/>
        <v>0</v>
      </c>
      <c r="H26" s="478">
        <f t="shared" si="8"/>
        <v>0</v>
      </c>
      <c r="I26" s="478">
        <f t="shared" si="9"/>
        <v>0</v>
      </c>
      <c r="J26" s="478">
        <f t="shared" si="10"/>
        <v>9.0776571307468343E-2</v>
      </c>
      <c r="K26" s="478">
        <f t="shared" si="11"/>
        <v>0</v>
      </c>
      <c r="L26" s="478">
        <f t="shared" si="12"/>
        <v>0</v>
      </c>
      <c r="M26" s="478">
        <f t="shared" si="13"/>
        <v>0</v>
      </c>
      <c r="N26" s="478">
        <f t="shared" si="14"/>
        <v>0</v>
      </c>
      <c r="O26" s="478">
        <f t="shared" si="15"/>
        <v>0</v>
      </c>
      <c r="P26" s="479">
        <f t="shared" si="16"/>
        <v>0</v>
      </c>
      <c r="Q26" s="477">
        <f t="shared" ca="1" si="17"/>
        <v>545.10636183469342</v>
      </c>
    </row>
    <row r="27" spans="1:17" s="483" customFormat="1">
      <c r="A27" s="481" t="s">
        <v>555</v>
      </c>
      <c r="B27" s="801">
        <f t="shared" ca="1" si="2"/>
        <v>4.5862467012246215</v>
      </c>
      <c r="C27" s="482">
        <f t="shared" ca="1" si="3"/>
        <v>0</v>
      </c>
      <c r="D27" s="482">
        <f t="shared" si="4"/>
        <v>21.803356132805426</v>
      </c>
      <c r="E27" s="482">
        <f t="shared" si="5"/>
        <v>18.672092978784072</v>
      </c>
      <c r="F27" s="482">
        <f t="shared" si="6"/>
        <v>0</v>
      </c>
      <c r="G27" s="482">
        <f t="shared" si="7"/>
        <v>9807.4352110782402</v>
      </c>
      <c r="H27" s="482">
        <f t="shared" si="8"/>
        <v>1994.7639957178058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11847.260902608859</v>
      </c>
    </row>
    <row r="28" spans="1:17" ht="16.5" customHeight="1">
      <c r="A28" s="477" t="s">
        <v>545</v>
      </c>
      <c r="B28" s="478">
        <f t="shared" ca="1" si="2"/>
        <v>0</v>
      </c>
      <c r="C28" s="478">
        <f t="shared" ca="1" si="3"/>
        <v>0</v>
      </c>
      <c r="D28" s="478">
        <f t="shared" si="4"/>
        <v>0</v>
      </c>
      <c r="E28" s="478">
        <f t="shared" si="5"/>
        <v>0</v>
      </c>
      <c r="F28" s="478">
        <f t="shared" si="6"/>
        <v>0</v>
      </c>
      <c r="G28" s="478">
        <f t="shared" si="7"/>
        <v>132.27557434777245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132.27557434777245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36.18253950678767</v>
      </c>
      <c r="C32" s="478">
        <f t="shared" ca="1" si="3"/>
        <v>0</v>
      </c>
      <c r="D32" s="478">
        <f t="shared" si="4"/>
        <v>70.371548000000004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106.55408750678768</v>
      </c>
    </row>
    <row r="33" spans="1:17" s="489" customFormat="1">
      <c r="A33" s="487" t="s">
        <v>549</v>
      </c>
      <c r="B33" s="488">
        <f ca="1">SUM(B22:B32)</f>
        <v>3481.1343493830359</v>
      </c>
      <c r="C33" s="488">
        <f t="shared" ref="C33:Q33" ca="1" si="19">SUM(C22:C32)</f>
        <v>0</v>
      </c>
      <c r="D33" s="488">
        <f t="shared" ca="1" si="19"/>
        <v>2554.2230711376051</v>
      </c>
      <c r="E33" s="488">
        <f t="shared" si="19"/>
        <v>1253.7908438693039</v>
      </c>
      <c r="F33" s="488">
        <f t="shared" ca="1" si="19"/>
        <v>8938.4734505963279</v>
      </c>
      <c r="G33" s="488">
        <f t="shared" si="19"/>
        <v>9939.7107854260121</v>
      </c>
      <c r="H33" s="488">
        <f t="shared" si="19"/>
        <v>1994.7639957178058</v>
      </c>
      <c r="I33" s="488">
        <f t="shared" si="19"/>
        <v>0</v>
      </c>
      <c r="J33" s="488">
        <f t="shared" si="19"/>
        <v>565.82183457255189</v>
      </c>
      <c r="K33" s="488">
        <f t="shared" si="19"/>
        <v>0</v>
      </c>
      <c r="L33" s="488">
        <f t="shared" ca="1" si="19"/>
        <v>0</v>
      </c>
      <c r="M33" s="488">
        <f t="shared" si="19"/>
        <v>0</v>
      </c>
      <c r="N33" s="488">
        <f t="shared" ca="1" si="19"/>
        <v>0</v>
      </c>
      <c r="O33" s="488">
        <f t="shared" si="19"/>
        <v>0</v>
      </c>
      <c r="P33" s="488">
        <f t="shared" si="19"/>
        <v>0</v>
      </c>
      <c r="Q33" s="488">
        <f t="shared" ca="1" si="19"/>
        <v>28727.918330702643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3215.1716722312749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3215.1716722312749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0.18353723409722009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0.18353723409722009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2019-06-29T17:09:35Z</dcterms:modified>
</cp:coreProperties>
</file>