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<sst xmlns="http://schemas.openxmlformats.org/spreadsheetml/2006/main" count="2376" uniqueCount="889">
  <si>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</si>
  <si>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</si>
  <si>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</si>
  <si>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</si>
  <si>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</si>
  <si>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</si>
  <si>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</si>
  <si>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</si>
  <si>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</si>
  <si>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</si>
  <si>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</si>
  <si>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</si>
  <si>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</si>
  <si>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</si>
  <si>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</si>
  <si>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</si>
  <si>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</si>
  <si>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</si>
  <si>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</si>
  <si>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</si>
  <si>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</si>
  <si>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</si>
  <si>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</si>
  <si>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</si>
  <si>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</si>
  <si>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</si>
  <si>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</si>
  <si>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</si>
  <si>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</si>
  <si>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</si>
  <si>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</si>
  <si>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</si>
  <si>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</si>
  <si>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</si>
  <si>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</si>
  <si>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</si>
  <si>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</si>
  <si>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</si>
  <si>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</si>
  <si>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</si>
  <si>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</si>
  <si>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</si>
  <si>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</si>
  <si>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</si>
  <si>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</si>
  <si>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</si>
  <si>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</si>
  <si>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</si>
  <si>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</si>
  <si>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</si>
  <si>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</si>
  <si>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</si>
  <si>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</si>
  <si>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</si>
  <si>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</si>
  <si>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</si>
  <si>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</si>
  <si>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</si>
  <si>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</si>
  <si>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</si>
  <si>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</si>
  <si>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</si>
  <si>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</si>
  <si>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</si>
  <si>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</si>
  <si>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</si>
  <si>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</si>
  <si>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</si>
  <si>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</si>
  <si>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</si>
  <si>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</si>
  <si>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</si>
  <si>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</si>
  <si>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</si>
  <si>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</si>
  <si>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</si>
  <si>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</si>
  <si>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</si>
  <si>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</si>
  <si>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</si>
  <si>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</si>
  <si>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</si>
  <si>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</si>
  <si>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</si>
  <si>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</si>
  <si>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</si>
  <si>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</si>
  <si>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</si>
  <si>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</si>
  <si>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</si>
  <si>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</si>
  <si>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</si>
  <si>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</si>
  <si>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</si>
  <si>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</si>
  <si>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</si>
  <si>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</si>
  <si>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</si>
  <si>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</si>
  <si>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</si>
  <si>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</si>
  <si>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</si>
  <si>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</si>
  <si>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</si>
  <si>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</si>
  <si>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</si>
  <si>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</si>
  <si>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</si>
  <si>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</si>
  <si>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</si>
  <si>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</si>
  <si>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</si>
  <si>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</si>
  <si>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</si>
  <si>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</si>
  <si>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</si>
  <si>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</si>
  <si>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</si>
  <si>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</si>
  <si>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</si>
  <si>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</si>
  <si>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</si>
  <si>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</si>
  <si>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</si>
  <si>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</si>
  <si>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</si>
  <si>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</si>
  <si>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</si>
  <si>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</si>
  <si>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</si>
  <si>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</si>
  <si>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</si>
  <si>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</si>
  <si>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</si>
  <si>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</si>
  <si>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</si>
  <si>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</si>
  <si>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</si>
  <si>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</si>
  <si>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</si>
  <si>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</si>
  <si>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</si>
  <si>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</si>
  <si>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</si>
  <si>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</si>
  <si>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</si>
  <si>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</si>
  <si>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</si>
  <si>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</si>
  <si>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</si>
  <si>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</si>
  <si>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</si>
  <si>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</si>
  <si>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</si>
  <si>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</si>
  <si>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</si>
  <si>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</si>
  <si>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</si>
  <si>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</si>
  <si>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</si>
  <si>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</si>
  <si>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</si>
  <si>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</si>
  <si>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</si>
  <si>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</si>
  <si>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</si>
  <si>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</si>
  <si>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</si>
  <si>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</si>
  <si>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</si>
  <si>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</si>
  <si>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</si>
  <si>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</si>
  <si>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</si>
  <si>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</si>
  <si>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</si>
  <si>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</si>
  <si>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</si>
  <si>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</si>
  <si>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</si>
  <si>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</si>
  <si>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</si>
  <si>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</si>
  <si>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</si>
  <si>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</si>
  <si>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</si>
  <si>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</si>
  <si>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</si>
  <si>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</si>
  <si>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</si>
  <si>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</si>
  <si>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</si>
  <si>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</si>
  <si>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</si>
  <si>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</si>
  <si>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</si>
  <si>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</si>
  <si>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</si>
  <si>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</si>
  <si>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</si>
  <si>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</si>
  <si>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</si>
  <si>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</si>
  <si>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</si>
  <si>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</si>
  <si>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</si>
  <si>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</si>
  <si>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</si>
  <si>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</si>
  <si>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</si>
  <si>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</si>
  <si>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</si>
  <si>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</si>
  <si>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</si>
  <si>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</si>
  <si>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</si>
  <si>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</si>
  <si>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</si>
  <si>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</si>
  <si>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</si>
  <si>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</si>
  <si>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</si>
  <si>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</si>
  <si>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</si>
  <si>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</si>
  <si>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</si>
  <si>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</si>
  <si>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</si>
  <si>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</si>
  <si>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</si>
  <si>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</si>
  <si>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</si>
  <si>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</si>
  <si>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</si>
  <si>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</si>
  <si>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</si>
  <si>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</si>
  <si>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</si>
  <si>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</si>
  <si>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</si>
  <si>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</si>
  <si>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</si>
  <si>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</si>
  <si>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</si>
  <si>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</si>
  <si>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</si>
  <si>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</si>
  <si>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</si>
  <si>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</si>
  <si>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</si>
  <si>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</si>
  <si>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</si>
  <si>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</si>
  <si>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</si>
  <si>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</si>
  <si>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</si>
  <si>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</si>
  <si>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</si>
  <si>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</si>
  <si>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</si>
  <si>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</si>
  <si>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</si>
  <si>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</si>
  <si>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</si>
  <si>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</si>
  <si>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</si>
  <si>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</si>
  <si>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</si>
  <si>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</si>
  <si>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</si>
  <si>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</si>
  <si>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</si>
  <si>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</si>
  <si>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</si>
  <si>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</si>
  <si>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</si>
  <si>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</si>
  <si>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</si>
  <si>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</si>
  <si>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</si>
  <si>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</si>
  <si>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</si>
  <si>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</si>
  <si>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</si>
  <si>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</si>
  <si>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</si>
  <si>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</si>
  <si>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</si>
  <si>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</si>
  <si>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</si>
  <si>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</si>
  <si>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</si>
  <si>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</si>
  <si>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</si>
  <si>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</si>
  <si>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</si>
  <si>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</si>
  <si>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</si>
  <si>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</si>
  <si>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</si>
  <si>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</si>
  <si>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</si>
  <si>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</si>
  <si>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</si>
  <si>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</si>
  <si>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</si>
  <si>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</si>
  <si>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</si>
  <si>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</si>
  <si>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</si>
  <si>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</si>
  <si>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</si>
  <si>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</si>
  <si>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</si>
  <si>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</si>
  <si>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</si>
  <si>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</si>
  <si>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</si>
  <si>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</si>
  <si>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</si>
  <si>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</si>
  <si>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</si>
  <si>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</si>
  <si>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</si>
  <si>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</si>
  <si>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</si>
  <si>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</si>
  <si>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</si>
  <si>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</si>
  <si>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</si>
  <si>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</si>
  <si>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</si>
  <si>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</si>
  <si>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</si>
  <si>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</si>
  <si>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</si>
  <si>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</si>
  <si>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</si>
  <si>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</si>
  <si>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</si>
  <si>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</si>
  <si>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</si>
  <si>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</si>
  <si>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</si>
  <si>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</si>
  <si>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</si>
  <si>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</si>
  <si>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</si>
  <si>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</si>
  <si>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</si>
  <si>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</si>
  <si>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</si>
  <si>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</si>
  <si>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</si>
  <si>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</si>
  <si>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</si>
  <si>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</si>
  <si>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</si>
  <si>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</si>
  <si>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</si>
  <si>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</si>
  <si>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</si>
  <si>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</si>
  <si>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</si>
  <si>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</si>
  <si>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</si>
  <si>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</si>
  <si>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</si>
  <si>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</si>
  <si>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</si>
  <si>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</si>
  <si>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</si>
  <si>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</si>
  <si>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</si>
  <si>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</si>
  <si>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</si>
  <si>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</si>
  <si>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</si>
  <si>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</si>
  <si>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</si>
  <si>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</si>
  <si>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</si>
  <si>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</si>
  <si>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</si>
  <si>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</si>
  <si>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</si>
  <si>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</si>
  <si>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</si>
  <si>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</si>
  <si>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</si>
  <si>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</si>
  <si>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</si>
  <si>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</si>
  <si>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</si>
  <si>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</si>
  <si>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</si>
  <si>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</si>
  <si>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</si>
  <si>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</si>
  <si>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</si>
  <si>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</si>
  <si>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</si>
  <si>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</si>
  <si>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</si>
  <si>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</si>
  <si>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</si>
  <si>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</si>
  <si>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</si>
  <si>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</si>
  <si>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</si>
  <si>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</si>
  <si>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</si>
  <si>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</si>
  <si>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</si>
  <si>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</si>
  <si>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</si>
  <si>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</si>
  <si>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</si>
  <si>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</si>
  <si>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</si>
  <si>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</si>
  <si>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</si>
  <si>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</si>
  <si>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</si>
  <si>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</si>
  <si>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</si>
  <si>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</si>
  <si>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</si>
  <si>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</si>
  <si>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</si>
  <si>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</si>
  <si>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</si>
  <si>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</si>
  <si>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</si>
  <si>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</si>
  <si>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</si>
  <si>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</si>
  <si>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</si>
  <si>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</si>
  <si>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</si>
  <si>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</si>
  <si>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</si>
  <si>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</si>
  <si>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</si>
  <si>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</si>
  <si>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</si>
  <si>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</si>
  <si>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</si>
  <si>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</si>
  <si>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</si>
  <si>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</si>
  <si>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</si>
  <si>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</si>
  <si>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</si>
  <si>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</si>
  <si>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</si>
  <si>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</si>
  <si>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</si>
  <si>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</si>
  <si>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</si>
  <si>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</si>
  <si>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</si>
  <si>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</si>
  <si>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</si>
  <si>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</si>
  <si>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</si>
  <si>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</si>
  <si>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</si>
  <si>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</si>
  <si>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</si>
  <si>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</si>
  <si>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</si>
  <si>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</si>
  <si>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</si>
  <si>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</si>
  <si>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</si>
  <si>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</si>
  <si>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</si>
  <si>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</si>
  <si>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</si>
  <si>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</si>
  <si>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</si>
  <si>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</si>
  <si>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</si>
  <si>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</si>
  <si>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</si>
  <si>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</si>
  <si>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</si>
  <si>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</si>
  <si>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</si>
  <si>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</si>
  <si>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</si>
  <si>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</si>
  <si>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</si>
  <si>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</si>
  <si>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</si>
  <si>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</si>
  <si>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</si>
  <si>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</si>
  <si>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</si>
  <si>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</si>
  <si>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</si>
  <si>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</si>
  <si>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</si>
  <si>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</si>
  <si>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</si>
  <si>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</si>
  <si>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</si>
  <si>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</si>
  <si>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</si>
  <si>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</si>
  <si>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</si>
  <si>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</si>
  <si>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</si>
  <si>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</si>
  <si>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</si>
  <si>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</si>
  <si>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</si>
  <si>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</si>
  <si>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</si>
  <si>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</si>
  <si>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</si>
  <si>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</si>
  <si>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</si>
  <si>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</si>
  <si>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</si>
  <si>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</si>
  <si>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</si>
  <si>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</si>
  <si>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</si>
  <si>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</si>
  <si>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</si>
  <si>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</si>
  <si>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</si>
  <si>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</si>
  <si>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</si>
  <si>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</si>
  <si>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</si>
  <si>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</si>
  <si>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</si>
  <si>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</si>
  <si>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</si>
  <si>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</si>
  <si>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</si>
  <si>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</si>
  <si>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</si>
  <si>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</si>
  <si>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</si>
  <si>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</si>
  <si>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</si>
  <si>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</si>
  <si>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</si>
  <si>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</si>
  <si>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</si>
  <si>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</si>
  <si>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</si>
  <si>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</si>
  <si>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</si>
  <si>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</si>
  <si>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</si>
  <si>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</si>
  <si>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</si>
  <si>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</si>
  <si>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</si>
  <si>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</si>
  <si>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</si>
  <si>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</si>
  <si>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</si>
  <si>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</si>
  <si>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</si>
  <si>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</si>
  <si>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</si>
  <si>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</si>
  <si>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</si>
  <si>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</si>
  <si>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</si>
  <si>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</si>
  <si>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</si>
  <si>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</si>
  <si>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</si>
  <si>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</si>
  <si>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</si>
  <si>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</si>
  <si>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</si>
  <si>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</si>
  <si>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</si>
  <si>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</si>
  <si>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</si>
  <si>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</si>
  <si>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</si>
  <si>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</si>
  <si>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</si>
  <si>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</si>
  <si>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</si>
  <si>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</si>
  <si>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</si>
  <si>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</si>
  <si>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</si>
  <si>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</si>
  <si>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</si>
  <si>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</si>
  <si>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</si>
  <si>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</si>
  <si>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</si>
  <si>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</si>
  <si>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</si>
  <si>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</si>
  <si>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</si>
  <si>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</si>
  <si>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</si>
  <si>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</si>
  <si>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</si>
  <si>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</si>
  <si>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</si>
  <si>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</si>
  <si>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</si>
  <si>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</si>
  <si>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</si>
  <si>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</si>
  <si>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</si>
  <si>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</si>
  <si>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</si>
  <si>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</si>
  <si>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</si>
  <si>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</si>
  <si>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</si>
  <si>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</si>
  <si>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</si>
  <si>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</si>
  <si>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</si>
  <si>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</si>
  <si>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</si>
  <si>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</si>
  <si>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</si>
  <si>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</si>
  <si>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</si>
  <si>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</si>
  <si>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</si>
  <si>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</si>
  <si>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</si>
  <si>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</si>
  <si>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</si>
  <si>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</si>
  <si>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</si>
  <si>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</si>
  <si>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</si>
  <si>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</si>
  <si>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</si>
  <si>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</si>
  <si>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</si>
  <si>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</si>
  <si>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</si>
  <si>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</si>
  <si>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</si>
  <si>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</si>
  <si>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</si>
  <si>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</si>
  <si>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</si>
  <si>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</si>
  <si>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</si>
  <si>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</si>
  <si>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</si>
  <si>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</si>
  <si>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</si>
  <si>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</si>
  <si>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</si>
  <si>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</si>
  <si>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</si>
  <si>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</si>
  <si>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</si>
  <si>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</si>
  <si>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</si>
  <si>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</si>
  <si>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</si>
  <si>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</si>
  <si>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</si>
  <si>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</si>
  <si>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</si>
  <si>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</si>
  <si>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</si>
  <si>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</si>
  <si>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</si>
  <si>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</si>
  <si>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</si>
  <si>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</si>
  <si>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</si>
  <si>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</si>
  <si>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</si>
  <si>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</si>
  <si>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</si>
  <si>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</si>
  <si>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</si>
  <si>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</si>
  <si>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</si>
  <si>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</si>
  <si>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</si>
  <si>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</si>
  <si>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</si>
  <si>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</si>
  <si>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</si>
  <si>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</si>
  <si>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</si>
  <si>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</si>
  <si>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</si>
  <si>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</si>
  <si>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</si>
  <si>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</si>
  <si>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</si>
  <si>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</si>
  <si>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</si>
  <si>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</si>
  <si>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</si>
  <si>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</si>
  <si>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</si>
  <si>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</si>
  <si>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</si>
  <si>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</si>
  <si>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</si>
  <si>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</si>
  <si>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</si>
  <si>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</si>
  <si>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</si>
  <si>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</si>
  <si>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</si>
  <si>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</si>
  <si>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</si>
  <si>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</si>
  <si>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</si>
  <si>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</si>
  <si>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</si>
  <si>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</si>
  <si>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</si>
  <si>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</si>
  <si>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</si>
  <si>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</si>
  <si>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</si>
  <si>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</si>
  <si>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</si>
  <si>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</si>
  <si>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</si>
  <si>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</si>
  <si>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</si>
  <si>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</si>
  <si>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</si>
  <si>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</si>
  <si>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</si>
  <si>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</si>
  <si>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</si>
  <si>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</si>
  <si>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</si>
  <si>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</si>
  <si>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</si>
  <si>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</si>
  <si>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</si>
  <si>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</si>
  <si>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</si>
  <si>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</si>
  <si>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</si>
  <si>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</si>
  <si>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</si>
  <si>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</si>
  <si>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</si>
  <si>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</si>
  <si>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</si>
  <si>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</si>
  <si>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</si>
  <si>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</si>
  <si>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</si>
  <si>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</si>
  <si>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</si>
  <si>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</si>
  <si>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</si>
  <si>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</si>
  <si>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</si>
  <si>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</si>
  <si>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</si>
  <si>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</si>
  <si>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</si>
  <si>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</si>
  <si>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</si>
  <si>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</si>
  <si>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</si>
  <si>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</si>
  <si>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</si>
  <si>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</si>
  <si>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</si>
  <si>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</si>
  <si>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</si>
  <si>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</si>
  <si>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</si>
  <si>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</si>
  <si>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</si>
  <si>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</si>
  <si>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</si>
  <si>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</si>
  <si>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</si>
  <si>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</si>
  <si>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</si>
  <si>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</si>
  <si>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</si>
  <si>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</si>
  <si>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</si>
  <si>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</si>
  <si>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</si>
  <si>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</si>
  <si>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</si>
  <si>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</si>
  <si>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</si>
  <si>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</si>
  <si>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</si>
  <si>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</si>
  <si>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</si>
  <si>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</si>
  <si>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</si>
  <si>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</si>
  <si>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</si>
  <si>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</si>
  <si>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</si>
  <si>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</si>
  <si>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</si>
  <si>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</si>
  <si>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</si>
  <si>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</si>
  <si>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</si>
  <si>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</si>
  <si>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</si>
  <si>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</si>
  <si>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</si>
  <si>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</si>
  <si>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</si>
  <si>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</si>
  <si>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</si>
  <si>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</si>
  <si>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</si>
  <si>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</si>
  <si>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</si>
  <si>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</si>
  <si>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</si>
  <si>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</si>
  <si>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</si>
  <si>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</si>
  <si>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</si>
  <si>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</si>
  <si>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</si>
  <si>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</si>
  <si>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</si>
  <si>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</si>
  <si>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</si>
  <si>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</si>
  <si>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</si>
  <si>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</si>
  <si>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</si>
  <si>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</si>
  <si>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</si>
  <si>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</si>
  <si>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</si>
  <si>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</si>
  <si>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</si>
  <si>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</si>
  <si>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</si>
  <si>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</si>
  <si>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</si>
  <si>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</si>
  <si>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</si>
  <si>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</si>
  <si>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</si>
  <si>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</si>
  <si>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</si>
  <si>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</si>
  <si>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</si>
  <si>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</si>
  <si>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</si>
  <si>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</si>
  <si>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</si>
  <si>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24066</t>
  </si>
  <si>
    <t>LUBBEEK</t>
  </si>
  <si>
    <t>Mestbank (maart 2019)</t>
  </si>
  <si>
    <t>Fluvius (februari 2019)</t>
  </si>
  <si>
    <t>referentietaak LNE (2017); Jaarverslag De Lijn (2018)</t>
  </si>
  <si>
    <t>VEA (30 april 2019)</t>
  </si>
  <si>
    <t>VEA (mei 2018)</t>
  </si>
  <si>
    <t>VEA (mei 2019)</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</si>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</sst>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120001.3251638839</c:v>
                </c:pt>
                <c:pt idx="1">
                  <c:v>25687.498631867165</c:v>
                </c:pt>
                <c:pt idx="2">
                  <c:v>882.25900000000001</c:v>
                </c:pt>
                <c:pt idx="3">
                  <c:v>3521.4207468308032</c:v>
                </c:pt>
                <c:pt idx="4">
                  <c:v>5943.4638558805018</c:v>
                </c:pt>
                <c:pt idx="5">
                  <c:v>69491.95887474202</c:v>
                </c:pt>
                <c:pt idx="6">
                  <c:v>3638.9722912153356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6512"/>
        <c:axId val="160418048"/>
      </c:barChart>
      <c:catAx>
        <c:axId val="160416512"/>
        <c:scaling>
          <c:orientation val="minMax"/>
        </c:scaling>
        <c:axPos val="b"/>
        <c:numFmt formatCode="General" sourceLinked="0"/>
        <c:tickLblPos val="nextTo"/>
        <c:crossAx val="160418048"/>
        <c:crosses val="autoZero"/>
        <c:auto val="1"/>
        <c:lblAlgn val="ctr"/>
        <c:lblOffset val="100"/>
      </c:catAx>
      <c:valAx>
        <c:axId val="160418048"/>
        <c:scaling>
          <c:orientation val="minMax"/>
        </c:scaling>
        <c:axPos val="l"/>
        <c:majorGridlines/>
        <c:numFmt formatCode="#,##0" sourceLinked="1"/>
        <c:tickLblPos val="nextTo"/>
        <c:crossAx val="160416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120001.3251638839</c:v>
                </c:pt>
                <c:pt idx="1">
                  <c:v>25687.498631867165</c:v>
                </c:pt>
                <c:pt idx="2">
                  <c:v>882.25900000000001</c:v>
                </c:pt>
                <c:pt idx="3">
                  <c:v>3521.4207468308032</c:v>
                </c:pt>
                <c:pt idx="4">
                  <c:v>5943.4638558805018</c:v>
                </c:pt>
                <c:pt idx="5">
                  <c:v>69491.95887474202</c:v>
                </c:pt>
                <c:pt idx="6">
                  <c:v>3638.9722912153356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25137.7917799883</c:v>
                </c:pt>
                <c:pt idx="1">
                  <c:v>5087.3543717757784</c:v>
                </c:pt>
                <c:pt idx="2">
                  <c:v>168.02495279720989</c:v>
                </c:pt>
                <c:pt idx="3">
                  <c:v>899.26854949527478</c:v>
                </c:pt>
                <c:pt idx="4">
                  <c:v>1209.7632421693361</c:v>
                </c:pt>
                <c:pt idx="5">
                  <c:v>17279.316420150564</c:v>
                </c:pt>
                <c:pt idx="6">
                  <c:v>920.44705272231658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63264"/>
        <c:axId val="160777344"/>
      </c:barChart>
      <c:catAx>
        <c:axId val="160763264"/>
        <c:scaling>
          <c:orientation val="minMax"/>
        </c:scaling>
        <c:axPos val="b"/>
        <c:numFmt formatCode="General" sourceLinked="0"/>
        <c:tickLblPos val="nextTo"/>
        <c:crossAx val="160777344"/>
        <c:crosses val="autoZero"/>
        <c:auto val="1"/>
        <c:lblAlgn val="ctr"/>
        <c:lblOffset val="100"/>
      </c:catAx>
      <c:valAx>
        <c:axId val="160777344"/>
        <c:scaling>
          <c:orientation val="minMax"/>
        </c:scaling>
        <c:axPos val="l"/>
        <c:majorGridlines/>
        <c:numFmt formatCode="#,##0" sourceLinked="1"/>
        <c:tickLblPos val="nextTo"/>
        <c:crossAx val="16076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25137.7917799883</c:v>
                </c:pt>
                <c:pt idx="1">
                  <c:v>5087.3543717757784</c:v>
                </c:pt>
                <c:pt idx="2">
                  <c:v>168.02495279720989</c:v>
                </c:pt>
                <c:pt idx="3">
                  <c:v>899.26854949527478</c:v>
                </c:pt>
                <c:pt idx="4">
                  <c:v>1209.7632421693361</c:v>
                </c:pt>
                <c:pt idx="5">
                  <c:v>17279.316420150564</c:v>
                </c:pt>
                <c:pt idx="6">
                  <c:v>920.44705272231658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24066</v>
      </c>
      <c r="B6" s="415"/>
      <c r="C6" s="416"/>
    </row>
    <row r="7" spans="1:7" s="413" customFormat="1" ht="15.75" customHeight="1">
      <c r="A7" s="417" t="str">
        <f>txtMunicipality</f>
        <v>LUBBEEK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0.19044855625979434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0.19044855625979434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5624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2350.79</v>
      </c>
    </row>
    <row r="15" spans="1:6">
      <c r="A15" s="348" t="s">
        <v>183</v>
      </c>
      <c r="B15" s="334">
        <v>476</v>
      </c>
    </row>
    <row r="16" spans="1:6">
      <c r="A16" s="348" t="s">
        <v>6</v>
      </c>
      <c r="B16" s="334">
        <v>479</v>
      </c>
    </row>
    <row r="17" spans="1:6">
      <c r="A17" s="348" t="s">
        <v>7</v>
      </c>
      <c r="B17" s="334">
        <v>269</v>
      </c>
    </row>
    <row r="18" spans="1:6">
      <c r="A18" s="348" t="s">
        <v>8</v>
      </c>
      <c r="B18" s="334">
        <v>506</v>
      </c>
    </row>
    <row r="19" spans="1:6">
      <c r="A19" s="348" t="s">
        <v>9</v>
      </c>
      <c r="B19" s="334">
        <v>479</v>
      </c>
    </row>
    <row r="20" spans="1:6">
      <c r="A20" s="348" t="s">
        <v>10</v>
      </c>
      <c r="B20" s="334">
        <v>280</v>
      </c>
    </row>
    <row r="21" spans="1:6">
      <c r="A21" s="348" t="s">
        <v>11</v>
      </c>
      <c r="B21" s="334">
        <v>868</v>
      </c>
    </row>
    <row r="22" spans="1:6">
      <c r="A22" s="348" t="s">
        <v>12</v>
      </c>
      <c r="B22" s="334">
        <v>1899</v>
      </c>
    </row>
    <row r="23" spans="1:6">
      <c r="A23" s="348" t="s">
        <v>13</v>
      </c>
      <c r="B23" s="334">
        <v>0</v>
      </c>
    </row>
    <row r="24" spans="1:6">
      <c r="A24" s="348" t="s">
        <v>14</v>
      </c>
      <c r="B24" s="334">
        <v>0</v>
      </c>
    </row>
    <row r="25" spans="1:6">
      <c r="A25" s="348" t="s">
        <v>15</v>
      </c>
      <c r="B25" s="334">
        <v>0</v>
      </c>
    </row>
    <row r="26" spans="1:6">
      <c r="A26" s="348" t="s">
        <v>16</v>
      </c>
      <c r="B26" s="334">
        <v>213</v>
      </c>
    </row>
    <row r="27" spans="1:6">
      <c r="A27" s="348" t="s">
        <v>17</v>
      </c>
      <c r="B27" s="334">
        <v>1</v>
      </c>
    </row>
    <row r="28" spans="1:6" s="356" customFormat="1">
      <c r="A28" s="355" t="s">
        <v>18</v>
      </c>
      <c r="B28" s="355">
        <v>0</v>
      </c>
    </row>
    <row r="29" spans="1:6">
      <c r="A29" s="355" t="s">
        <v>713</v>
      </c>
      <c r="B29" s="355">
        <v>280</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29</v>
      </c>
      <c r="F36" s="334">
        <v>2006236</v>
      </c>
    </row>
    <row r="37" spans="1:6">
      <c r="A37" s="348" t="s">
        <v>24</v>
      </c>
      <c r="B37" s="348" t="s">
        <v>27</v>
      </c>
      <c r="C37" s="334">
        <v>0</v>
      </c>
      <c r="D37" s="334">
        <v>0</v>
      </c>
      <c r="E37" s="334">
        <v>0</v>
      </c>
      <c r="F37" s="334">
        <v>0</v>
      </c>
    </row>
    <row r="38" spans="1:6">
      <c r="A38" s="348" t="s">
        <v>24</v>
      </c>
      <c r="B38" s="348" t="s">
        <v>28</v>
      </c>
      <c r="C38" s="334">
        <v>1</v>
      </c>
      <c r="D38" s="334">
        <v>655701.5</v>
      </c>
      <c r="E38" s="334">
        <v>2</v>
      </c>
      <c r="F38" s="334">
        <v>31355</v>
      </c>
    </row>
    <row r="39" spans="1:6">
      <c r="A39" s="348" t="s">
        <v>29</v>
      </c>
      <c r="B39" s="348" t="s">
        <v>30</v>
      </c>
      <c r="C39" s="334">
        <v>2194</v>
      </c>
      <c r="D39" s="334">
        <v>37340111.149999999</v>
      </c>
      <c r="E39" s="334">
        <v>5476</v>
      </c>
      <c r="F39" s="334">
        <v>21829560.800000001</v>
      </c>
    </row>
    <row r="40" spans="1:6">
      <c r="A40" s="348" t="s">
        <v>29</v>
      </c>
      <c r="B40" s="348" t="s">
        <v>28</v>
      </c>
      <c r="C40" s="334">
        <v>0</v>
      </c>
      <c r="D40" s="334">
        <v>0</v>
      </c>
      <c r="E40" s="334">
        <v>0</v>
      </c>
      <c r="F40" s="334">
        <v>0</v>
      </c>
    </row>
    <row r="41" spans="1:6">
      <c r="A41" s="348" t="s">
        <v>31</v>
      </c>
      <c r="B41" s="348" t="s">
        <v>32</v>
      </c>
      <c r="C41" s="334">
        <v>29</v>
      </c>
      <c r="D41" s="334">
        <v>600333.9</v>
      </c>
      <c r="E41" s="334">
        <v>107</v>
      </c>
      <c r="F41" s="334">
        <v>1394459.297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55448</v>
      </c>
    </row>
    <row r="45" spans="1:6">
      <c r="A45" s="348" t="s">
        <v>31</v>
      </c>
      <c r="B45" s="348" t="s">
        <v>36</v>
      </c>
      <c r="C45" s="334">
        <v>0</v>
      </c>
      <c r="D45" s="334">
        <v>0</v>
      </c>
      <c r="E45" s="334">
        <v>3</v>
      </c>
      <c r="F45" s="334">
        <v>821291</v>
      </c>
    </row>
    <row r="46" spans="1:6">
      <c r="A46" s="348" t="s">
        <v>31</v>
      </c>
      <c r="B46" s="348" t="s">
        <v>37</v>
      </c>
      <c r="C46" s="334">
        <v>0</v>
      </c>
      <c r="D46" s="334">
        <v>0</v>
      </c>
      <c r="E46" s="334">
        <v>0</v>
      </c>
      <c r="F46" s="334">
        <v>0</v>
      </c>
    </row>
    <row r="47" spans="1:6">
      <c r="A47" s="348" t="s">
        <v>31</v>
      </c>
      <c r="B47" s="348" t="s">
        <v>38</v>
      </c>
      <c r="C47" s="334">
        <v>0</v>
      </c>
      <c r="D47" s="334">
        <v>0</v>
      </c>
      <c r="E47" s="334">
        <v>3</v>
      </c>
      <c r="F47" s="334">
        <v>87777.793999999994</v>
      </c>
    </row>
    <row r="48" spans="1:6">
      <c r="A48" s="348" t="s">
        <v>31</v>
      </c>
      <c r="B48" s="348" t="s">
        <v>28</v>
      </c>
      <c r="C48" s="334">
        <v>5</v>
      </c>
      <c r="D48" s="334">
        <v>165469</v>
      </c>
      <c r="E48" s="334">
        <v>1</v>
      </c>
      <c r="F48" s="334">
        <v>8104</v>
      </c>
    </row>
    <row r="49" spans="1:6">
      <c r="A49" s="348" t="s">
        <v>31</v>
      </c>
      <c r="B49" s="348" t="s">
        <v>39</v>
      </c>
      <c r="C49" s="334">
        <v>0</v>
      </c>
      <c r="D49" s="334">
        <v>0</v>
      </c>
      <c r="E49" s="334">
        <v>0</v>
      </c>
      <c r="F49" s="334">
        <v>0</v>
      </c>
    </row>
    <row r="50" spans="1:6">
      <c r="A50" s="348" t="s">
        <v>31</v>
      </c>
      <c r="B50" s="348" t="s">
        <v>40</v>
      </c>
      <c r="C50" s="334">
        <v>6</v>
      </c>
      <c r="D50" s="334">
        <v>75488.45</v>
      </c>
      <c r="E50" s="334">
        <v>13</v>
      </c>
      <c r="F50" s="334">
        <v>534114.41200000001</v>
      </c>
    </row>
    <row r="51" spans="1:6">
      <c r="A51" s="348" t="s">
        <v>41</v>
      </c>
      <c r="B51" s="348" t="s">
        <v>42</v>
      </c>
      <c r="C51" s="334">
        <v>0</v>
      </c>
      <c r="D51" s="334">
        <v>0</v>
      </c>
      <c r="E51" s="334">
        <v>67</v>
      </c>
      <c r="F51" s="334">
        <v>720571.11800000002</v>
      </c>
    </row>
    <row r="52" spans="1:6">
      <c r="A52" s="348" t="s">
        <v>41</v>
      </c>
      <c r="B52" s="348" t="s">
        <v>28</v>
      </c>
      <c r="C52" s="334">
        <v>2</v>
      </c>
      <c r="D52" s="334">
        <v>36874</v>
      </c>
      <c r="E52" s="334">
        <v>0</v>
      </c>
      <c r="F52" s="334">
        <v>0</v>
      </c>
    </row>
    <row r="53" spans="1:6">
      <c r="A53" s="348" t="s">
        <v>43</v>
      </c>
      <c r="B53" s="348" t="s">
        <v>44</v>
      </c>
      <c r="C53" s="334">
        <v>33</v>
      </c>
      <c r="D53" s="334">
        <v>775702</v>
      </c>
      <c r="E53" s="334">
        <v>104</v>
      </c>
      <c r="F53" s="334">
        <v>607865.84199999995</v>
      </c>
    </row>
    <row r="54" spans="1:6">
      <c r="A54" s="348" t="s">
        <v>45</v>
      </c>
      <c r="B54" s="348" t="s">
        <v>46</v>
      </c>
      <c r="C54" s="334">
        <v>0</v>
      </c>
      <c r="D54" s="334">
        <v>0</v>
      </c>
      <c r="E54" s="334">
        <v>1</v>
      </c>
      <c r="F54" s="334">
        <v>882259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560801.69999999995</v>
      </c>
      <c r="E57" s="334">
        <v>67</v>
      </c>
      <c r="F57" s="334">
        <v>411996.07299999997</v>
      </c>
    </row>
    <row r="58" spans="1:6">
      <c r="A58" s="348" t="s">
        <v>48</v>
      </c>
      <c r="B58" s="348" t="s">
        <v>50</v>
      </c>
      <c r="C58" s="334">
        <v>17</v>
      </c>
      <c r="D58" s="334">
        <v>1084624.1000000001</v>
      </c>
      <c r="E58" s="334">
        <v>33</v>
      </c>
      <c r="F58" s="334">
        <v>1132236.094</v>
      </c>
    </row>
    <row r="59" spans="1:6">
      <c r="A59" s="348" t="s">
        <v>48</v>
      </c>
      <c r="B59" s="348" t="s">
        <v>51</v>
      </c>
      <c r="C59" s="334">
        <v>47</v>
      </c>
      <c r="D59" s="334">
        <v>2070114.0290000001</v>
      </c>
      <c r="E59" s="334">
        <v>161</v>
      </c>
      <c r="F59" s="334">
        <v>4398588.1189999999</v>
      </c>
    </row>
    <row r="60" spans="1:6">
      <c r="A60" s="348" t="s">
        <v>48</v>
      </c>
      <c r="B60" s="348" t="s">
        <v>52</v>
      </c>
      <c r="C60" s="334">
        <v>24</v>
      </c>
      <c r="D60" s="334">
        <v>978413</v>
      </c>
      <c r="E60" s="334">
        <v>49</v>
      </c>
      <c r="F60" s="334">
        <v>4576294</v>
      </c>
    </row>
    <row r="61" spans="1:6">
      <c r="A61" s="348" t="s">
        <v>48</v>
      </c>
      <c r="B61" s="348" t="s">
        <v>53</v>
      </c>
      <c r="C61" s="334">
        <v>107</v>
      </c>
      <c r="D61" s="334">
        <v>4517626.2719999999</v>
      </c>
      <c r="E61" s="334">
        <v>269</v>
      </c>
      <c r="F61" s="334">
        <v>3809566.1880000001</v>
      </c>
    </row>
    <row r="62" spans="1:6">
      <c r="A62" s="348" t="s">
        <v>48</v>
      </c>
      <c r="B62" s="348" t="s">
        <v>54</v>
      </c>
      <c r="C62" s="334">
        <v>4</v>
      </c>
      <c r="D62" s="334">
        <v>156160</v>
      </c>
      <c r="E62" s="334">
        <v>11</v>
      </c>
      <c r="F62" s="334">
        <v>112349.8</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14112</v>
      </c>
      <c r="E65" s="334">
        <v>0</v>
      </c>
      <c r="F65" s="334">
        <v>0</v>
      </c>
    </row>
    <row r="66" spans="1:6">
      <c r="A66" s="348" t="s">
        <v>55</v>
      </c>
      <c r="B66" s="348" t="s">
        <v>57</v>
      </c>
      <c r="C66" s="334">
        <v>0</v>
      </c>
      <c r="D66" s="334">
        <v>0</v>
      </c>
      <c r="E66" s="334">
        <v>4</v>
      </c>
      <c r="F66" s="334">
        <v>136102.55900000001</v>
      </c>
    </row>
    <row r="67" spans="1:6">
      <c r="A67" s="355" t="s">
        <v>55</v>
      </c>
      <c r="B67" s="355" t="s">
        <v>58</v>
      </c>
      <c r="C67" s="334">
        <v>0</v>
      </c>
      <c r="D67" s="334">
        <v>0</v>
      </c>
      <c r="E67" s="334">
        <v>0</v>
      </c>
      <c r="F67" s="334">
        <v>0</v>
      </c>
    </row>
    <row r="68" spans="1:6">
      <c r="A68" s="341" t="s">
        <v>55</v>
      </c>
      <c r="B68" s="341" t="s">
        <v>59</v>
      </c>
      <c r="C68" s="334">
        <v>0</v>
      </c>
      <c r="D68" s="334">
        <v>0</v>
      </c>
      <c r="E68" s="334">
        <v>12</v>
      </c>
      <c r="F68" s="334">
        <v>64188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47727255</v>
      </c>
      <c r="E73" s="476"/>
    </row>
    <row r="74" spans="1:6">
      <c r="A74" s="348" t="s">
        <v>63</v>
      </c>
      <c r="B74" s="348" t="s">
        <v>651</v>
      </c>
      <c r="C74" s="1307" t="s">
        <v>653</v>
      </c>
      <c r="D74" s="476">
        <v>5593707.5</v>
      </c>
      <c r="E74" s="476"/>
    </row>
    <row r="75" spans="1:6">
      <c r="A75" s="348" t="s">
        <v>64</v>
      </c>
      <c r="B75" s="348" t="s">
        <v>650</v>
      </c>
      <c r="C75" s="1307" t="s">
        <v>654</v>
      </c>
      <c r="D75" s="476">
        <v>23241885</v>
      </c>
      <c r="E75" s="476"/>
    </row>
    <row r="76" spans="1:6">
      <c r="A76" s="348" t="s">
        <v>64</v>
      </c>
      <c r="B76" s="348" t="s">
        <v>651</v>
      </c>
      <c r="C76" s="1307" t="s">
        <v>655</v>
      </c>
      <c r="D76" s="476">
        <v>1335073.5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1010953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4294.4927202412109</v>
      </c>
    </row>
    <row r="92" spans="1:6">
      <c r="A92" s="341" t="s">
        <v>68</v>
      </c>
      <c r="B92" s="342">
        <v>1323.4014810529202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508</v>
      </c>
    </row>
    <row r="98" spans="1:6">
      <c r="A98" s="348" t="s">
        <v>71</v>
      </c>
      <c r="B98" s="334">
        <v>0</v>
      </c>
    </row>
    <row r="99" spans="1:6">
      <c r="A99" s="348" t="s">
        <v>72</v>
      </c>
      <c r="B99" s="334">
        <v>84</v>
      </c>
    </row>
    <row r="100" spans="1:6">
      <c r="A100" s="348" t="s">
        <v>73</v>
      </c>
      <c r="B100" s="334">
        <v>438</v>
      </c>
    </row>
    <row r="101" spans="1:6">
      <c r="A101" s="348" t="s">
        <v>74</v>
      </c>
      <c r="B101" s="334">
        <v>54</v>
      </c>
    </row>
    <row r="102" spans="1:6">
      <c r="A102" s="348" t="s">
        <v>75</v>
      </c>
      <c r="B102" s="334">
        <v>49</v>
      </c>
    </row>
    <row r="103" spans="1:6">
      <c r="A103" s="348" t="s">
        <v>76</v>
      </c>
      <c r="B103" s="334">
        <v>114</v>
      </c>
    </row>
    <row r="104" spans="1:6">
      <c r="A104" s="348" t="s">
        <v>77</v>
      </c>
      <c r="B104" s="334">
        <v>3638</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57</v>
      </c>
      <c r="C123" s="334">
        <v>39</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179</v>
      </c>
    </row>
    <row r="130" spans="1:6">
      <c r="A130" s="348" t="s">
        <v>294</v>
      </c>
      <c r="B130" s="334">
        <v>3</v>
      </c>
    </row>
    <row r="131" spans="1:6">
      <c r="A131" s="348" t="s">
        <v>295</v>
      </c>
      <c r="B131" s="334">
        <v>2</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46530.014442991203</v>
      </c>
      <c r="C3" s="43" t="s">
        <v>169</v>
      </c>
      <c r="D3" s="43"/>
      <c r="E3" s="154"/>
      <c r="F3" s="43"/>
      <c r="G3" s="43"/>
      <c r="H3" s="43"/>
      <c r="I3" s="43"/>
      <c r="J3" s="43"/>
      <c r="K3" s="96"/>
    </row>
    <row r="4" spans="1:11">
      <c r="A4" s="383" t="s">
        <v>170</v>
      </c>
      <c r="B4" s="49">
        <f>IF(ISERROR('SEAP template'!B78),0,'SEAP template'!B78)</f>
        <v>6432.3942012941316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0.19044855625979434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882.25900000000001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882.25900000000001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0.19044855625979434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168.02495279720989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21829.560799999999</v>
      </c>
      <c r="C5" s="17">
        <f>IF(ISERROR('Eigen informatie GS &amp; warmtenet'!B59),0,'Eigen informatie GS &amp; warmtenet'!B59)</f>
        <v>0</v>
      </c>
      <c r="D5" s="30">
        <f>(SUM(HH_hh_gas_kWh,HH_rest_gas_kWh)/1000)*0.902</f>
        <v>33680.780257300001</v>
      </c>
      <c r="E5" s="17">
        <f>B46*B57</f>
        <v>6989.1698215782853</v>
      </c>
      <c r="F5" s="17">
        <f>B51*B62</f>
        <v>44091.551842441542</v>
      </c>
      <c r="G5" s="18"/>
      <c r="H5" s="17"/>
      <c r="I5" s="17"/>
      <c r="J5" s="17">
        <f>B50*B61+C50*C61</f>
        <v>0</v>
      </c>
      <c r="K5" s="17"/>
      <c r="L5" s="17"/>
      <c r="M5" s="17"/>
      <c r="N5" s="17">
        <f>B48*B59+C48*C59</f>
        <v>7775.3623718161898</v>
      </c>
      <c r="O5" s="17">
        <f>B69*B70*B71</f>
        <v>434.48685004575998</v>
      </c>
      <c r="P5" s="17">
        <f>B77*B78*B79/1000-B77*B78*B79/1000/B80</f>
        <v>905.92050046091197</v>
      </c>
    </row>
    <row r="6" spans="1:16">
      <c r="A6" s="16" t="s">
        <v>615</v>
      </c>
      <c r="B6" s="809">
        <f>kWh_PV_kleiner_dan_10kW</f>
        <v>4294.4927202412109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26124.05352024121</v>
      </c>
      <c r="C8" s="21">
        <f>C5</f>
        <v>0</v>
      </c>
      <c r="D8" s="21">
        <f>D5</f>
        <v>33680.780257300001</v>
      </c>
      <c r="E8" s="21">
        <f>E5</f>
        <v>6989.1698215782853</v>
      </c>
      <c r="F8" s="21">
        <f>F5</f>
        <v>44091.551842441542</v>
      </c>
      <c r="G8" s="21"/>
      <c r="H8" s="21"/>
      <c r="I8" s="21"/>
      <c r="J8" s="21">
        <f>J5</f>
        <v>0</v>
      </c>
      <c r="K8" s="21"/>
      <c r="L8" s="21">
        <f>L5</f>
        <v>0</v>
      </c>
      <c r="M8" s="21">
        <f>M5</f>
        <v>0</v>
      </c>
      <c r="N8" s="21">
        <f>N5</f>
        <v>7775.3623718161898</v>
      </c>
      <c r="O8" s="21">
        <f>O5</f>
        <v>434.48685004575998</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0.19044855625979434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4975.2882765835366</v>
      </c>
      <c r="C12" s="23">
        <f ca="1">C10*C8</f>
        <v>0</v>
      </c>
      <c r="D12" s="23">
        <f>D8*D10</f>
        <v>6803.5176119746002</v>
      </c>
      <c r="E12" s="23">
        <f>E10*E8</f>
        <v>1586.5415494982708</v>
      </c>
      <c r="F12" s="23">
        <f>F10*F8</f>
        <v>11772.444341931892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508</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14.583333333333334</v>
      </c>
      <c r="D20" s="229"/>
      <c r="E20" s="15"/>
    </row>
    <row r="21" spans="1:7">
      <c r="A21" s="171" t="s">
        <v>73</v>
      </c>
      <c r="B21" s="37">
        <f>aantalw2001_elektriciteit</f>
        <v>438</v>
      </c>
      <c r="C21" s="167">
        <f>IF(ISERROR(B21/SUM($B$20,$B$21,$B$22)*100),0,B21/SUM($B$20,$B$21,$B$22)*100)</f>
        <v>76.041666666666657</v>
      </c>
      <c r="D21" s="229"/>
      <c r="E21" s="15"/>
    </row>
    <row r="22" spans="1:7">
      <c r="A22" s="171" t="s">
        <v>74</v>
      </c>
      <c r="B22" s="37">
        <f>aantalw2001_hout</f>
        <v>54</v>
      </c>
      <c r="C22" s="167">
        <f>IF(ISERROR(B22/SUM($B$20,$B$21,$B$22)*100),0,B22/SUM($B$20,$B$21,$B$22)*100)</f>
        <v>9.375</v>
      </c>
      <c r="D22" s="229"/>
      <c r="E22" s="15"/>
    </row>
    <row r="23" spans="1:7">
      <c r="A23" s="171" t="s">
        <v>75</v>
      </c>
      <c r="B23" s="37">
        <f>aantalw2001_niet_gespec</f>
        <v>49</v>
      </c>
      <c r="C23" s="166" t="s">
        <v>110</v>
      </c>
      <c r="D23" s="228"/>
      <c r="E23" s="15"/>
    </row>
    <row r="24" spans="1:7">
      <c r="A24" s="171" t="s">
        <v>76</v>
      </c>
      <c r="B24" s="37">
        <f>aantalw2001_steenkool</f>
        <v>114</v>
      </c>
      <c r="C24" s="166" t="s">
        <v>110</v>
      </c>
      <c r="D24" s="229"/>
      <c r="E24" s="15"/>
    </row>
    <row r="25" spans="1:7">
      <c r="A25" s="171" t="s">
        <v>77</v>
      </c>
      <c r="B25" s="37">
        <f>aantalw2001_stookolie</f>
        <v>3638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5624</v>
      </c>
      <c r="C28" s="36"/>
      <c r="D28" s="228"/>
    </row>
    <row r="29" spans="1:7" s="15" customFormat="1">
      <c r="A29" s="230" t="s">
        <v>838</v>
      </c>
      <c r="B29" s="37">
        <f>SUM(HH_hh_gas_aantal,HH_rest_gas_aantal)</f>
        <v>2194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2194</v>
      </c>
      <c r="C32" s="167">
        <f>IF(ISERROR(B32/SUM($B$32,$B$34,$B$35,$B$36,$B$38,$B$39)*100),0,B32/SUM($B$32,$B$34,$B$35,$B$36,$B$38,$B$39)*100)</f>
        <v>39.617190321415677</v>
      </c>
      <c r="D32" s="233"/>
      <c r="G32" s="15"/>
    </row>
    <row r="33" spans="1:7">
      <c r="A33" s="171" t="s">
        <v>71</v>
      </c>
      <c r="B33" s="34" t="s">
        <v>110</v>
      </c>
      <c r="C33" s="167"/>
      <c r="D33" s="233"/>
      <c r="G33" s="15"/>
    </row>
    <row r="34" spans="1:7">
      <c r="A34" s="171" t="s">
        <v>72</v>
      </c>
      <c r="B34" s="33">
        <f>IF((($B$28-$B$32-$B$39-$B$77-$B$38)*C20/100)&lt;0,0,($B$28-$B$32-$B$39-$B$77-$B$38)*C20/100)</f>
        <v>178.41250000000002</v>
      </c>
      <c r="C34" s="167">
        <f>IF(ISERROR(B34/SUM($B$32,$B$34,$B$35,$B$36,$B$38,$B$39)*100),0,B34/SUM($B$32,$B$34,$B$35,$B$36,$B$38,$B$39)*100)</f>
        <v>3.2216052726616109</v>
      </c>
      <c r="D34" s="233"/>
      <c r="G34" s="15"/>
    </row>
    <row r="35" spans="1:7">
      <c r="A35" s="171" t="s">
        <v>73</v>
      </c>
      <c r="B35" s="33">
        <f>IF((($B$28-$B$32-$B$39-$B$77-$B$38)*C21/100)&lt;0,0,($B$28-$B$32-$B$39-$B$77-$B$38)*C21/100)</f>
        <v>930.29375000000005</v>
      </c>
      <c r="C35" s="167">
        <f>IF(ISERROR(B35/SUM($B$32,$B$34,$B$35,$B$36,$B$38,$B$39)*100),0,B35/SUM($B$32,$B$34,$B$35,$B$36,$B$38,$B$39)*100)</f>
        <v>16.798370350306971</v>
      </c>
      <c r="D35" s="233"/>
      <c r="G35" s="15"/>
    </row>
    <row r="36" spans="1:7">
      <c r="A36" s="171" t="s">
        <v>74</v>
      </c>
      <c r="B36" s="33">
        <f>IF((($B$28-$B$32-$B$39-$B$77-$B$38)*C22/100)&lt;0,0,($B$28-$B$32-$B$39-$B$77-$B$38)*C22/100)</f>
        <v>114.69374999999999</v>
      </c>
      <c r="C36" s="167">
        <f>IF(ISERROR(B36/SUM($B$32,$B$34,$B$35,$B$36,$B$38,$B$39)*100),0,B36/SUM($B$32,$B$34,$B$35,$B$36,$B$38,$B$39)*100)</f>
        <v>2.0710319609967498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2120.6</v>
      </c>
      <c r="C39" s="167">
        <f>IF(ISERROR(B39/SUM($B$32,$B$34,$B$35,$B$36,$B$38,$B$39)*100),0,B39/SUM($B$32,$B$34,$B$35,$B$36,$B$38,$B$39)*100)</f>
        <v>38.291802094618994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2194</v>
      </c>
      <c r="C44" s="34" t="s">
        <v>110</v>
      </c>
      <c r="D44" s="174"/>
    </row>
    <row r="45" spans="1:7">
      <c r="A45" s="171" t="s">
        <v>71</v>
      </c>
      <c r="B45" s="33" t="str">
        <f t="shared" si="0"/>
        <v>-</v>
      </c>
      <c r="C45" s="34" t="s">
        <v>110</v>
      </c>
      <c r="D45" s="174"/>
    </row>
    <row r="46" spans="1:7">
      <c r="A46" s="171" t="s">
        <v>72</v>
      </c>
      <c r="B46" s="33">
        <f t="shared" si="0"/>
        <v>178.41250000000002</v>
      </c>
      <c r="C46" s="34" t="s">
        <v>110</v>
      </c>
      <c r="D46" s="174"/>
    </row>
    <row r="47" spans="1:7">
      <c r="A47" s="171" t="s">
        <v>73</v>
      </c>
      <c r="B47" s="33">
        <f t="shared" si="0"/>
        <v>930.29375000000005</v>
      </c>
      <c r="C47" s="34" t="s">
        <v>110</v>
      </c>
      <c r="D47" s="174"/>
    </row>
    <row r="48" spans="1:7">
      <c r="A48" s="171" t="s">
        <v>74</v>
      </c>
      <c r="B48" s="33">
        <f t="shared" si="0"/>
        <v>114.69374999999999</v>
      </c>
      <c r="C48" s="33">
        <f>B48*10</f>
        <v>1146.9375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2120.6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86</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14441.030274000001</v>
      </c>
      <c r="C5" s="17">
        <f>IF(ISERROR('Eigen informatie GS &amp; warmtenet'!B60),0,'Eigen informatie GS &amp; warmtenet'!B60)</f>
        <v>0</v>
      </c>
      <c r="D5" s="30">
        <f>SUM(D6:D12)</f>
        <v>8449.7006691019997</v>
      </c>
      <c r="E5" s="17">
        <f>SUM(E6:E12)</f>
        <v>203.4601192742403</v>
      </c>
      <c r="F5" s="17">
        <f>SUM(F6:F12)</f>
        <v>1606.4913782060755</v>
      </c>
      <c r="G5" s="18"/>
      <c r="H5" s="17"/>
      <c r="I5" s="17"/>
      <c r="J5" s="17">
        <f>SUM(J6:J12)</f>
        <v>6.9940678404510192E-3</v>
      </c>
      <c r="K5" s="17"/>
      <c r="L5" s="17"/>
      <c r="M5" s="17"/>
      <c r="N5" s="17">
        <f>SUM(N6:N12)</f>
        <v>286.10008610699231</v>
      </c>
      <c r="O5" s="17">
        <f>B38*B39*B40</f>
        <v>14.691782297523464</v>
      </c>
      <c r="P5" s="17">
        <f>B46*B47*B48/1000-B46*B47*B48/1000/B49</f>
        <v>157.61741491948504</v>
      </c>
      <c r="R5" s="32"/>
    </row>
    <row r="6" spans="1:18">
      <c r="A6" s="32" t="s">
        <v>53</v>
      </c>
      <c r="B6" s="37">
        <f>B26</f>
        <v>3809.5661880000002</v>
      </c>
      <c r="C6" s="33"/>
      <c r="D6" s="37">
        <f>IF(ISERROR(TER_kantoor_gas_kWh/1000),0,TER_kantoor_gas_kWh/1000)*0.902</f>
        <v>4074.8988973439996</v>
      </c>
      <c r="E6" s="33">
        <f>$C$26*'E Balans VL '!I12/100/3.6*1000000</f>
        <v>30.654357671687908</v>
      </c>
      <c r="F6" s="33">
        <f>$C$26*('E Balans VL '!L12+'E Balans VL '!N12)/100/3.6*1000000</f>
        <v>465.75954183625907</v>
      </c>
      <c r="G6" s="34"/>
      <c r="H6" s="33"/>
      <c r="I6" s="33"/>
      <c r="J6" s="33">
        <f>$C$26*('E Balans VL '!D12+'E Balans VL '!E12)/100/3.6*1000000</f>
        <v>0</v>
      </c>
      <c r="K6" s="33"/>
      <c r="L6" s="33"/>
      <c r="M6" s="33"/>
      <c r="N6" s="33">
        <f>$C$26*'E Balans VL '!Y12/100/3.6*1000000</f>
        <v>2.0474542252201227</v>
      </c>
      <c r="O6" s="33"/>
      <c r="P6" s="33"/>
      <c r="R6" s="32"/>
    </row>
    <row r="7" spans="1:18">
      <c r="A7" s="32" t="s">
        <v>52</v>
      </c>
      <c r="B7" s="37">
        <f t="shared" ref="B7:B12" si="0">B27</f>
        <v>4576.2939999999999</v>
      </c>
      <c r="C7" s="33"/>
      <c r="D7" s="37">
        <f>IF(ISERROR(TER_horeca_gas_kWh/1000),0,TER_horeca_gas_kWh/1000)*0.902</f>
        <v>882.52852600000006</v>
      </c>
      <c r="E7" s="33">
        <f>$C$27*'E Balans VL '!I9/100/3.6*1000000</f>
        <v>49.138160146553538</v>
      </c>
      <c r="F7" s="33">
        <f>$C$27*('E Balans VL '!L9+'E Balans VL '!N9)/100/3.6*1000000</f>
        <v>550.41719905306422</v>
      </c>
      <c r="G7" s="34"/>
      <c r="H7" s="33"/>
      <c r="I7" s="33"/>
      <c r="J7" s="33">
        <f>$C$27*('E Balans VL '!D9+'E Balans VL '!E9)/100/3.6*1000000</f>
        <v>0</v>
      </c>
      <c r="K7" s="33"/>
      <c r="L7" s="33"/>
      <c r="M7" s="33"/>
      <c r="N7" s="33">
        <f>$C$27*'E Balans VL '!Y9/100/3.6*1000000</f>
        <v>0.6860792213111585</v>
      </c>
      <c r="O7" s="33"/>
      <c r="P7" s="33"/>
      <c r="R7" s="32"/>
    </row>
    <row r="8" spans="1:18">
      <c r="A8" s="6" t="s">
        <v>51</v>
      </c>
      <c r="B8" s="37">
        <f t="shared" si="0"/>
        <v>4398.588119</v>
      </c>
      <c r="C8" s="33"/>
      <c r="D8" s="37">
        <f>IF(ISERROR(TER_handel_gas_kWh/1000),0,TER_handel_gas_kWh/1000)*0.902</f>
        <v>1867.2428541580002</v>
      </c>
      <c r="E8" s="33">
        <f>$C$28*'E Balans VL '!I13/100/3.6*1000000</f>
        <v>118.04463896706599</v>
      </c>
      <c r="F8" s="33">
        <f>$C$28*('E Balans VL '!L13+'E Balans VL '!N13)/100/3.6*1000000</f>
        <v>419.76087453401459</v>
      </c>
      <c r="G8" s="34"/>
      <c r="H8" s="33"/>
      <c r="I8" s="33"/>
      <c r="J8" s="33">
        <f>$C$28*('E Balans VL '!D13+'E Balans VL '!E13)/100/3.6*1000000</f>
        <v>0</v>
      </c>
      <c r="K8" s="33"/>
      <c r="L8" s="33"/>
      <c r="M8" s="33"/>
      <c r="N8" s="33">
        <f>$C$28*'E Balans VL '!Y13/100/3.6*1000000</f>
        <v>1.7436503440140843</v>
      </c>
      <c r="O8" s="33"/>
      <c r="P8" s="33"/>
      <c r="R8" s="32"/>
    </row>
    <row r="9" spans="1:18">
      <c r="A9" s="32" t="s">
        <v>50</v>
      </c>
      <c r="B9" s="37">
        <f t="shared" si="0"/>
        <v>1132.2360940000001</v>
      </c>
      <c r="C9" s="33"/>
      <c r="D9" s="37">
        <f>IF(ISERROR(TER_gezond_gas_kWh/1000),0,TER_gezond_gas_kWh/1000)*0.902</f>
        <v>978.33093819999999</v>
      </c>
      <c r="E9" s="33">
        <f>$C$29*'E Balans VL '!I10/100/3.6*1000000</f>
        <v>2.1221791122373479</v>
      </c>
      <c r="F9" s="33">
        <f>$C$29*('E Balans VL '!L10+'E Balans VL '!N10)/100/3.6*1000000</f>
        <v>93.080137785130859</v>
      </c>
      <c r="G9" s="34"/>
      <c r="H9" s="33"/>
      <c r="I9" s="33"/>
      <c r="J9" s="33">
        <f>$C$29*('E Balans VL '!D10+'E Balans VL '!E10)/100/3.6*1000000</f>
        <v>0</v>
      </c>
      <c r="K9" s="33"/>
      <c r="L9" s="33"/>
      <c r="M9" s="33"/>
      <c r="N9" s="33">
        <f>$C$29*'E Balans VL '!Y10/100/3.6*1000000</f>
        <v>8.8096415808284814</v>
      </c>
      <c r="O9" s="33"/>
      <c r="P9" s="33"/>
      <c r="R9" s="32"/>
    </row>
    <row r="10" spans="1:18">
      <c r="A10" s="32" t="s">
        <v>49</v>
      </c>
      <c r="B10" s="37">
        <f t="shared" si="0"/>
        <v>411.99607299999997</v>
      </c>
      <c r="C10" s="33"/>
      <c r="D10" s="37">
        <f>IF(ISERROR(TER_ander_gas_kWh/1000),0,TER_ander_gas_kWh/1000)*0.902</f>
        <v>505.8431334</v>
      </c>
      <c r="E10" s="33">
        <f>$C$30*'E Balans VL '!I14/100/3.6*1000000</f>
        <v>0.63509612122120318</v>
      </c>
      <c r="F10" s="33">
        <f>$C$30*('E Balans VL '!L14+'E Balans VL '!N14)/100/3.6*1000000</f>
        <v>63.962504071019119</v>
      </c>
      <c r="G10" s="34"/>
      <c r="H10" s="33"/>
      <c r="I10" s="33"/>
      <c r="J10" s="33">
        <f>$C$30*('E Balans VL '!D14+'E Balans VL '!E14)/100/3.6*1000000</f>
        <v>6.9940678404510192E-3</v>
      </c>
      <c r="K10" s="33"/>
      <c r="L10" s="33"/>
      <c r="M10" s="33"/>
      <c r="N10" s="33">
        <f>$C$30*'E Balans VL '!Y14/100/3.6*1000000</f>
        <v>272.56339752177723</v>
      </c>
      <c r="O10" s="33"/>
      <c r="P10" s="33"/>
      <c r="R10" s="32"/>
    </row>
    <row r="11" spans="1:18">
      <c r="A11" s="32" t="s">
        <v>54</v>
      </c>
      <c r="B11" s="37">
        <f t="shared" si="0"/>
        <v>112.3498</v>
      </c>
      <c r="C11" s="33"/>
      <c r="D11" s="37">
        <f>IF(ISERROR(TER_onderwijs_gas_kWh/1000),0,TER_onderwijs_gas_kWh/1000)*0.902</f>
        <v>140.85632000000001</v>
      </c>
      <c r="E11" s="33">
        <f>$C$31*'E Balans VL '!I11/100/3.6*1000000</f>
        <v>2.8656872554742767</v>
      </c>
      <c r="F11" s="33">
        <f>$C$31*('E Balans VL '!L11+'E Balans VL '!N11)/100/3.6*1000000</f>
        <v>13.51112092658772</v>
      </c>
      <c r="G11" s="34"/>
      <c r="H11" s="33"/>
      <c r="I11" s="33"/>
      <c r="J11" s="33">
        <f>$C$31*('E Balans VL '!D11+'E Balans VL '!E11)/100/3.6*1000000</f>
        <v>0</v>
      </c>
      <c r="K11" s="33"/>
      <c r="L11" s="33"/>
      <c r="M11" s="33"/>
      <c r="N11" s="33">
        <f>$C$31*'E Balans VL '!Y11/100/3.6*1000000</f>
        <v>0.24986321384125867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814.5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-2327.1428571428573</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15255.530274000001</v>
      </c>
      <c r="C16" s="21">
        <f t="shared" ca="1" si="1"/>
        <v>0</v>
      </c>
      <c r="D16" s="21">
        <f t="shared" ca="1" si="1"/>
        <v>8449.7006691019997</v>
      </c>
      <c r="E16" s="21">
        <f t="shared" si="1"/>
        <v>203.4601192742403</v>
      </c>
      <c r="F16" s="21">
        <f t="shared" ca="1" si="1"/>
        <v>1606.4913782060755</v>
      </c>
      <c r="G16" s="21">
        <f t="shared" si="1"/>
        <v>0</v>
      </c>
      <c r="H16" s="21">
        <f t="shared" si="1"/>
        <v>0</v>
      </c>
      <c r="I16" s="21">
        <f t="shared" si="1"/>
        <v>0</v>
      </c>
      <c r="J16" s="21">
        <f t="shared" si="1"/>
        <v>6.9940678404510192E-3</v>
      </c>
      <c r="K16" s="21">
        <f t="shared" si="1"/>
        <v>0</v>
      </c>
      <c r="L16" s="21">
        <f t="shared" ca="1" si="1"/>
        <v>0</v>
      </c>
      <c r="M16" s="21">
        <f t="shared" si="1"/>
        <v>0</v>
      </c>
      <c r="N16" s="21">
        <f t="shared" ca="1" si="1"/>
        <v>0</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0.19044855625979434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2905.3937156608849</v>
      </c>
      <c r="C20" s="23">
        <f t="shared" ref="C20:P20" ca="1" si="2">C16*C18</f>
        <v>0</v>
      </c>
      <c r="D20" s="23">
        <f t="shared" ca="1" si="2"/>
        <v>1706.8395351586041</v>
      </c>
      <c r="E20" s="23">
        <f t="shared" si="2"/>
        <v>46.185447075252547</v>
      </c>
      <c r="F20" s="23">
        <f t="shared" ca="1" si="2"/>
        <v>428.9331979810222</v>
      </c>
      <c r="G20" s="23">
        <f t="shared" si="2"/>
        <v>0</v>
      </c>
      <c r="H20" s="23">
        <f t="shared" si="2"/>
        <v>0</v>
      </c>
      <c r="I20" s="23">
        <f t="shared" si="2"/>
        <v>0</v>
      </c>
      <c r="J20" s="23">
        <f t="shared" si="2"/>
        <v>2.4759000155196607E-3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3809.5661880000002</v>
      </c>
      <c r="C26" s="39">
        <f>IF(ISERROR(B26*3.6/1000000/'E Balans VL '!Z12*100),0,B26*3.6/1000000/'E Balans VL '!Z12*100)</f>
        <v>8.0816461325593836E-2</v>
      </c>
      <c r="D26" s="237" t="s">
        <v>716</v>
      </c>
      <c r="F26" s="6"/>
    </row>
    <row r="27" spans="1:18">
      <c r="A27" s="231" t="s">
        <v>52</v>
      </c>
      <c r="B27" s="33">
        <f>IF(ISERROR(TER_horeca_ele_kWh/1000),0,TER_horeca_ele_kWh/1000)</f>
        <v>4576.2939999999999</v>
      </c>
      <c r="C27" s="39">
        <f>IF(ISERROR(B27*3.6/1000000/'E Balans VL '!Z9*100),0,B27*3.6/1000000/'E Balans VL '!Z9*100)</f>
        <v>0.3446354773304085</v>
      </c>
      <c r="D27" s="237" t="s">
        <v>716</v>
      </c>
      <c r="F27" s="6"/>
    </row>
    <row r="28" spans="1:18">
      <c r="A28" s="171" t="s">
        <v>51</v>
      </c>
      <c r="B28" s="33">
        <f>IF(ISERROR(TER_handel_ele_kWh/1000),0,TER_handel_ele_kWh/1000)</f>
        <v>4398.588119</v>
      </c>
      <c r="C28" s="39">
        <f>IF(ISERROR(B28*3.6/1000000/'E Balans VL '!Z13*100),0,B28*3.6/1000000/'E Balans VL '!Z13*100)</f>
        <v>0.12767542768086232</v>
      </c>
      <c r="D28" s="237" t="s">
        <v>716</v>
      </c>
      <c r="F28" s="6"/>
    </row>
    <row r="29" spans="1:18">
      <c r="A29" s="231" t="s">
        <v>50</v>
      </c>
      <c r="B29" s="33">
        <f>IF(ISERROR(TER_gezond_ele_kWh/1000),0,TER_gezond_ele_kWh/1000)</f>
        <v>1132.2360940000001</v>
      </c>
      <c r="C29" s="39">
        <f>IF(ISERROR(B29*3.6/1000000/'E Balans VL '!Z10*100),0,B29*3.6/1000000/'E Balans VL '!Z10*100)</f>
        <v>0.11418736032643644</v>
      </c>
      <c r="D29" s="237" t="s">
        <v>716</v>
      </c>
      <c r="F29" s="6"/>
    </row>
    <row r="30" spans="1:18">
      <c r="A30" s="231" t="s">
        <v>49</v>
      </c>
      <c r="B30" s="33">
        <f>IF(ISERROR(TER_ander_ele_kWh/1000),0,TER_ander_ele_kWh/1000)</f>
        <v>411.99607299999997</v>
      </c>
      <c r="C30" s="39">
        <f>IF(ISERROR(B30*3.6/1000000/'E Balans VL '!Z14*100),0,B30*3.6/1000000/'E Balans VL '!Z14*100)</f>
        <v>2.9895935753161754E-2</v>
      </c>
      <c r="D30" s="237" t="s">
        <v>716</v>
      </c>
      <c r="F30" s="6"/>
    </row>
    <row r="31" spans="1:18">
      <c r="A31" s="231" t="s">
        <v>54</v>
      </c>
      <c r="B31" s="33">
        <f>IF(ISERROR(TER_onderwijs_ele_kWh/1000),0,TER_onderwijs_ele_kWh/1000)</f>
        <v>112.3498</v>
      </c>
      <c r="C31" s="39">
        <f>IF(ISERROR(B31*3.6/1000000/'E Balans VL '!Z11*100),0,B31*3.6/1000000/'E Balans VL '!Z11*100)</f>
        <v>3.2024268096889109E-2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2901.1945030000002</v>
      </c>
      <c r="C5" s="17">
        <f>IF(ISERROR('Eigen informatie GS &amp; warmtenet'!B61),0,'Eigen informatie GS &amp; warmtenet'!B61)</f>
        <v>0</v>
      </c>
      <c r="D5" s="30">
        <f>SUM(D6:D15)</f>
        <v>758.84479769999984</v>
      </c>
      <c r="E5" s="17">
        <f>SUM(E6:E15)</f>
        <v>424.4477763707103</v>
      </c>
      <c r="F5" s="17">
        <f>SUM(F6:F15)</f>
        <v>1513.3607684833455</v>
      </c>
      <c r="G5" s="18"/>
      <c r="H5" s="17"/>
      <c r="I5" s="17"/>
      <c r="J5" s="17">
        <f>SUM(J6:J15)</f>
        <v>9.9754748235314494</v>
      </c>
      <c r="K5" s="17"/>
      <c r="L5" s="17"/>
      <c r="M5" s="17"/>
      <c r="N5" s="17">
        <f>SUM(N6:N15)</f>
        <v>335.64053550291356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55.448</v>
      </c>
      <c r="C8" s="33"/>
      <c r="D8" s="37">
        <f>IF( ISERROR(IND_metaal_Gas_kWH/1000),0,IND_metaal_Gas_kWH/1000)*0.902</f>
        <v>0</v>
      </c>
      <c r="E8" s="33">
        <f>C30*'E Balans VL '!I18/100/3.6*1000000</f>
        <v>0.40001840295643004</v>
      </c>
      <c r="F8" s="33">
        <f>C30*'E Balans VL '!L18/100/3.6*1000000+C30*'E Balans VL '!N18/100/3.6*1000000</f>
        <v>5.2443584104986014</v>
      </c>
      <c r="G8" s="34"/>
      <c r="H8" s="33"/>
      <c r="I8" s="33"/>
      <c r="J8" s="40">
        <f>C30*'E Balans VL '!D18/100/3.6*1000000+C30*'E Balans VL '!E18/100/3.6*1000000</f>
        <v>5.5769920619313192E-2</v>
      </c>
      <c r="K8" s="33"/>
      <c r="L8" s="33"/>
      <c r="M8" s="33"/>
      <c r="N8" s="33">
        <f>C30*'E Balans VL '!Y18/100/3.6*1000000</f>
        <v>0.70100942092473817</v>
      </c>
      <c r="O8" s="33"/>
      <c r="P8" s="33"/>
      <c r="R8" s="32"/>
    </row>
    <row r="9" spans="1:18">
      <c r="A9" s="6" t="s">
        <v>32</v>
      </c>
      <c r="B9" s="37">
        <f t="shared" si="0"/>
        <v>1394.4592970000001</v>
      </c>
      <c r="C9" s="33"/>
      <c r="D9" s="37">
        <f>IF( ISERROR(IND_andere_gas_kWh/1000),0,IND_andere_gas_kWh/1000)*0.902</f>
        <v>541.50117779999994</v>
      </c>
      <c r="E9" s="33">
        <f>C31*'E Balans VL '!I19/100/3.6*1000000</f>
        <v>386.42331745554554</v>
      </c>
      <c r="F9" s="33">
        <f>C31*'E Balans VL '!L19/100/3.6*1000000+C31*'E Balans VL '!N19/100/3.6*1000000</f>
        <v>1155.7308788033654</v>
      </c>
      <c r="G9" s="34"/>
      <c r="H9" s="33"/>
      <c r="I9" s="33"/>
      <c r="J9" s="40">
        <f>C31*'E Balans VL '!D19/100/3.6*1000000+C31*'E Balans VL '!E19/100/3.6*1000000</f>
        <v>0</v>
      </c>
      <c r="K9" s="33"/>
      <c r="L9" s="33"/>
      <c r="M9" s="33"/>
      <c r="N9" s="33">
        <f>C31*'E Balans VL '!Y19/100/3.6*1000000</f>
        <v>101.22068887853568</v>
      </c>
      <c r="O9" s="33"/>
      <c r="P9" s="33"/>
      <c r="R9" s="32"/>
    </row>
    <row r="10" spans="1:18">
      <c r="A10" s="6" t="s">
        <v>40</v>
      </c>
      <c r="B10" s="37">
        <f t="shared" si="0"/>
        <v>534.11441200000002</v>
      </c>
      <c r="C10" s="33"/>
      <c r="D10" s="37">
        <f>IF( ISERROR(IND_voed_gas_kWh/1000),0,IND_voed_gas_kWh/1000)*0.902</f>
        <v>68.090581900000004</v>
      </c>
      <c r="E10" s="33">
        <f>C32*'E Balans VL '!I20/100/3.6*1000000</f>
        <v>0.94556342539039673</v>
      </c>
      <c r="F10" s="33">
        <f>C32*'E Balans VL '!L20/100/3.6*1000000+C32*'E Balans VL '!N20/100/3.6*1000000</f>
        <v>28.846912061570549</v>
      </c>
      <c r="G10" s="34"/>
      <c r="H10" s="33"/>
      <c r="I10" s="33"/>
      <c r="J10" s="40">
        <f>C32*'E Balans VL '!D20/100/3.6*1000000+C32*'E Balans VL '!E20/100/3.6*1000000</f>
        <v>0</v>
      </c>
      <c r="K10" s="33"/>
      <c r="L10" s="33"/>
      <c r="M10" s="33"/>
      <c r="N10" s="33">
        <f>C32*'E Balans VL '!Y20/100/3.6*1000000</f>
        <v>31.036126419793437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821.29100000000005</v>
      </c>
      <c r="C12" s="33"/>
      <c r="D12" s="37">
        <f>IF( ISERROR(IND_min_gas_kWh/1000),0,IND_min_gas_kWh/1000)*0.902</f>
        <v>0</v>
      </c>
      <c r="E12" s="33">
        <f>C34*'E Balans VL '!I22/100/3.6*1000000</f>
        <v>36.166726067091069</v>
      </c>
      <c r="F12" s="33">
        <f>C34*'E Balans VL '!L22/100/3.6*1000000+C34*'E Balans VL '!N22/100/3.6*1000000</f>
        <v>321.15794929661433</v>
      </c>
      <c r="G12" s="34"/>
      <c r="H12" s="33"/>
      <c r="I12" s="33"/>
      <c r="J12" s="40">
        <f>C34*'E Balans VL '!D22/100/3.6*1000000+C34*'E Balans VL '!E22/100/3.6*1000000</f>
        <v>0.24937313296493141</v>
      </c>
      <c r="K12" s="33"/>
      <c r="L12" s="33"/>
      <c r="M12" s="33"/>
      <c r="N12" s="33">
        <f>C34*'E Balans VL '!Y22/100/3.6*1000000</f>
        <v>203.16250411054887</v>
      </c>
      <c r="O12" s="33"/>
      <c r="P12" s="33"/>
      <c r="R12" s="32"/>
    </row>
    <row r="13" spans="1:18">
      <c r="A13" s="6" t="s">
        <v>38</v>
      </c>
      <c r="B13" s="37">
        <f t="shared" si="0"/>
        <v>87.777794</v>
      </c>
      <c r="C13" s="33"/>
      <c r="D13" s="37">
        <f>IF( ISERROR(IND_papier_gas_kWh/1000),0,IND_papier_gas_kWh/1000)*0.902</f>
        <v>0</v>
      </c>
      <c r="E13" s="33">
        <f>C35*'E Balans VL '!I23/100/3.6*1000000</f>
        <v>0.12915127612836003</v>
      </c>
      <c r="F13" s="33">
        <f>C35*'E Balans VL '!L23/100/3.6*1000000+C35*'E Balans VL '!N23/100/3.6*1000000</f>
        <v>0.93986374667038319</v>
      </c>
      <c r="G13" s="34"/>
      <c r="H13" s="33"/>
      <c r="I13" s="33"/>
      <c r="J13" s="40">
        <f>C35*'E Balans VL '!D23/100/3.6*1000000+C35*'E Balans VL '!E23/100/3.6*1000000</f>
        <v>9.6033828957106611</v>
      </c>
      <c r="K13" s="33"/>
      <c r="L13" s="33"/>
      <c r="M13" s="33"/>
      <c r="N13" s="33">
        <f>C35*'E Balans VL '!Y23/100/3.6*1000000</f>
        <v>-0.79519159968516351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8.1039999999999992</v>
      </c>
      <c r="C15" s="33"/>
      <c r="D15" s="37">
        <f>IF( ISERROR(IND_rest_gas_kWh/1000),0,IND_rest_gas_kWh/1000)*0.902</f>
        <v>149.253038</v>
      </c>
      <c r="E15" s="33">
        <f>C37*'E Balans VL '!I15/100/3.6*1000000</f>
        <v>0.38299974359847339</v>
      </c>
      <c r="F15" s="33">
        <f>C37*'E Balans VL '!L15/100/3.6*1000000+C37*'E Balans VL '!N15/100/3.6*1000000</f>
        <v>1.4408061646263164</v>
      </c>
      <c r="G15" s="34"/>
      <c r="H15" s="33"/>
      <c r="I15" s="33"/>
      <c r="J15" s="40">
        <f>C37*'E Balans VL '!D15/100/3.6*1000000+C37*'E Balans VL '!E15/100/3.6*1000000</f>
        <v>6.6948874236543998E-2</v>
      </c>
      <c r="K15" s="33"/>
      <c r="L15" s="33"/>
      <c r="M15" s="33"/>
      <c r="N15" s="33">
        <f>C37*'E Balans VL '!Y15/100/3.6*1000000</f>
        <v>0.31539827279601085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2901.1945030000002</v>
      </c>
      <c r="C18" s="21">
        <f>C5+C16</f>
        <v>0</v>
      </c>
      <c r="D18" s="21">
        <f>MAX((D5+D16),0)</f>
        <v>758.84479769999984</v>
      </c>
      <c r="E18" s="21">
        <f>MAX((E5+E16),0)</f>
        <v>424.4477763707103</v>
      </c>
      <c r="F18" s="21">
        <f>MAX((F5+F16),0)</f>
        <v>1513.3607684833455</v>
      </c>
      <c r="G18" s="21"/>
      <c r="H18" s="21"/>
      <c r="I18" s="21"/>
      <c r="J18" s="21">
        <f>MAX((J5+J16),0)</f>
        <v>9.9754748235314494</v>
      </c>
      <c r="K18" s="21"/>
      <c r="L18" s="21">
        <f>MAX((L5+L16),0)</f>
        <v>0</v>
      </c>
      <c r="M18" s="21"/>
      <c r="N18" s="21">
        <f>MAX((N5+N16),0)</f>
        <v>335.64053550291356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0.19044855625979434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552.52830452520163</v>
      </c>
      <c r="C22" s="23">
        <f ca="1">C18*C20</f>
        <v>0</v>
      </c>
      <c r="D22" s="23">
        <f>D18*D20</f>
        <v>153.28664913539998</v>
      </c>
      <c r="E22" s="23">
        <f>E18*E20</f>
        <v>96.349645236151247</v>
      </c>
      <c r="F22" s="23">
        <f>F18*F20</f>
        <v>404.06732518505328</v>
      </c>
      <c r="G22" s="23"/>
      <c r="H22" s="23"/>
      <c r="I22" s="23"/>
      <c r="J22" s="23">
        <f>J18*J20</f>
        <v>3.5313180875301331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55.448</v>
      </c>
      <c r="C30" s="39">
        <f>IF(ISERROR(B30*3.6/1000000/'E Balans VL '!Z18*100),0,B30*3.6/1000000/'E Balans VL '!Z18*100)</f>
        <v>3.2009265218425156E-3</v>
      </c>
      <c r="D30" s="237" t="s">
        <v>716</v>
      </c>
    </row>
    <row r="31" spans="1:18">
      <c r="A31" s="6" t="s">
        <v>32</v>
      </c>
      <c r="B31" s="37">
        <f>IF( ISERROR(IND_ander_ele_kWh/1000),0,IND_ander_ele_kWh/1000)</f>
        <v>1394.4592970000001</v>
      </c>
      <c r="C31" s="39">
        <f>IF(ISERROR(B31*3.6/1000000/'E Balans VL '!Z19*100),0,B31*3.6/1000000/'E Balans VL '!Z19*100)</f>
        <v>7.0136782674306217E-2</v>
      </c>
      <c r="D31" s="237" t="s">
        <v>716</v>
      </c>
    </row>
    <row r="32" spans="1:18">
      <c r="A32" s="171" t="s">
        <v>40</v>
      </c>
      <c r="B32" s="37">
        <f>IF( ISERROR(IND_voed_ele_kWh/1000),0,IND_voed_ele_kWh/1000)</f>
        <v>534.11441200000002</v>
      </c>
      <c r="C32" s="39">
        <f>IF(ISERROR(B32*3.6/1000000/'E Balans VL '!Z20*100),0,B32*3.6/1000000/'E Balans VL '!Z20*100)</f>
        <v>1.7789181623484425E-2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821.29100000000005</v>
      </c>
      <c r="C34" s="39">
        <f>IF(ISERROR(B34*3.6/1000000/'E Balans VL '!Z22*100),0,B34*3.6/1000000/'E Balans VL '!Z22*100)</f>
        <v>0.1531985117190624</v>
      </c>
      <c r="D34" s="237" t="s">
        <v>716</v>
      </c>
    </row>
    <row r="35" spans="1:5">
      <c r="A35" s="171" t="s">
        <v>38</v>
      </c>
      <c r="B35" s="37">
        <f>IF( ISERROR(IND_papier_ele_kWh/1000),0,IND_papier_ele_kWh/1000)</f>
        <v>87.777794</v>
      </c>
      <c r="C35" s="39">
        <f>IF(ISERROR(B35*3.6/1000000/'E Balans VL '!Z22*100),0,B35*3.6/1000000/'E Balans VL '!Z22*100)</f>
        <v>1.6373523395218557E-2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8.1039999999999992</v>
      </c>
      <c r="C37" s="39">
        <f>IF(ISERROR(B37*3.6/1000000/'E Balans VL '!Z15*100),0,B37*3.6/1000000/'E Balans VL '!Z15*100)</f>
        <v>6.3233361451188962E-5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720.57111800000007</v>
      </c>
      <c r="C5" s="17">
        <f>'Eigen informatie GS &amp; warmtenet'!B62</f>
        <v>0</v>
      </c>
      <c r="D5" s="30">
        <f>IF(ISERROR(SUM(LB_lb_gas_kWh,LB_rest_gas_kWh)/1000),0,SUM(LB_lb_gas_kWh,LB_rest_gas_kWh)/1000)*0.902</f>
        <v>33.260348</v>
      </c>
      <c r="E5" s="17">
        <f>B17*'E Balans VL '!I25/3.6*1000000/100</f>
        <v>22.488786977739345</v>
      </c>
      <c r="F5" s="17">
        <f>B17*('E Balans VL '!L25/3.6*1000000+'E Balans VL '!N25/3.6*1000000)/100</f>
        <v>2546.5781537271546</v>
      </c>
      <c r="G5" s="18"/>
      <c r="H5" s="17"/>
      <c r="I5" s="17"/>
      <c r="J5" s="17">
        <f>('E Balans VL '!D25+'E Balans VL '!E25)/3.6*1000000*landbouw!B17/100</f>
        <v>198.52234012590893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720.57111800000007</v>
      </c>
      <c r="C8" s="21">
        <f>C5+C6</f>
        <v>0</v>
      </c>
      <c r="D8" s="21">
        <f>MAX((D5+D6),0)</f>
        <v>33.260348</v>
      </c>
      <c r="E8" s="21">
        <f>MAX((E5+E6),0)</f>
        <v>22.488786977739345</v>
      </c>
      <c r="F8" s="21">
        <f>MAX((F5+F6),0)</f>
        <v>2546.5781537271546</v>
      </c>
      <c r="G8" s="21"/>
      <c r="H8" s="21"/>
      <c r="I8" s="21"/>
      <c r="J8" s="21">
        <f>MAX((J5+J6),0)</f>
        <v>198.52234012590893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0.19044855625979434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137.23172910560592</v>
      </c>
      <c r="C12" s="23">
        <f ca="1">C8*C10</f>
        <v>0</v>
      </c>
      <c r="D12" s="23">
        <f>D8*D10</f>
        <v>6.7185902960000004</v>
      </c>
      <c r="E12" s="23">
        <f>E8*E10</f>
        <v>5.1049546439468312</v>
      </c>
      <c r="F12" s="23">
        <f>F8*F10</f>
        <v>679.93636704515029</v>
      </c>
      <c r="G12" s="23"/>
      <c r="H12" s="23"/>
      <c r="I12" s="23"/>
      <c r="J12" s="23">
        <f>J8*J10</f>
        <v>70.276908404571756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0.10711806223376531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165.18225504285314</v>
      </c>
      <c r="C26" s="247">
        <f>B26*'GWP N2O_CH4'!B5</f>
        <v>3468.8273558999158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36.340388409003907</v>
      </c>
      <c r="C27" s="247">
        <f>B27*'GWP N2O_CH4'!B5</f>
        <v>763.14815658908208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2.3573321160068348</v>
      </c>
      <c r="C28" s="247">
        <f>B28*'GWP N2O_CH4'!B4</f>
        <v>730.77295596211877</v>
      </c>
      <c r="D28" s="50"/>
    </row>
    <row r="29" spans="1:4">
      <c r="A29" s="41" t="s">
        <v>276</v>
      </c>
      <c r="B29" s="247">
        <f>B34*'ha_N2O bodem landbouw'!B4</f>
        <v>15.872201749462379</v>
      </c>
      <c r="C29" s="247">
        <f>B29*'GWP N2O_CH4'!B4</f>
        <v>4920.3825423333374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3.4804880710901441E-3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1.3874466869999999E-4</v>
      </c>
      <c r="C5" s="463" t="s">
        <v>210</v>
      </c>
      <c r="D5" s="448">
        <f>SUM(D6:D11)</f>
        <v>6.0405461214714008E-4</v>
      </c>
      <c r="E5" s="448">
        <f>SUM(E6:E11)</f>
        <v>4.5982813885462497E-4</v>
      </c>
      <c r="F5" s="461" t="s">
        <v>210</v>
      </c>
      <c r="G5" s="448">
        <f>SUM(G6:G11)</f>
        <v>0.19024162527036506</v>
      </c>
      <c r="H5" s="448">
        <f>SUM(H6:H11)</f>
        <v>4.4812053913004739E-2</v>
      </c>
      <c r="I5" s="463" t="s">
        <v>210</v>
      </c>
      <c r="J5" s="463" t="s">
        <v>210</v>
      </c>
      <c r="K5" s="463" t="s">
        <v>210</v>
      </c>
      <c r="L5" s="463" t="s">
        <v>210</v>
      </c>
      <c r="M5" s="448">
        <f>SUM(M6:M11)</f>
        <v>1.3914745345999706E-2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9.3306783524999999E-5</v>
      </c>
      <c r="C6" s="449"/>
      <c r="D6" s="917">
        <f>vkm_2011_GW_PW*SUMIFS(TableVerdeelsleutelVkm[CNG],TableVerdeelsleutelVkm[Voertuigtype],"Lichte voertuigen")*SUMIFS(TableECFTransport[EnergieConsumptieFactor (PJ per km)],TableECFTransport[Index],CONCATENATE($A6,"_CNG_CNG"))</f>
        <v>3.2444357949234007E-4</v>
      </c>
      <c r="E6" s="917">
        <f>vkm_2011_GW_PW*SUMIFS(TableVerdeelsleutelVkm[LPG],TableVerdeelsleutelVkm[Voertuigtype],"Lichte voertuigen")*SUMIFS(TableECFTransport[EnergieConsumptieFactor (PJ per km)],TableECFTransport[Index],CONCATENATE($A6,"_LPG_LPG"))</f>
        <v>2.5560808687799996E-4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6.9579493316085067E-2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2.434820129929325E-2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5.6127701215262461E-3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5.2917318260139498E-2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1.3331577722795635E-5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3.0513778960947861E-3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4.5437885175000002E-5</v>
      </c>
      <c r="C8" s="449"/>
      <c r="D8" s="451">
        <f>vkm_2011_NGW_PW*SUMIFS(TableVerdeelsleutelVkm[CNG],TableVerdeelsleutelVkm[Voertuigtype],"Lichte voertuigen")*SUMIFS(TableECFTransport[EnergieConsumptieFactor (PJ per km)],TableECFTransport[Index],CONCATENATE($A8,"_CNG_CNG"))</f>
        <v>2.7961103265480001E-4</v>
      </c>
      <c r="E8" s="451">
        <f>vkm_2011_NGW_PW*SUMIFS(TableVerdeelsleutelVkm[LPG],TableVerdeelsleutelVkm[Voertuigtype],"Lichte voertuigen")*SUMIFS(TableECFTransport[EnergieConsumptieFactor (PJ per km)],TableECFTransport[Index],CONCATENATE($A8,"_LPG_LPG"))</f>
        <v>2.0422005197662501E-4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5.1586821047238191E-2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2.0446680089835741E-2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4.3188921069387343E-3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1.6157992646902288E-2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3.8409461529524433E-6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9.317052214399392E-4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38.540185749999992</v>
      </c>
      <c r="C14" s="21"/>
      <c r="D14" s="21">
        <f t="shared" ref="D14:M14" si="0">((D5)*10^9/3600)+D12</f>
        <v>167.79294781865002</v>
      </c>
      <c r="E14" s="21">
        <f t="shared" si="0"/>
        <v>127.73003857072916</v>
      </c>
      <c r="F14" s="21"/>
      <c r="G14" s="21">
        <f t="shared" si="0"/>
        <v>52844.895908434737</v>
      </c>
      <c r="H14" s="21">
        <f t="shared" si="0"/>
        <v>12447.792753612428</v>
      </c>
      <c r="I14" s="21"/>
      <c r="J14" s="21"/>
      <c r="K14" s="21"/>
      <c r="L14" s="21"/>
      <c r="M14" s="21">
        <f t="shared" si="0"/>
        <v>3865.2070405554737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0.19044855625979434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7.3399227340717976</v>
      </c>
      <c r="C18" s="23"/>
      <c r="D18" s="23">
        <f t="shared" ref="D18:M18" si="1">D14*D16</f>
        <v>33.894175459367304</v>
      </c>
      <c r="E18" s="23">
        <f t="shared" si="1"/>
        <v>28.994718755555521</v>
      </c>
      <c r="F18" s="23"/>
      <c r="G18" s="23">
        <f t="shared" si="1"/>
        <v>14109.587207552075</v>
      </c>
      <c r="H18" s="23">
        <f t="shared" si="1"/>
        <v>3099.5003956494947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1.2410522059177302E-2</v>
      </c>
      <c r="H50" s="321">
        <f t="shared" si="2"/>
        <v>0</v>
      </c>
      <c r="I50" s="321">
        <f t="shared" si="2"/>
        <v>0</v>
      </c>
      <c r="J50" s="321">
        <f t="shared" si="2"/>
        <v>0</v>
      </c>
      <c r="K50" s="321">
        <f t="shared" si="2"/>
        <v>0</v>
      </c>
      <c r="L50" s="321">
        <f t="shared" si="2"/>
        <v>0</v>
      </c>
      <c r="M50" s="321">
        <f t="shared" si="2"/>
        <v>6.8977818919790641E-4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1.2410522059177302E-2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6.8977818919790641E-4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3447.3672386603616</v>
      </c>
      <c r="H54" s="21">
        <f t="shared" si="3"/>
        <v>0</v>
      </c>
      <c r="I54" s="21">
        <f t="shared" si="3"/>
        <v>0</v>
      </c>
      <c r="J54" s="21">
        <f t="shared" si="3"/>
        <v>0</v>
      </c>
      <c r="K54" s="21">
        <f t="shared" si="3"/>
        <v>0</v>
      </c>
      <c r="L54" s="21">
        <f t="shared" si="3"/>
        <v>0</v>
      </c>
      <c r="M54" s="21">
        <f t="shared" si="3"/>
        <v>191.60505255497401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0.19044855625979434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920.44705272231658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16137.789274000001</v>
      </c>
      <c r="D10" s="712">
        <f ca="1">tertiair!C16</f>
        <v>0</v>
      </c>
      <c r="E10" s="712">
        <f ca="1">tertiair!D16</f>
        <v>8449.7006691019997</v>
      </c>
      <c r="F10" s="712">
        <f>tertiair!E16</f>
        <v>203.4601192742403</v>
      </c>
      <c r="G10" s="712">
        <f ca="1">tertiair!F16</f>
        <v>1606.4913782060755</v>
      </c>
      <c r="H10" s="712">
        <f>tertiair!G16</f>
        <v>0</v>
      </c>
      <c r="I10" s="712">
        <f>tertiair!H16</f>
        <v>0</v>
      </c>
      <c r="J10" s="712">
        <f>tertiair!I16</f>
        <v>0</v>
      </c>
      <c r="K10" s="712">
        <f>tertiair!J16</f>
        <v>6.9940678404510192E-3</v>
      </c>
      <c r="L10" s="712">
        <f>tertiair!K16</f>
        <v>0</v>
      </c>
      <c r="M10" s="712">
        <f ca="1">tertiair!L16</f>
        <v>0</v>
      </c>
      <c r="N10" s="712">
        <f>tertiair!M16</f>
        <v>0</v>
      </c>
      <c r="O10" s="712">
        <f ca="1">tertiair!N16</f>
        <v>0</v>
      </c>
      <c r="P10" s="712">
        <f>tertiair!O16</f>
        <v>14.691782297523464</v>
      </c>
      <c r="Q10" s="713">
        <f>tertiair!P16</f>
        <v>157.61741491948504</v>
      </c>
      <c r="R10" s="715">
        <f ca="1">SUM(C10:Q10)</f>
        <v>26569.757631867167</v>
      </c>
      <c r="S10" s="67"/>
    </row>
    <row r="11" spans="1:19" s="474" customFormat="1">
      <c r="A11" s="834" t="s">
        <v>224</v>
      </c>
      <c r="B11" s="839"/>
      <c r="C11" s="712">
        <f>huishoudens!B8</f>
        <v>26124.05352024121</v>
      </c>
      <c r="D11" s="712">
        <f>huishoudens!C8</f>
        <v>0</v>
      </c>
      <c r="E11" s="712">
        <f>huishoudens!D8</f>
        <v>33680.780257300001</v>
      </c>
      <c r="F11" s="712">
        <f>huishoudens!E8</f>
        <v>6989.1698215782853</v>
      </c>
      <c r="G11" s="712">
        <f>huishoudens!F8</f>
        <v>44091.551842441542</v>
      </c>
      <c r="H11" s="712">
        <f>huishoudens!G8</f>
        <v>0</v>
      </c>
      <c r="I11" s="712">
        <f>huishoudens!H8</f>
        <v>0</v>
      </c>
      <c r="J11" s="712">
        <f>huishoudens!I8</f>
        <v>0</v>
      </c>
      <c r="K11" s="712">
        <f>huishoudens!J8</f>
        <v>0</v>
      </c>
      <c r="L11" s="712">
        <f>huishoudens!K8</f>
        <v>0</v>
      </c>
      <c r="M11" s="712">
        <f>huishoudens!L8</f>
        <v>0</v>
      </c>
      <c r="N11" s="712">
        <f>huishoudens!M8</f>
        <v>0</v>
      </c>
      <c r="O11" s="712">
        <f>huishoudens!N8</f>
        <v>7775.3623718161898</v>
      </c>
      <c r="P11" s="712">
        <f>huishoudens!O8</f>
        <v>434.48685004575998</v>
      </c>
      <c r="Q11" s="713">
        <f>huishoudens!P8</f>
        <v>905.92050046091197</v>
      </c>
      <c r="R11" s="715">
        <f>SUM(C11:Q11)</f>
        <v>120001.3251638839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2901.1945030000002</v>
      </c>
      <c r="D13" s="712">
        <f>industrie!C18</f>
        <v>0</v>
      </c>
      <c r="E13" s="712">
        <f>industrie!D18</f>
        <v>758.84479769999984</v>
      </c>
      <c r="F13" s="712">
        <f>industrie!E18</f>
        <v>424.4477763707103</v>
      </c>
      <c r="G13" s="712">
        <f>industrie!F18</f>
        <v>1513.3607684833455</v>
      </c>
      <c r="H13" s="712">
        <f>industrie!G18</f>
        <v>0</v>
      </c>
      <c r="I13" s="712">
        <f>industrie!H18</f>
        <v>0</v>
      </c>
      <c r="J13" s="712">
        <f>industrie!I18</f>
        <v>0</v>
      </c>
      <c r="K13" s="712">
        <f>industrie!J18</f>
        <v>9.9754748235314494</v>
      </c>
      <c r="L13" s="712">
        <f>industrie!K18</f>
        <v>0</v>
      </c>
      <c r="M13" s="712">
        <f>industrie!L18</f>
        <v>0</v>
      </c>
      <c r="N13" s="712">
        <f>industrie!M18</f>
        <v>0</v>
      </c>
      <c r="O13" s="712">
        <f>industrie!N18</f>
        <v>335.64053550291356</v>
      </c>
      <c r="P13" s="712">
        <f>industrie!O18</f>
        <v>0</v>
      </c>
      <c r="Q13" s="713">
        <f>industrie!P18</f>
        <v>0</v>
      </c>
      <c r="R13" s="715">
        <f>SUM(C13:Q13)</f>
        <v>5943.4638558805018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45163.037297241208</v>
      </c>
      <c r="D16" s="748">
        <f t="shared" ref="D16:R16" ca="1" si="0">SUM(D9:D15)</f>
        <v>0</v>
      </c>
      <c r="E16" s="748">
        <f t="shared" ca="1" si="0"/>
        <v>42889.325724102004</v>
      </c>
      <c r="F16" s="748">
        <f t="shared" si="0"/>
        <v>7617.0777172232356</v>
      </c>
      <c r="G16" s="748">
        <f t="shared" ca="1" si="0"/>
        <v>47211.403989130966</v>
      </c>
      <c r="H16" s="748">
        <f t="shared" si="0"/>
        <v>0</v>
      </c>
      <c r="I16" s="748">
        <f t="shared" si="0"/>
        <v>0</v>
      </c>
      <c r="J16" s="748">
        <f t="shared" si="0"/>
        <v>0</v>
      </c>
      <c r="K16" s="748">
        <f t="shared" si="0"/>
        <v>9.9824688913718997</v>
      </c>
      <c r="L16" s="748">
        <f t="shared" si="0"/>
        <v>0</v>
      </c>
      <c r="M16" s="748">
        <f t="shared" ca="1" si="0"/>
        <v>0</v>
      </c>
      <c r="N16" s="748">
        <f t="shared" si="0"/>
        <v>0</v>
      </c>
      <c r="O16" s="748">
        <f t="shared" ca="1" si="0"/>
        <v>8111.0029073191035</v>
      </c>
      <c r="P16" s="748">
        <f t="shared" si="0"/>
        <v>449.17863234328343</v>
      </c>
      <c r="Q16" s="748">
        <f t="shared" si="0"/>
        <v>1063.537915380397</v>
      </c>
      <c r="R16" s="748">
        <f t="shared" ca="1" si="0"/>
        <v>152514.54665163159</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3447.3672386603616</v>
      </c>
      <c r="I19" s="712">
        <f>transport!H54</f>
        <v>0</v>
      </c>
      <c r="J19" s="712">
        <f>transport!I54</f>
        <v>0</v>
      </c>
      <c r="K19" s="712">
        <f>transport!J54</f>
        <v>0</v>
      </c>
      <c r="L19" s="712">
        <f>transport!K54</f>
        <v>0</v>
      </c>
      <c r="M19" s="712">
        <f>transport!L54</f>
        <v>0</v>
      </c>
      <c r="N19" s="712">
        <f>transport!M54</f>
        <v>191.60505255497401</v>
      </c>
      <c r="O19" s="712">
        <f>transport!N54</f>
        <v>0</v>
      </c>
      <c r="P19" s="712">
        <f>transport!O54</f>
        <v>0</v>
      </c>
      <c r="Q19" s="713">
        <f>transport!P54</f>
        <v>0</v>
      </c>
      <c r="R19" s="715">
        <f>SUM(C19:Q19)</f>
        <v>3638.9722912153356</v>
      </c>
      <c r="S19" s="67"/>
    </row>
    <row r="20" spans="1:19" s="474" customFormat="1">
      <c r="A20" s="834" t="s">
        <v>306</v>
      </c>
      <c r="B20" s="839"/>
      <c r="C20" s="712">
        <f>transport!B14</f>
        <v>38.540185749999992</v>
      </c>
      <c r="D20" s="712">
        <f>transport!C14</f>
        <v>0</v>
      </c>
      <c r="E20" s="712">
        <f>transport!D14</f>
        <v>167.79294781865002</v>
      </c>
      <c r="F20" s="712">
        <f>transport!E14</f>
        <v>127.73003857072916</v>
      </c>
      <c r="G20" s="712">
        <f>transport!F14</f>
        <v>0</v>
      </c>
      <c r="H20" s="712">
        <f>transport!G14</f>
        <v>52844.895908434737</v>
      </c>
      <c r="I20" s="712">
        <f>transport!H14</f>
        <v>12447.792753612428</v>
      </c>
      <c r="J20" s="712">
        <f>transport!I14</f>
        <v>0</v>
      </c>
      <c r="K20" s="712">
        <f>transport!J14</f>
        <v>0</v>
      </c>
      <c r="L20" s="712">
        <f>transport!K14</f>
        <v>0</v>
      </c>
      <c r="M20" s="712">
        <f>transport!L14</f>
        <v>0</v>
      </c>
      <c r="N20" s="712">
        <f>transport!M14</f>
        <v>3865.2070405554737</v>
      </c>
      <c r="O20" s="712">
        <f>transport!N14</f>
        <v>0</v>
      </c>
      <c r="P20" s="712">
        <f>transport!O14</f>
        <v>0</v>
      </c>
      <c r="Q20" s="713">
        <f>transport!P14</f>
        <v>0</v>
      </c>
      <c r="R20" s="715">
        <f>SUM(C20:Q20)</f>
        <v>69491.95887474202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38.540185749999992</v>
      </c>
      <c r="D22" s="837">
        <f t="shared" ref="D22:R22" si="1">SUM(D18:D21)</f>
        <v>0</v>
      </c>
      <c r="E22" s="837">
        <f t="shared" si="1"/>
        <v>167.79294781865002</v>
      </c>
      <c r="F22" s="837">
        <f t="shared" si="1"/>
        <v>127.73003857072916</v>
      </c>
      <c r="G22" s="837">
        <f t="shared" si="1"/>
        <v>0</v>
      </c>
      <c r="H22" s="837">
        <f t="shared" si="1"/>
        <v>56292.263147095102</v>
      </c>
      <c r="I22" s="837">
        <f t="shared" si="1"/>
        <v>12447.792753612428</v>
      </c>
      <c r="J22" s="837">
        <f t="shared" si="1"/>
        <v>0</v>
      </c>
      <c r="K22" s="837">
        <f t="shared" si="1"/>
        <v>0</v>
      </c>
      <c r="L22" s="837">
        <f t="shared" si="1"/>
        <v>0</v>
      </c>
      <c r="M22" s="837">
        <f t="shared" si="1"/>
        <v>0</v>
      </c>
      <c r="N22" s="837">
        <f t="shared" si="1"/>
        <v>4056.8120931104477</v>
      </c>
      <c r="O22" s="837">
        <f t="shared" si="1"/>
        <v>0</v>
      </c>
      <c r="P22" s="837">
        <f t="shared" si="1"/>
        <v>0</v>
      </c>
      <c r="Q22" s="837">
        <f t="shared" si="1"/>
        <v>0</v>
      </c>
      <c r="R22" s="837">
        <f t="shared" si="1"/>
        <v>73130.931165957358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720.57111800000007</v>
      </c>
      <c r="D24" s="712">
        <f>+landbouw!C8</f>
        <v>0</v>
      </c>
      <c r="E24" s="712">
        <f>+landbouw!D8</f>
        <v>33.260348</v>
      </c>
      <c r="F24" s="712">
        <f>+landbouw!E8</f>
        <v>22.488786977739345</v>
      </c>
      <c r="G24" s="712">
        <f>+landbouw!F8</f>
        <v>2546.5781537271546</v>
      </c>
      <c r="H24" s="712">
        <f>+landbouw!G8</f>
        <v>0</v>
      </c>
      <c r="I24" s="712">
        <f>+landbouw!H8</f>
        <v>0</v>
      </c>
      <c r="J24" s="712">
        <f>+landbouw!I8</f>
        <v>0</v>
      </c>
      <c r="K24" s="712">
        <f>+landbouw!J8</f>
        <v>198.52234012590893</v>
      </c>
      <c r="L24" s="712">
        <f>+landbouw!K8</f>
        <v>0</v>
      </c>
      <c r="M24" s="712">
        <f>+landbouw!L8</f>
        <v>0</v>
      </c>
      <c r="N24" s="712">
        <f>+landbouw!M8</f>
        <v>0</v>
      </c>
      <c r="O24" s="712">
        <f>+landbouw!N8</f>
        <v>0</v>
      </c>
      <c r="P24" s="712">
        <f>+landbouw!O8</f>
        <v>0</v>
      </c>
      <c r="Q24" s="713">
        <f>+landbouw!P8</f>
        <v>0</v>
      </c>
      <c r="R24" s="715">
        <f>SUM(C24:Q24)</f>
        <v>3521.4207468308032</v>
      </c>
      <c r="S24" s="67"/>
    </row>
    <row r="25" spans="1:19" s="474" customFormat="1" ht="15" thickBot="1">
      <c r="A25" s="856" t="s">
        <v>734</v>
      </c>
      <c r="B25" s="982"/>
      <c r="C25" s="983">
        <f>IF(Onbekend_ele_kWh="---",0,Onbekend_ele_kWh)/1000+IF(REST_rest_ele_kWh="---",0,REST_rest_ele_kWh)/1000</f>
        <v>607.86584199999993</v>
      </c>
      <c r="D25" s="983"/>
      <c r="E25" s="983">
        <f>IF(onbekend_gas_kWh="---",0,onbekend_gas_kWh)/1000+IF(REST_rest_gas_kWh="---",0,REST_rest_gas_kWh)/1000</f>
        <v>775.702</v>
      </c>
      <c r="F25" s="983"/>
      <c r="G25" s="983"/>
      <c r="H25" s="983"/>
      <c r="I25" s="983"/>
      <c r="J25" s="983"/>
      <c r="K25" s="983"/>
      <c r="L25" s="983"/>
      <c r="M25" s="983"/>
      <c r="N25" s="983"/>
      <c r="O25" s="983"/>
      <c r="P25" s="983"/>
      <c r="Q25" s="984"/>
      <c r="R25" s="715">
        <f>SUM(C25:Q25)</f>
        <v>1383.5678419999999</v>
      </c>
      <c r="S25" s="67"/>
    </row>
    <row r="26" spans="1:19" s="474" customFormat="1" ht="15.75" thickBot="1">
      <c r="A26" s="720" t="s">
        <v>735</v>
      </c>
      <c r="B26" s="842"/>
      <c r="C26" s="837">
        <f>SUM(C24:C25)</f>
        <v>1328.43696</v>
      </c>
      <c r="D26" s="837">
        <f t="shared" ref="D26:R26" si="2">SUM(D24:D25)</f>
        <v>0</v>
      </c>
      <c r="E26" s="837">
        <f t="shared" si="2"/>
        <v>808.96234800000002</v>
      </c>
      <c r="F26" s="837">
        <f t="shared" si="2"/>
        <v>22.488786977739345</v>
      </c>
      <c r="G26" s="837">
        <f t="shared" si="2"/>
        <v>2546.5781537271546</v>
      </c>
      <c r="H26" s="837">
        <f t="shared" si="2"/>
        <v>0</v>
      </c>
      <c r="I26" s="837">
        <f t="shared" si="2"/>
        <v>0</v>
      </c>
      <c r="J26" s="837">
        <f t="shared" si="2"/>
        <v>0</v>
      </c>
      <c r="K26" s="837">
        <f t="shared" si="2"/>
        <v>198.52234012590893</v>
      </c>
      <c r="L26" s="837">
        <f t="shared" si="2"/>
        <v>0</v>
      </c>
      <c r="M26" s="837">
        <f t="shared" si="2"/>
        <v>0</v>
      </c>
      <c r="N26" s="837">
        <f t="shared" si="2"/>
        <v>0</v>
      </c>
      <c r="O26" s="837">
        <f t="shared" si="2"/>
        <v>0</v>
      </c>
      <c r="P26" s="837">
        <f t="shared" si="2"/>
        <v>0</v>
      </c>
      <c r="Q26" s="837">
        <f t="shared" si="2"/>
        <v>0</v>
      </c>
      <c r="R26" s="837">
        <f t="shared" si="2"/>
        <v>4904.9885888308036</v>
      </c>
      <c r="S26" s="67"/>
    </row>
    <row r="27" spans="1:19" s="474" customFormat="1" ht="17.25" thickTop="1" thickBot="1">
      <c r="A27" s="721" t="s">
        <v>115</v>
      </c>
      <c r="B27" s="829"/>
      <c r="C27" s="722">
        <f ca="1">C22+C16+C26</f>
        <v>46530.014442991203</v>
      </c>
      <c r="D27" s="722">
        <f t="shared" ref="D27:R27" ca="1" si="3">D22+D16+D26</f>
        <v>0</v>
      </c>
      <c r="E27" s="722">
        <f t="shared" ca="1" si="3"/>
        <v>43866.081019920653</v>
      </c>
      <c r="F27" s="722">
        <f t="shared" si="3"/>
        <v>7767.2965427717045</v>
      </c>
      <c r="G27" s="722">
        <f t="shared" ca="1" si="3"/>
        <v>49757.98214285812</v>
      </c>
      <c r="H27" s="722">
        <f t="shared" si="3"/>
        <v>56292.263147095102</v>
      </c>
      <c r="I27" s="722">
        <f t="shared" si="3"/>
        <v>12447.792753612428</v>
      </c>
      <c r="J27" s="722">
        <f t="shared" si="3"/>
        <v>0</v>
      </c>
      <c r="K27" s="722">
        <f t="shared" si="3"/>
        <v>208.50480901728082</v>
      </c>
      <c r="L27" s="722">
        <f t="shared" si="3"/>
        <v>0</v>
      </c>
      <c r="M27" s="722">
        <f t="shared" ca="1" si="3"/>
        <v>0</v>
      </c>
      <c r="N27" s="722">
        <f t="shared" si="3"/>
        <v>4056.8120931104477</v>
      </c>
      <c r="O27" s="722">
        <f t="shared" ca="1" si="3"/>
        <v>8111.0029073191035</v>
      </c>
      <c r="P27" s="722">
        <f t="shared" si="3"/>
        <v>449.17863234328343</v>
      </c>
      <c r="Q27" s="722">
        <f t="shared" si="3"/>
        <v>1063.537915380397</v>
      </c>
      <c r="R27" s="722">
        <f t="shared" ca="1" si="3"/>
        <v>230550.46640641976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3073.418668458095</v>
      </c>
      <c r="D40" s="712">
        <f ca="1">tertiair!C20</f>
        <v>0</v>
      </c>
      <c r="E40" s="712">
        <f ca="1">tertiair!D20</f>
        <v>1706.8395351586041</v>
      </c>
      <c r="F40" s="712">
        <f>tertiair!E20</f>
        <v>46.185447075252547</v>
      </c>
      <c r="G40" s="712">
        <f ca="1">tertiair!F20</f>
        <v>428.9331979810222</v>
      </c>
      <c r="H40" s="712">
        <f>tertiair!G20</f>
        <v>0</v>
      </c>
      <c r="I40" s="712">
        <f>tertiair!H20</f>
        <v>0</v>
      </c>
      <c r="J40" s="712">
        <f>tertiair!I20</f>
        <v>0</v>
      </c>
      <c r="K40" s="712">
        <f>tertiair!J20</f>
        <v>2.4759000155196607E-3</v>
      </c>
      <c r="L40" s="712">
        <f>tertiair!K20</f>
        <v>0</v>
      </c>
      <c r="M40" s="712">
        <f ca="1">tertiair!L20</f>
        <v>0</v>
      </c>
      <c r="N40" s="712">
        <f>tertiair!M20</f>
        <v>0</v>
      </c>
      <c r="O40" s="712">
        <f ca="1">tertiair!N20</f>
        <v>0</v>
      </c>
      <c r="P40" s="712">
        <f>tertiair!O20</f>
        <v>0</v>
      </c>
      <c r="Q40" s="795">
        <f>tertiair!P20</f>
        <v>0</v>
      </c>
      <c r="R40" s="875">
        <f t="shared" ca="1" si="4"/>
        <v>5255.3793245729885</v>
      </c>
    </row>
    <row r="41" spans="1:18">
      <c r="A41" s="847" t="s">
        <v>224</v>
      </c>
      <c r="B41" s="854"/>
      <c r="C41" s="712">
        <f ca="1">huishoudens!B12</f>
        <v>4975.2882765835366</v>
      </c>
      <c r="D41" s="712">
        <f ca="1">huishoudens!C12</f>
        <v>0</v>
      </c>
      <c r="E41" s="712">
        <f>huishoudens!D12</f>
        <v>6803.5176119746002</v>
      </c>
      <c r="F41" s="712">
        <f>huishoudens!E12</f>
        <v>1586.5415494982708</v>
      </c>
      <c r="G41" s="712">
        <f>huishoudens!F12</f>
        <v>11772.444341931892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25137.7917799883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552.52830452520163</v>
      </c>
      <c r="D43" s="712">
        <f ca="1">industrie!C22</f>
        <v>0</v>
      </c>
      <c r="E43" s="712">
        <f>industrie!D22</f>
        <v>153.28664913539998</v>
      </c>
      <c r="F43" s="712">
        <f>industrie!E22</f>
        <v>96.349645236151247</v>
      </c>
      <c r="G43" s="712">
        <f>industrie!F22</f>
        <v>404.06732518505328</v>
      </c>
      <c r="H43" s="712">
        <f>industrie!G22</f>
        <v>0</v>
      </c>
      <c r="I43" s="712">
        <f>industrie!H22</f>
        <v>0</v>
      </c>
      <c r="J43" s="712">
        <f>industrie!I22</f>
        <v>0</v>
      </c>
      <c r="K43" s="712">
        <f>industrie!J22</f>
        <v>3.5313180875301331</v>
      </c>
      <c r="L43" s="712">
        <f>industrie!K22</f>
        <v>0</v>
      </c>
      <c r="M43" s="712">
        <f>industrie!L22</f>
        <v>0</v>
      </c>
      <c r="N43" s="712">
        <f>industrie!M22</f>
        <v>0</v>
      </c>
      <c r="O43" s="712">
        <f>industrie!N22</f>
        <v>0</v>
      </c>
      <c r="P43" s="712">
        <f>industrie!O22</f>
        <v>0</v>
      </c>
      <c r="Q43" s="795">
        <f>industrie!P22</f>
        <v>0</v>
      </c>
      <c r="R43" s="874">
        <f t="shared" ca="1" si="4"/>
        <v>1209.7632421693361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8601.2352495668329</v>
      </c>
      <c r="D46" s="748">
        <f t="shared" ref="D46:Q46" ca="1" si="5">SUM(D39:D45)</f>
        <v>0</v>
      </c>
      <c r="E46" s="748">
        <f t="shared" ca="1" si="5"/>
        <v>8663.6437962686032</v>
      </c>
      <c r="F46" s="748">
        <f t="shared" si="5"/>
        <v>1729.0766418096746</v>
      </c>
      <c r="G46" s="748">
        <f t="shared" ca="1" si="5"/>
        <v>12605.444865097968</v>
      </c>
      <c r="H46" s="748">
        <f t="shared" si="5"/>
        <v>0</v>
      </c>
      <c r="I46" s="748">
        <f t="shared" si="5"/>
        <v>0</v>
      </c>
      <c r="J46" s="748">
        <f t="shared" si="5"/>
        <v>0</v>
      </c>
      <c r="K46" s="748">
        <f t="shared" si="5"/>
        <v>3.5337939875456525</v>
      </c>
      <c r="L46" s="748">
        <f t="shared" si="5"/>
        <v>0</v>
      </c>
      <c r="M46" s="748">
        <f t="shared" ca="1" si="5"/>
        <v>0</v>
      </c>
      <c r="N46" s="748">
        <f t="shared" si="5"/>
        <v>0</v>
      </c>
      <c r="O46" s="748">
        <f t="shared" ca="1" si="5"/>
        <v>0</v>
      </c>
      <c r="P46" s="748">
        <f t="shared" si="5"/>
        <v>0</v>
      </c>
      <c r="Q46" s="748">
        <f t="shared" si="5"/>
        <v>0</v>
      </c>
      <c r="R46" s="748">
        <f ca="1">SUM(R39:R45)</f>
        <v>31602.934346730624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920.44705272231658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920.44705272231658</v>
      </c>
    </row>
    <row r="50" spans="1:18">
      <c r="A50" s="850" t="s">
        <v>306</v>
      </c>
      <c r="B50" s="860"/>
      <c r="C50" s="718">
        <f ca="1">transport!B18</f>
        <v>7.3399227340717976</v>
      </c>
      <c r="D50" s="718">
        <f>transport!C18</f>
        <v>0</v>
      </c>
      <c r="E50" s="718">
        <f>transport!D18</f>
        <v>33.894175459367304</v>
      </c>
      <c r="F50" s="718">
        <f>transport!E18</f>
        <v>28.994718755555521</v>
      </c>
      <c r="G50" s="718">
        <f>transport!F18</f>
        <v>0</v>
      </c>
      <c r="H50" s="718">
        <f>transport!G18</f>
        <v>14109.587207552075</v>
      </c>
      <c r="I50" s="718">
        <f>transport!H18</f>
        <v>3099.5003956494947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17279.316420150564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7.3399227340717976</v>
      </c>
      <c r="D52" s="748">
        <f t="shared" ref="D52:Q52" ca="1" si="6">SUM(D48:D51)</f>
        <v>0</v>
      </c>
      <c r="E52" s="748">
        <f t="shared" si="6"/>
        <v>33.894175459367304</v>
      </c>
      <c r="F52" s="748">
        <f t="shared" si="6"/>
        <v>28.994718755555521</v>
      </c>
      <c r="G52" s="748">
        <f t="shared" si="6"/>
        <v>0</v>
      </c>
      <c r="H52" s="748">
        <f t="shared" si="6"/>
        <v>15030.034260274391</v>
      </c>
      <c r="I52" s="748">
        <f t="shared" si="6"/>
        <v>3099.5003956494947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18199.763472872881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137.23172910560592</v>
      </c>
      <c r="D54" s="718">
        <f ca="1">+landbouw!C12</f>
        <v>0</v>
      </c>
      <c r="E54" s="718">
        <f>+landbouw!D12</f>
        <v>6.7185902960000004</v>
      </c>
      <c r="F54" s="718">
        <f>+landbouw!E12</f>
        <v>5.1049546439468312</v>
      </c>
      <c r="G54" s="718">
        <f>+landbouw!F12</f>
        <v>679.93636704515029</v>
      </c>
      <c r="H54" s="718">
        <f>+landbouw!G12</f>
        <v>0</v>
      </c>
      <c r="I54" s="718">
        <f>+landbouw!H12</f>
        <v>0</v>
      </c>
      <c r="J54" s="718">
        <f>+landbouw!I12</f>
        <v>0</v>
      </c>
      <c r="K54" s="718">
        <f>+landbouw!J12</f>
        <v>70.276908404571756</v>
      </c>
      <c r="L54" s="718">
        <f>+landbouw!K12</f>
        <v>0</v>
      </c>
      <c r="M54" s="718">
        <f>+landbouw!L12</f>
        <v>0</v>
      </c>
      <c r="N54" s="718">
        <f>+landbouw!M12</f>
        <v>0</v>
      </c>
      <c r="O54" s="718">
        <f>+landbouw!N12</f>
        <v>0</v>
      </c>
      <c r="P54" s="718">
        <f>+landbouw!O12</f>
        <v>0</v>
      </c>
      <c r="Q54" s="719">
        <f>+landbouw!P12</f>
        <v>0</v>
      </c>
      <c r="R54" s="747">
        <f ca="1">SUM(C54:Q54)</f>
        <v>899.26854949527478</v>
      </c>
    </row>
    <row r="55" spans="1:18" ht="15" thickBot="1">
      <c r="A55" s="850" t="s">
        <v>734</v>
      </c>
      <c r="B55" s="860"/>
      <c r="C55" s="718">
        <f ca="1">C25*'EF ele_warmte'!B12</f>
        <v>115.76717200854425</v>
      </c>
      <c r="D55" s="718"/>
      <c r="E55" s="718">
        <f>E25*EF_CO2_aardgas</f>
        <v>156.69180400000002</v>
      </c>
      <c r="F55" s="718"/>
      <c r="G55" s="718"/>
      <c r="H55" s="718"/>
      <c r="I55" s="718"/>
      <c r="J55" s="718"/>
      <c r="K55" s="718"/>
      <c r="L55" s="718"/>
      <c r="M55" s="718"/>
      <c r="N55" s="718"/>
      <c r="O55" s="718"/>
      <c r="P55" s="718"/>
      <c r="Q55" s="719"/>
      <c r="R55" s="747">
        <f ca="1">SUM(C55:Q55)</f>
        <v>272.45897600854425</v>
      </c>
    </row>
    <row r="56" spans="1:18" ht="15.75" thickBot="1">
      <c r="A56" s="848" t="s">
        <v>735</v>
      </c>
      <c r="B56" s="861"/>
      <c r="C56" s="748">
        <f ca="1">SUM(C54:C55)</f>
        <v>252.99890111415016</v>
      </c>
      <c r="D56" s="748">
        <f t="shared" ref="D56:Q56" ca="1" si="7">SUM(D54:D55)</f>
        <v>0</v>
      </c>
      <c r="E56" s="748">
        <f t="shared" si="7"/>
        <v>163.41039429600002</v>
      </c>
      <c r="F56" s="748">
        <f t="shared" si="7"/>
        <v>5.1049546439468312</v>
      </c>
      <c r="G56" s="748">
        <f t="shared" si="7"/>
        <v>679.93636704515029</v>
      </c>
      <c r="H56" s="748">
        <f t="shared" si="7"/>
        <v>0</v>
      </c>
      <c r="I56" s="748">
        <f t="shared" si="7"/>
        <v>0</v>
      </c>
      <c r="J56" s="748">
        <f t="shared" si="7"/>
        <v>0</v>
      </c>
      <c r="K56" s="748">
        <f t="shared" si="7"/>
        <v>70.276908404571756</v>
      </c>
      <c r="L56" s="748">
        <f t="shared" si="7"/>
        <v>0</v>
      </c>
      <c r="M56" s="748">
        <f t="shared" si="7"/>
        <v>0</v>
      </c>
      <c r="N56" s="748">
        <f t="shared" si="7"/>
        <v>0</v>
      </c>
      <c r="O56" s="748">
        <f t="shared" si="7"/>
        <v>0</v>
      </c>
      <c r="P56" s="748">
        <f t="shared" si="7"/>
        <v>0</v>
      </c>
      <c r="Q56" s="749">
        <f t="shared" si="7"/>
        <v>0</v>
      </c>
      <c r="R56" s="750">
        <f ca="1">SUM(R54:R55)</f>
        <v>1171.7275255038189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8861.574073415055</v>
      </c>
      <c r="D61" s="756">
        <f t="shared" ref="D61:Q61" ca="1" si="8">D46+D52+D56</f>
        <v>0</v>
      </c>
      <c r="E61" s="756">
        <f t="shared" ca="1" si="8"/>
        <v>8860.9483660239694</v>
      </c>
      <c r="F61" s="756">
        <f t="shared" si="8"/>
        <v>1763.1763152091771</v>
      </c>
      <c r="G61" s="756">
        <f t="shared" ca="1" si="8"/>
        <v>13285.381232143118</v>
      </c>
      <c r="H61" s="756">
        <f t="shared" si="8"/>
        <v>15030.034260274391</v>
      </c>
      <c r="I61" s="756">
        <f t="shared" si="8"/>
        <v>3099.5003956494947</v>
      </c>
      <c r="J61" s="756">
        <f t="shared" si="8"/>
        <v>0</v>
      </c>
      <c r="K61" s="756">
        <f t="shared" si="8"/>
        <v>73.810702392117406</v>
      </c>
      <c r="L61" s="756">
        <f t="shared" si="8"/>
        <v>0</v>
      </c>
      <c r="M61" s="756">
        <f t="shared" ca="1" si="8"/>
        <v>0</v>
      </c>
      <c r="N61" s="756">
        <f t="shared" si="8"/>
        <v>0</v>
      </c>
      <c r="O61" s="756">
        <f t="shared" ca="1" si="8"/>
        <v>0</v>
      </c>
      <c r="P61" s="756">
        <f t="shared" si="8"/>
        <v>0</v>
      </c>
      <c r="Q61" s="756">
        <f t="shared" si="8"/>
        <v>0</v>
      </c>
      <c r="R61" s="756">
        <f ca="1">R46+R52+R56</f>
        <v>50974.425345107324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0.19044855625979437</v>
      </c>
      <c r="D63" s="802">
        <f t="shared" ca="1" si="9"/>
        <v>0</v>
      </c>
      <c r="E63" s="1008">
        <f t="shared" ca="1" si="9"/>
        <v>0.20199999999999993</v>
      </c>
      <c r="F63" s="802">
        <f t="shared" si="9"/>
        <v>0.22700000000000004</v>
      </c>
      <c r="G63" s="802">
        <f t="shared" ca="1" si="9"/>
        <v>0.26700000000000002</v>
      </c>
      <c r="H63" s="802">
        <f t="shared" si="9"/>
        <v>0.26699999999999996</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5617.8942012941316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814.5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2327.1428571428573</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6432.3942012941316</v>
      </c>
      <c r="C78" s="774">
        <f>SUM(C72:C77)</f>
        <v>0</v>
      </c>
      <c r="D78" s="775">
        <f t="shared" ref="D78:H78" si="10">SUM(D76:D77)</f>
        <v>0</v>
      </c>
      <c r="E78" s="775">
        <f t="shared" si="10"/>
        <v>0</v>
      </c>
      <c r="F78" s="775">
        <f t="shared" si="10"/>
        <v>0</v>
      </c>
      <c r="G78" s="775">
        <f t="shared" si="10"/>
        <v>0</v>
      </c>
      <c r="H78" s="775">
        <f t="shared" si="10"/>
        <v>0</v>
      </c>
      <c r="I78" s="775">
        <f>SUM(I76:I77)</f>
        <v>0</v>
      </c>
      <c r="J78" s="775">
        <f>SUM(J76:J77)</f>
        <v>2327.1428571428573</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5617.8942012941316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814.5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6432.3942012941316</v>
      </c>
      <c r="C10" s="589">
        <f t="shared" ref="C10:L10" si="0">SUM(C8:C9)</f>
        <v>0</v>
      </c>
      <c r="D10" s="589">
        <f t="shared" si="0"/>
        <v>0</v>
      </c>
      <c r="E10" s="589">
        <f t="shared" si="0"/>
        <v>0</v>
      </c>
      <c r="F10" s="589">
        <f t="shared" si="0"/>
        <v>0</v>
      </c>
      <c r="G10" s="589">
        <f t="shared" si="0"/>
        <v>0</v>
      </c>
      <c r="H10" s="589">
        <f t="shared" si="0"/>
        <v>0</v>
      </c>
      <c r="I10" s="589">
        <f t="shared" si="0"/>
        <v>0</v>
      </c>
      <c r="J10" s="589">
        <f t="shared" si="0"/>
        <v>2327.1428571428573</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24066</v>
      </c>
      <c r="C64" s="817">
        <v>3210</v>
      </c>
      <c r="D64" s="668" t="s">
        <v>882</v>
      </c>
      <c r="E64" s="668" t="s">
        <v>883</v>
      </c>
      <c r="F64" s="668" t="s">
        <v>884</v>
      </c>
      <c r="G64" s="668" t="s">
        <v>885</v>
      </c>
      <c r="H64" s="668" t="s">
        <v>886</v>
      </c>
      <c r="I64" s="668" t="s">
        <v>887</v>
      </c>
      <c r="J64" s="816">
        <v>34344</v>
      </c>
      <c r="K64" s="816">
        <v>37803</v>
      </c>
      <c r="L64" s="668" t="s">
        <v>888</v>
      </c>
      <c r="M64" s="668">
        <v>181</v>
      </c>
      <c r="N64" s="668">
        <v>814.5</v>
      </c>
      <c r="O64" s="668">
        <v>0</v>
      </c>
      <c r="P64" s="668">
        <v>0</v>
      </c>
      <c r="Q64" s="668">
        <v>0</v>
      </c>
      <c r="R64" s="668">
        <v>2327.1428571428573</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181</v>
      </c>
      <c r="N89" s="623">
        <f t="shared" ref="N89:W89" si="5">SUM(N64:N88)</f>
        <v>814.5</v>
      </c>
      <c r="O89" s="623">
        <f t="shared" si="5"/>
        <v>0</v>
      </c>
      <c r="P89" s="623">
        <f t="shared" si="5"/>
        <v>0</v>
      </c>
      <c r="Q89" s="623">
        <f t="shared" si="5"/>
        <v>0</v>
      </c>
      <c r="R89" s="623">
        <f t="shared" si="5"/>
        <v>2327.1428571428573</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181</v>
      </c>
      <c r="N91" s="623">
        <f t="shared" si="7"/>
        <v>814.5</v>
      </c>
      <c r="O91" s="623">
        <f t="shared" si="7"/>
        <v>0</v>
      </c>
      <c r="P91" s="623">
        <f t="shared" si="7"/>
        <v>0</v>
      </c>
      <c r="Q91" s="623">
        <f t="shared" si="7"/>
        <v>0</v>
      </c>
      <c r="R91" s="623">
        <f t="shared" si="7"/>
        <v>2327.1428571428573</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26124.05352024121</v>
      </c>
      <c r="C4" s="478">
        <f>huishoudens!C8</f>
        <v>0</v>
      </c>
      <c r="D4" s="478">
        <f>huishoudens!D8</f>
        <v>33680.780257300001</v>
      </c>
      <c r="E4" s="478">
        <f>huishoudens!E8</f>
        <v>6989.1698215782853</v>
      </c>
      <c r="F4" s="478">
        <f>huishoudens!F8</f>
        <v>44091.551842441542</v>
      </c>
      <c r="G4" s="478">
        <f>huishoudens!G8</f>
        <v>0</v>
      </c>
      <c r="H4" s="478">
        <f>huishoudens!H8</f>
        <v>0</v>
      </c>
      <c r="I4" s="478">
        <f>huishoudens!I8</f>
        <v>0</v>
      </c>
      <c r="J4" s="478">
        <f>huishoudens!J8</f>
        <v>0</v>
      </c>
      <c r="K4" s="478">
        <f>huishoudens!K8</f>
        <v>0</v>
      </c>
      <c r="L4" s="478">
        <f>huishoudens!L8</f>
        <v>0</v>
      </c>
      <c r="M4" s="478">
        <f>huishoudens!M8</f>
        <v>0</v>
      </c>
      <c r="N4" s="478">
        <f>huishoudens!N8</f>
        <v>7775.3623718161898</v>
      </c>
      <c r="O4" s="478">
        <f>huishoudens!O8</f>
        <v>434.48685004575998</v>
      </c>
      <c r="P4" s="479">
        <f>huishoudens!P8</f>
        <v>905.92050046091197</v>
      </c>
      <c r="Q4" s="480">
        <f>SUM(B4:P4)</f>
        <v>120001.3251638839</v>
      </c>
    </row>
    <row r="5" spans="1:17">
      <c r="A5" s="477" t="s">
        <v>155</v>
      </c>
      <c r="B5" s="478">
        <f ca="1">tertiair!B16</f>
        <v>15255.530274000001</v>
      </c>
      <c r="C5" s="478">
        <f ca="1">tertiair!C16</f>
        <v>0</v>
      </c>
      <c r="D5" s="478">
        <f ca="1">tertiair!D16</f>
        <v>8449.7006691019997</v>
      </c>
      <c r="E5" s="478">
        <f>tertiair!E16</f>
        <v>203.4601192742403</v>
      </c>
      <c r="F5" s="478">
        <f ca="1">tertiair!F16</f>
        <v>1606.4913782060755</v>
      </c>
      <c r="G5" s="478">
        <f>tertiair!G16</f>
        <v>0</v>
      </c>
      <c r="H5" s="478">
        <f>tertiair!H16</f>
        <v>0</v>
      </c>
      <c r="I5" s="478">
        <f>tertiair!I16</f>
        <v>0</v>
      </c>
      <c r="J5" s="478">
        <f>tertiair!J16</f>
        <v>6.9940678404510192E-3</v>
      </c>
      <c r="K5" s="478">
        <f>tertiair!K16</f>
        <v>0</v>
      </c>
      <c r="L5" s="478">
        <f ca="1">tertiair!L16</f>
        <v>0</v>
      </c>
      <c r="M5" s="478">
        <f>tertiair!M16</f>
        <v>0</v>
      </c>
      <c r="N5" s="478">
        <f ca="1">tertiair!N16</f>
        <v>0</v>
      </c>
      <c r="O5" s="478">
        <f>tertiair!O16</f>
        <v>14.691782297523464</v>
      </c>
      <c r="P5" s="479">
        <f>tertiair!P16</f>
        <v>157.61741491948504</v>
      </c>
      <c r="Q5" s="477">
        <f t="shared" ref="Q5:Q14" ca="1" si="0">SUM(B5:P5)</f>
        <v>25687.498631867165</v>
      </c>
    </row>
    <row r="6" spans="1:17">
      <c r="A6" s="477" t="s">
        <v>193</v>
      </c>
      <c r="B6" s="478">
        <f>'openbare verlichting'!B8</f>
        <v>882.25900000000001</v>
      </c>
      <c r="C6" s="478"/>
      <c r="D6" s="478"/>
      <c r="E6" s="478"/>
      <c r="F6" s="478"/>
      <c r="G6" s="478"/>
      <c r="H6" s="478"/>
      <c r="I6" s="478"/>
      <c r="J6" s="478"/>
      <c r="K6" s="478"/>
      <c r="L6" s="478"/>
      <c r="M6" s="478"/>
      <c r="N6" s="478"/>
      <c r="O6" s="478"/>
      <c r="P6" s="479"/>
      <c r="Q6" s="477">
        <f t="shared" si="0"/>
        <v>882.25900000000001</v>
      </c>
    </row>
    <row r="7" spans="1:17">
      <c r="A7" s="477" t="s">
        <v>111</v>
      </c>
      <c r="B7" s="478">
        <f>landbouw!B8</f>
        <v>720.57111800000007</v>
      </c>
      <c r="C7" s="478">
        <f>landbouw!C8</f>
        <v>0</v>
      </c>
      <c r="D7" s="478">
        <f>landbouw!D8</f>
        <v>33.260348</v>
      </c>
      <c r="E7" s="478">
        <f>landbouw!E8</f>
        <v>22.488786977739345</v>
      </c>
      <c r="F7" s="478">
        <f>landbouw!F8</f>
        <v>2546.5781537271546</v>
      </c>
      <c r="G7" s="478">
        <f>landbouw!G8</f>
        <v>0</v>
      </c>
      <c r="H7" s="478">
        <f>landbouw!H8</f>
        <v>0</v>
      </c>
      <c r="I7" s="478">
        <f>landbouw!I8</f>
        <v>0</v>
      </c>
      <c r="J7" s="478">
        <f>landbouw!J8</f>
        <v>198.52234012590893</v>
      </c>
      <c r="K7" s="478">
        <f>landbouw!K8</f>
        <v>0</v>
      </c>
      <c r="L7" s="478">
        <f>landbouw!L8</f>
        <v>0</v>
      </c>
      <c r="M7" s="478">
        <f>landbouw!M8</f>
        <v>0</v>
      </c>
      <c r="N7" s="478">
        <f>landbouw!N8</f>
        <v>0</v>
      </c>
      <c r="O7" s="478">
        <f>landbouw!O8</f>
        <v>0</v>
      </c>
      <c r="P7" s="479">
        <f>landbouw!P8</f>
        <v>0</v>
      </c>
      <c r="Q7" s="477">
        <f t="shared" si="0"/>
        <v>3521.4207468308032</v>
      </c>
    </row>
    <row r="8" spans="1:17">
      <c r="A8" s="477" t="s">
        <v>629</v>
      </c>
      <c r="B8" s="478">
        <f>industrie!B18</f>
        <v>2901.1945030000002</v>
      </c>
      <c r="C8" s="478">
        <f>industrie!C18</f>
        <v>0</v>
      </c>
      <c r="D8" s="478">
        <f>industrie!D18</f>
        <v>758.84479769999984</v>
      </c>
      <c r="E8" s="478">
        <f>industrie!E18</f>
        <v>424.4477763707103</v>
      </c>
      <c r="F8" s="478">
        <f>industrie!F18</f>
        <v>1513.3607684833455</v>
      </c>
      <c r="G8" s="478">
        <f>industrie!G18</f>
        <v>0</v>
      </c>
      <c r="H8" s="478">
        <f>industrie!H18</f>
        <v>0</v>
      </c>
      <c r="I8" s="478">
        <f>industrie!I18</f>
        <v>0</v>
      </c>
      <c r="J8" s="478">
        <f>industrie!J18</f>
        <v>9.9754748235314494</v>
      </c>
      <c r="K8" s="478">
        <f>industrie!K18</f>
        <v>0</v>
      </c>
      <c r="L8" s="478">
        <f>industrie!L18</f>
        <v>0</v>
      </c>
      <c r="M8" s="478">
        <f>industrie!M18</f>
        <v>0</v>
      </c>
      <c r="N8" s="478">
        <f>industrie!N18</f>
        <v>335.64053550291356</v>
      </c>
      <c r="O8" s="478">
        <f>industrie!O18</f>
        <v>0</v>
      </c>
      <c r="P8" s="479">
        <f>industrie!P18</f>
        <v>0</v>
      </c>
      <c r="Q8" s="477">
        <f t="shared" si="0"/>
        <v>5943.4638558805018</v>
      </c>
    </row>
    <row r="9" spans="1:17" s="483" customFormat="1">
      <c r="A9" s="481" t="s">
        <v>555</v>
      </c>
      <c r="B9" s="482">
        <f>transport!B14</f>
        <v>38.540185749999992</v>
      </c>
      <c r="C9" s="482">
        <f>transport!C14</f>
        <v>0</v>
      </c>
      <c r="D9" s="482">
        <f>transport!D14</f>
        <v>167.79294781865002</v>
      </c>
      <c r="E9" s="482">
        <f>transport!E14</f>
        <v>127.73003857072916</v>
      </c>
      <c r="F9" s="482">
        <f>transport!F14</f>
        <v>0</v>
      </c>
      <c r="G9" s="482">
        <f>transport!G14</f>
        <v>52844.895908434737</v>
      </c>
      <c r="H9" s="482">
        <f>transport!H14</f>
        <v>12447.792753612428</v>
      </c>
      <c r="I9" s="482">
        <f>transport!I14</f>
        <v>0</v>
      </c>
      <c r="J9" s="482">
        <f>transport!J14</f>
        <v>0</v>
      </c>
      <c r="K9" s="482">
        <f>transport!K14</f>
        <v>0</v>
      </c>
      <c r="L9" s="482">
        <f>transport!L14</f>
        <v>0</v>
      </c>
      <c r="M9" s="482">
        <f>transport!M14</f>
        <v>3865.2070405554737</v>
      </c>
      <c r="N9" s="482">
        <f>transport!N14</f>
        <v>0</v>
      </c>
      <c r="O9" s="482">
        <f>transport!O14</f>
        <v>0</v>
      </c>
      <c r="P9" s="482">
        <f>transport!P14</f>
        <v>0</v>
      </c>
      <c r="Q9" s="481">
        <f>SUM(B9:P9)</f>
        <v>69491.95887474202</v>
      </c>
    </row>
    <row r="10" spans="1:17">
      <c r="A10" s="477" t="s">
        <v>545</v>
      </c>
      <c r="B10" s="478">
        <f>transport!B54</f>
        <v>0</v>
      </c>
      <c r="C10" s="478">
        <f>transport!C54</f>
        <v>0</v>
      </c>
      <c r="D10" s="478">
        <f>transport!D54</f>
        <v>0</v>
      </c>
      <c r="E10" s="478">
        <f>transport!E54</f>
        <v>0</v>
      </c>
      <c r="F10" s="478">
        <f>transport!F54</f>
        <v>0</v>
      </c>
      <c r="G10" s="478">
        <f>transport!G54</f>
        <v>3447.3672386603616</v>
      </c>
      <c r="H10" s="478">
        <f>transport!H54</f>
        <v>0</v>
      </c>
      <c r="I10" s="478">
        <f>transport!I54</f>
        <v>0</v>
      </c>
      <c r="J10" s="478">
        <f>transport!J54</f>
        <v>0</v>
      </c>
      <c r="K10" s="478">
        <f>transport!K54</f>
        <v>0</v>
      </c>
      <c r="L10" s="478">
        <f>transport!L54</f>
        <v>0</v>
      </c>
      <c r="M10" s="478">
        <f>transport!M54</f>
        <v>191.60505255497401</v>
      </c>
      <c r="N10" s="478">
        <f>transport!N54</f>
        <v>0</v>
      </c>
      <c r="O10" s="478">
        <f>transport!O54</f>
        <v>0</v>
      </c>
      <c r="P10" s="479">
        <f>transport!P54</f>
        <v>0</v>
      </c>
      <c r="Q10" s="477">
        <f t="shared" si="0"/>
        <v>3638.9722912153356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607.86584199999993</v>
      </c>
      <c r="C14" s="485"/>
      <c r="D14" s="485">
        <f>'SEAP template'!E25</f>
        <v>775.702</v>
      </c>
      <c r="E14" s="485"/>
      <c r="F14" s="485"/>
      <c r="G14" s="485"/>
      <c r="H14" s="485"/>
      <c r="I14" s="485"/>
      <c r="J14" s="485"/>
      <c r="K14" s="485"/>
      <c r="L14" s="485"/>
      <c r="M14" s="485"/>
      <c r="N14" s="485"/>
      <c r="O14" s="485"/>
      <c r="P14" s="486"/>
      <c r="Q14" s="477">
        <f t="shared" si="0"/>
        <v>1383.5678419999999</v>
      </c>
    </row>
    <row r="15" spans="1:17" s="489" customFormat="1">
      <c r="A15" s="487" t="s">
        <v>549</v>
      </c>
      <c r="B15" s="488">
        <f ca="1">SUM(B4:B14)</f>
        <v>46530.014442991203</v>
      </c>
      <c r="C15" s="488">
        <f t="shared" ref="C15:Q15" ca="1" si="1">SUM(C4:C14)</f>
        <v>0</v>
      </c>
      <c r="D15" s="488">
        <f t="shared" ca="1" si="1"/>
        <v>43866.081019920653</v>
      </c>
      <c r="E15" s="488">
        <f t="shared" si="1"/>
        <v>7767.2965427717045</v>
      </c>
      <c r="F15" s="488">
        <f t="shared" ca="1" si="1"/>
        <v>49757.98214285812</v>
      </c>
      <c r="G15" s="488">
        <f t="shared" si="1"/>
        <v>56292.263147095102</v>
      </c>
      <c r="H15" s="488">
        <f t="shared" si="1"/>
        <v>12447.792753612428</v>
      </c>
      <c r="I15" s="488">
        <f t="shared" si="1"/>
        <v>0</v>
      </c>
      <c r="J15" s="488">
        <f t="shared" si="1"/>
        <v>208.50480901728082</v>
      </c>
      <c r="K15" s="488">
        <f t="shared" si="1"/>
        <v>0</v>
      </c>
      <c r="L15" s="488">
        <f t="shared" ca="1" si="1"/>
        <v>0</v>
      </c>
      <c r="M15" s="488">
        <f t="shared" si="1"/>
        <v>4056.8120931104477</v>
      </c>
      <c r="N15" s="488">
        <f t="shared" ca="1" si="1"/>
        <v>8111.0029073191035</v>
      </c>
      <c r="O15" s="488">
        <f t="shared" si="1"/>
        <v>449.17863234328343</v>
      </c>
      <c r="P15" s="488">
        <f t="shared" si="1"/>
        <v>1063.537915380397</v>
      </c>
      <c r="Q15" s="488">
        <f t="shared" ca="1" si="1"/>
        <v>230550.4664064197</v>
      </c>
    </row>
    <row r="17" spans="1:17">
      <c r="A17" s="490" t="s">
        <v>550</v>
      </c>
      <c r="B17" s="807">
        <f ca="1">huishoudens!B10</f>
        <v>0.19044855625979434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4975.2882765835366</v>
      </c>
      <c r="C22" s="478">
        <f t="shared" ref="C22:C32" ca="1" si="3">C4*$C$17</f>
        <v>0</v>
      </c>
      <c r="D22" s="478">
        <f t="shared" ref="D22:D32" si="4">D4*$D$17</f>
        <v>6803.5176119746002</v>
      </c>
      <c r="E22" s="478">
        <f t="shared" ref="E22:E32" si="5">E4*$E$17</f>
        <v>1586.5415494982708</v>
      </c>
      <c r="F22" s="478">
        <f t="shared" ref="F22:F32" si="6">F4*$F$17</f>
        <v>11772.444341931892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25137.7917799883</v>
      </c>
    </row>
    <row r="23" spans="1:17">
      <c r="A23" s="477" t="s">
        <v>155</v>
      </c>
      <c r="B23" s="478">
        <f t="shared" ca="1" si="2"/>
        <v>2905.3937156608849</v>
      </c>
      <c r="C23" s="478">
        <f t="shared" ca="1" si="3"/>
        <v>0</v>
      </c>
      <c r="D23" s="478">
        <f t="shared" ca="1" si="4"/>
        <v>1706.8395351586041</v>
      </c>
      <c r="E23" s="478">
        <f t="shared" si="5"/>
        <v>46.185447075252547</v>
      </c>
      <c r="F23" s="478">
        <f t="shared" ca="1" si="6"/>
        <v>428.9331979810222</v>
      </c>
      <c r="G23" s="478">
        <f t="shared" si="7"/>
        <v>0</v>
      </c>
      <c r="H23" s="478">
        <f t="shared" si="8"/>
        <v>0</v>
      </c>
      <c r="I23" s="478">
        <f t="shared" si="9"/>
        <v>0</v>
      </c>
      <c r="J23" s="478">
        <f t="shared" si="10"/>
        <v>2.4759000155196607E-3</v>
      </c>
      <c r="K23" s="478">
        <f t="shared" si="11"/>
        <v>0</v>
      </c>
      <c r="L23" s="478">
        <f t="shared" ca="1" si="12"/>
        <v>0</v>
      </c>
      <c r="M23" s="478">
        <f t="shared" si="13"/>
        <v>0</v>
      </c>
      <c r="N23" s="478">
        <f t="shared" ca="1" si="14"/>
        <v>0</v>
      </c>
      <c r="O23" s="478">
        <f t="shared" si="15"/>
        <v>0</v>
      </c>
      <c r="P23" s="479">
        <f t="shared" si="16"/>
        <v>0</v>
      </c>
      <c r="Q23" s="477">
        <f t="shared" ref="Q23:Q31" ca="1" si="17">SUM(B23:P23)</f>
        <v>5087.3543717757784</v>
      </c>
    </row>
    <row r="24" spans="1:17">
      <c r="A24" s="477" t="s">
        <v>193</v>
      </c>
      <c r="B24" s="478">
        <f t="shared" ca="1" si="2"/>
        <v>168.02495279720989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168.02495279720989</v>
      </c>
    </row>
    <row r="25" spans="1:17">
      <c r="A25" s="477" t="s">
        <v>111</v>
      </c>
      <c r="B25" s="478">
        <f t="shared" ca="1" si="2"/>
        <v>137.23172910560592</v>
      </c>
      <c r="C25" s="478">
        <f t="shared" ca="1" si="3"/>
        <v>0</v>
      </c>
      <c r="D25" s="478">
        <f t="shared" si="4"/>
        <v>6.7185902960000004</v>
      </c>
      <c r="E25" s="478">
        <f t="shared" si="5"/>
        <v>5.1049546439468312</v>
      </c>
      <c r="F25" s="478">
        <f t="shared" si="6"/>
        <v>679.93636704515029</v>
      </c>
      <c r="G25" s="478">
        <f t="shared" si="7"/>
        <v>0</v>
      </c>
      <c r="H25" s="478">
        <f t="shared" si="8"/>
        <v>0</v>
      </c>
      <c r="I25" s="478">
        <f t="shared" si="9"/>
        <v>0</v>
      </c>
      <c r="J25" s="478">
        <f t="shared" si="10"/>
        <v>70.276908404571756</v>
      </c>
      <c r="K25" s="478">
        <f t="shared" si="11"/>
        <v>0</v>
      </c>
      <c r="L25" s="478">
        <f t="shared" si="12"/>
        <v>0</v>
      </c>
      <c r="M25" s="478">
        <f t="shared" si="13"/>
        <v>0</v>
      </c>
      <c r="N25" s="478">
        <f t="shared" si="14"/>
        <v>0</v>
      </c>
      <c r="O25" s="478">
        <f t="shared" si="15"/>
        <v>0</v>
      </c>
      <c r="P25" s="479">
        <f t="shared" si="16"/>
        <v>0</v>
      </c>
      <c r="Q25" s="477">
        <f t="shared" ca="1" si="17"/>
        <v>899.26854949527478</v>
      </c>
    </row>
    <row r="26" spans="1:17">
      <c r="A26" s="477" t="s">
        <v>629</v>
      </c>
      <c r="B26" s="478">
        <f t="shared" ca="1" si="2"/>
        <v>552.52830452520163</v>
      </c>
      <c r="C26" s="478">
        <f t="shared" ca="1" si="3"/>
        <v>0</v>
      </c>
      <c r="D26" s="478">
        <f t="shared" si="4"/>
        <v>153.28664913539998</v>
      </c>
      <c r="E26" s="478">
        <f t="shared" si="5"/>
        <v>96.349645236151247</v>
      </c>
      <c r="F26" s="478">
        <f t="shared" si="6"/>
        <v>404.06732518505328</v>
      </c>
      <c r="G26" s="478">
        <f t="shared" si="7"/>
        <v>0</v>
      </c>
      <c r="H26" s="478">
        <f t="shared" si="8"/>
        <v>0</v>
      </c>
      <c r="I26" s="478">
        <f t="shared" si="9"/>
        <v>0</v>
      </c>
      <c r="J26" s="478">
        <f t="shared" si="10"/>
        <v>3.5313180875301331</v>
      </c>
      <c r="K26" s="478">
        <f t="shared" si="11"/>
        <v>0</v>
      </c>
      <c r="L26" s="478">
        <f t="shared" si="12"/>
        <v>0</v>
      </c>
      <c r="M26" s="478">
        <f t="shared" si="13"/>
        <v>0</v>
      </c>
      <c r="N26" s="478">
        <f t="shared" si="14"/>
        <v>0</v>
      </c>
      <c r="O26" s="478">
        <f t="shared" si="15"/>
        <v>0</v>
      </c>
      <c r="P26" s="479">
        <f t="shared" si="16"/>
        <v>0</v>
      </c>
      <c r="Q26" s="477">
        <f t="shared" ca="1" si="17"/>
        <v>1209.7632421693361</v>
      </c>
    </row>
    <row r="27" spans="1:17" s="483" customFormat="1">
      <c r="A27" s="481" t="s">
        <v>555</v>
      </c>
      <c r="B27" s="801">
        <f t="shared" ca="1" si="2"/>
        <v>7.3399227340717976</v>
      </c>
      <c r="C27" s="482">
        <f t="shared" ca="1" si="3"/>
        <v>0</v>
      </c>
      <c r="D27" s="482">
        <f t="shared" si="4"/>
        <v>33.894175459367304</v>
      </c>
      <c r="E27" s="482">
        <f t="shared" si="5"/>
        <v>28.994718755555521</v>
      </c>
      <c r="F27" s="482">
        <f t="shared" si="6"/>
        <v>0</v>
      </c>
      <c r="G27" s="482">
        <f t="shared" si="7"/>
        <v>14109.587207552075</v>
      </c>
      <c r="H27" s="482">
        <f t="shared" si="8"/>
        <v>3099.5003956494947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17279.316420150564</v>
      </c>
    </row>
    <row r="28" spans="1:17" ht="16.5" customHeight="1">
      <c r="A28" s="477" t="s">
        <v>545</v>
      </c>
      <c r="B28" s="478">
        <f t="shared" ca="1" si="2"/>
        <v>0</v>
      </c>
      <c r="C28" s="478">
        <f t="shared" ca="1" si="3"/>
        <v>0</v>
      </c>
      <c r="D28" s="478">
        <f t="shared" si="4"/>
        <v>0</v>
      </c>
      <c r="E28" s="478">
        <f t="shared" si="5"/>
        <v>0</v>
      </c>
      <c r="F28" s="478">
        <f t="shared" si="6"/>
        <v>0</v>
      </c>
      <c r="G28" s="478">
        <f t="shared" si="7"/>
        <v>920.44705272231658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920.44705272231658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115.76717200854425</v>
      </c>
      <c r="C32" s="478">
        <f t="shared" ca="1" si="3"/>
        <v>0</v>
      </c>
      <c r="D32" s="478">
        <f t="shared" si="4"/>
        <v>156.69180400000002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272.45897600854425</v>
      </c>
    </row>
    <row r="33" spans="1:17" s="489" customFormat="1">
      <c r="A33" s="487" t="s">
        <v>549</v>
      </c>
      <c r="B33" s="488">
        <f ca="1">SUM(B22:B32)</f>
        <v>8861.574073415055</v>
      </c>
      <c r="C33" s="488">
        <f t="shared" ref="C33:Q33" ca="1" si="19">SUM(C22:C32)</f>
        <v>0</v>
      </c>
      <c r="D33" s="488">
        <f t="shared" ca="1" si="19"/>
        <v>8860.9483660239694</v>
      </c>
      <c r="E33" s="488">
        <f t="shared" si="19"/>
        <v>1763.1763152091771</v>
      </c>
      <c r="F33" s="488">
        <f t="shared" ca="1" si="19"/>
        <v>13285.381232143118</v>
      </c>
      <c r="G33" s="488">
        <f t="shared" si="19"/>
        <v>15030.034260274391</v>
      </c>
      <c r="H33" s="488">
        <f t="shared" si="19"/>
        <v>3099.5003956494947</v>
      </c>
      <c r="I33" s="488">
        <f t="shared" si="19"/>
        <v>0</v>
      </c>
      <c r="J33" s="488">
        <f t="shared" si="19"/>
        <v>73.81070239211742</v>
      </c>
      <c r="K33" s="488">
        <f t="shared" si="19"/>
        <v>0</v>
      </c>
      <c r="L33" s="488">
        <f t="shared" ca="1" si="19"/>
        <v>0</v>
      </c>
      <c r="M33" s="488">
        <f t="shared" si="19"/>
        <v>0</v>
      </c>
      <c r="N33" s="488">
        <f t="shared" ca="1" si="19"/>
        <v>0</v>
      </c>
      <c r="O33" s="488">
        <f t="shared" si="19"/>
        <v>0</v>
      </c>
      <c r="P33" s="488">
        <f t="shared" si="19"/>
        <v>0</v>
      </c>
      <c r="Q33" s="488">
        <f t="shared" ca="1" si="19"/>
        <v>50974.425345107324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5617.8942012941316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814.5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2327.1428571428573</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6432.3942012941316</v>
      </c>
      <c r="C10" s="1064">
        <f>SUM(C4:C9)</f>
        <v>0</v>
      </c>
      <c r="D10" s="1064">
        <f t="shared" ref="D10:H10" si="0">SUM(D8:D9)</f>
        <v>0</v>
      </c>
      <c r="E10" s="1064">
        <f t="shared" si="0"/>
        <v>0</v>
      </c>
      <c r="F10" s="1064">
        <f t="shared" si="0"/>
        <v>0</v>
      </c>
      <c r="G10" s="1064">
        <f t="shared" si="0"/>
        <v>0</v>
      </c>
      <c r="H10" s="1064">
        <f t="shared" si="0"/>
        <v>0</v>
      </c>
      <c r="I10" s="1064">
        <f>SUM(I8:I9)</f>
        <v>0</v>
      </c>
      <c r="J10" s="1064">
        <f>SUM(J8:J9)</f>
        <v>2327.1428571428573</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0.19044855625979434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0.19044855625979434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2019-06-29T17:09:27Z</dcterms:modified>
</cp:coreProperties>
</file>