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E20" i="59"/>
  <c r="B13" i="15"/>
  <c r="F6" i="17"/>
  <c r="F8" s="1"/>
  <c r="G24" i="14" s="1"/>
  <c r="G26" s="1"/>
  <c r="O20" i="59"/>
  <c r="N20"/>
  <c r="D16" i="16"/>
  <c r="F16"/>
  <c r="F30" i="48"/>
  <c r="F32"/>
  <c r="N30"/>
  <c r="N32"/>
  <c r="C13" i="15"/>
  <c r="L6" i="17"/>
  <c r="L5" s="1"/>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E78" i="14" l="1"/>
  <c r="E9" i="59"/>
  <c r="E10" s="1"/>
  <c r="H90" i="14"/>
  <c r="H18" i="59"/>
  <c r="H20" s="1"/>
  <c r="H78" i="14"/>
  <c r="H9" i="59"/>
  <c r="H10" s="1"/>
  <c r="N78" i="14"/>
  <c r="N9" i="59"/>
  <c r="N10" s="1"/>
  <c r="I33" i="48"/>
  <c r="J7"/>
  <c r="J25" s="1"/>
  <c r="K33"/>
  <c r="K15"/>
  <c r="M24"/>
  <c r="M32"/>
  <c r="O78" i="14"/>
  <c r="O9" i="59"/>
  <c r="O10" s="1"/>
  <c r="G78" i="14"/>
  <c r="G9" i="59"/>
  <c r="G10" s="1"/>
  <c r="I15" i="48"/>
  <c r="J16" i="14"/>
  <c r="J27" s="1"/>
  <c r="I20" i="15"/>
  <c r="J40" i="14" s="1"/>
  <c r="J46" s="1"/>
  <c r="J61" s="1"/>
  <c r="P22" i="48"/>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E27" i="14" l="1"/>
  <c r="C10" i="18"/>
  <c r="I90" i="14"/>
  <c r="I17" i="59"/>
  <c r="I20" s="1"/>
  <c r="B15" i="48"/>
  <c r="O33"/>
  <c r="D15"/>
  <c r="J78" i="14"/>
  <c r="J8" i="59"/>
  <c r="J10" s="1"/>
  <c r="D90" i="14"/>
  <c r="D17" i="59"/>
  <c r="D20" s="1"/>
  <c r="O15" i="48"/>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J90" i="14"/>
  <c r="J17" i="59"/>
  <c r="J20" s="1"/>
  <c r="Q90" i="14"/>
  <c r="B17" i="6" s="1"/>
  <c r="P17" i="59"/>
  <c r="P2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<sst xmlns="http://schemas.openxmlformats.org/spreadsheetml/2006/main" count="2367" uniqueCount="882">
  <si>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</si>
  <si>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</si>
  <si>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</si>
  <si>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</si>
  <si>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</si>
  <si>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</si>
  <si>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</si>
  <si>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</si>
  <si>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</si>
  <si>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</si>
  <si>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</si>
  <si>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</si>
  <si>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</si>
  <si>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</si>
  <si>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</si>
  <si>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</si>
  <si>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</si>
  <si>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</si>
  <si>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</si>
  <si>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</si>
  <si>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</si>
  <si>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</si>
  <si>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</si>
  <si>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</si>
  <si>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</si>
  <si>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</si>
  <si>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</si>
  <si>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</si>
  <si>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</si>
  <si>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</si>
  <si>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</si>
  <si>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</si>
  <si>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</si>
  <si>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</si>
  <si>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</si>
  <si>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</si>
  <si>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</si>
  <si>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</si>
  <si>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</si>
  <si>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</si>
  <si>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</si>
  <si>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</si>
  <si>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</si>
  <si>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</si>
  <si>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</si>
  <si>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</si>
  <si>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</si>
  <si>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</si>
  <si>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</si>
  <si>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</si>
  <si>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</si>
  <si>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</si>
  <si>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</si>
  <si>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</si>
  <si>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</si>
  <si>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</si>
  <si>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</si>
  <si>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</si>
  <si>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</si>
  <si>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</si>
  <si>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</si>
  <si>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</si>
  <si>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</si>
  <si>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</si>
  <si>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</si>
  <si>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</si>
  <si>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</si>
  <si>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</si>
  <si>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</si>
  <si>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</si>
  <si>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</si>
  <si>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</si>
  <si>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</si>
  <si>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</si>
  <si>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</si>
  <si>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</si>
  <si>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</si>
  <si>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</si>
  <si>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</si>
  <si>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</si>
  <si>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</si>
  <si>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</si>
  <si>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</si>
  <si>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</si>
  <si>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</si>
  <si>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</si>
  <si>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</si>
  <si>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</si>
  <si>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</si>
  <si>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</si>
  <si>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</si>
  <si>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</si>
  <si>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</si>
  <si>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</si>
  <si>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</si>
  <si>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</si>
  <si>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</si>
  <si>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</si>
  <si>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</si>
  <si>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</si>
  <si>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</si>
  <si>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</si>
  <si>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</si>
  <si>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</si>
  <si>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</si>
  <si>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</si>
  <si>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</si>
  <si>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</si>
  <si>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</si>
  <si>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</si>
  <si>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</si>
  <si>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</si>
  <si>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</si>
  <si>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</si>
  <si>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</si>
  <si>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</si>
  <si>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</si>
  <si>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</si>
  <si>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</si>
  <si>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</si>
  <si>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</si>
  <si>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</si>
  <si>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</si>
  <si>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</si>
  <si>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</si>
  <si>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</si>
  <si>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</si>
  <si>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</si>
  <si>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</si>
  <si>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</si>
  <si>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</si>
  <si>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</si>
  <si>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</si>
  <si>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</si>
  <si>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</si>
  <si>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</si>
  <si>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</si>
  <si>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</si>
  <si>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</si>
  <si>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</si>
  <si>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</si>
  <si>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</si>
  <si>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</si>
  <si>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</si>
  <si>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</si>
  <si>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</si>
  <si>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</si>
  <si>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</si>
  <si>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</si>
  <si>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</si>
  <si>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</si>
  <si>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</si>
  <si>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</si>
  <si>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</si>
  <si>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</si>
  <si>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</si>
  <si>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</si>
  <si>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</si>
  <si>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</si>
  <si>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</si>
  <si>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</si>
  <si>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</si>
  <si>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</si>
  <si>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</si>
  <si>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</si>
  <si>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</si>
  <si>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</si>
  <si>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</si>
  <si>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</si>
  <si>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</si>
  <si>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</si>
  <si>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</si>
  <si>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</si>
  <si>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</si>
  <si>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</si>
  <si>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</si>
  <si>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</si>
  <si>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</si>
  <si>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</si>
  <si>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</si>
  <si>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</si>
  <si>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</si>
  <si>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</si>
  <si>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</si>
  <si>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</si>
  <si>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</si>
  <si>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</si>
  <si>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</si>
  <si>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</si>
  <si>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</si>
  <si>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</si>
  <si>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</si>
  <si>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</si>
  <si>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</si>
  <si>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</si>
  <si>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</si>
  <si>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</si>
  <si>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</si>
  <si>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</si>
  <si>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</si>
  <si>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</si>
  <si>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</si>
  <si>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</si>
  <si>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</si>
  <si>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</si>
  <si>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</si>
  <si>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</si>
  <si>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</si>
  <si>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</si>
  <si>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</si>
  <si>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</si>
  <si>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</si>
  <si>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</si>
  <si>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</si>
  <si>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</si>
  <si>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</si>
  <si>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</si>
  <si>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</si>
  <si>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</si>
  <si>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</si>
  <si>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</si>
  <si>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</si>
  <si>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</si>
  <si>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</si>
  <si>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</si>
  <si>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</si>
  <si>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</si>
  <si>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</si>
  <si>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</si>
  <si>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</si>
  <si>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</si>
  <si>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</si>
  <si>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</si>
  <si>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</si>
  <si>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</si>
  <si>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</si>
  <si>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</si>
  <si>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</si>
  <si>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</si>
  <si>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</si>
  <si>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</si>
  <si>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</si>
  <si>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</si>
  <si>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</si>
  <si>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</si>
  <si>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</si>
  <si>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</si>
  <si>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</si>
  <si>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</si>
  <si>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</si>
  <si>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</si>
  <si>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</si>
  <si>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</si>
  <si>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</si>
  <si>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</si>
  <si>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</si>
  <si>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</si>
  <si>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</si>
  <si>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</si>
  <si>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</si>
  <si>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</si>
  <si>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</si>
  <si>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</si>
  <si>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</si>
  <si>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</si>
  <si>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</si>
  <si>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</si>
  <si>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</si>
  <si>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</si>
  <si>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</si>
  <si>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</si>
  <si>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</si>
  <si>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</si>
  <si>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</si>
  <si>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</si>
  <si>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</si>
  <si>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</si>
  <si>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</si>
  <si>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</si>
  <si>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</si>
  <si>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</si>
  <si>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</si>
  <si>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</si>
  <si>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</si>
  <si>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</si>
  <si>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</si>
  <si>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</si>
  <si>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</si>
  <si>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</si>
  <si>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</si>
  <si>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</si>
  <si>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</si>
  <si>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</si>
  <si>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</si>
  <si>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</si>
  <si>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</si>
  <si>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</si>
  <si>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</si>
  <si>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</si>
  <si>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</si>
  <si>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</si>
  <si>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</si>
  <si>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</si>
  <si>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</si>
  <si>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</si>
  <si>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</si>
  <si>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</si>
  <si>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</si>
  <si>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</si>
  <si>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</si>
  <si>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</si>
  <si>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</si>
  <si>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</si>
  <si>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</si>
  <si>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</si>
  <si>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</si>
  <si>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</si>
  <si>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</si>
  <si>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</si>
  <si>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</si>
  <si>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</si>
  <si>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</si>
  <si>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</si>
  <si>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</si>
  <si>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</si>
  <si>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</si>
  <si>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</si>
  <si>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</si>
  <si>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</si>
  <si>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</si>
  <si>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</si>
  <si>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</si>
  <si>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</si>
  <si>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</si>
  <si>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</si>
  <si>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</si>
  <si>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</si>
  <si>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</si>
  <si>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</si>
  <si>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</si>
  <si>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</si>
  <si>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</si>
  <si>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</si>
  <si>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</si>
  <si>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</si>
  <si>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</si>
  <si>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</si>
  <si>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</si>
  <si>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</si>
  <si>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</si>
  <si>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</si>
  <si>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</si>
  <si>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</si>
  <si>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</si>
  <si>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</si>
  <si>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</si>
  <si>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</si>
  <si>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</si>
  <si>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</si>
  <si>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</si>
  <si>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</si>
  <si>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</si>
  <si>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</si>
  <si>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</si>
  <si>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</si>
  <si>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</si>
  <si>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</si>
  <si>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</si>
  <si>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</si>
  <si>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</si>
  <si>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</si>
  <si>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</si>
  <si>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</si>
  <si>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</si>
  <si>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</si>
  <si>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</si>
  <si>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</si>
  <si>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</si>
  <si>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</si>
  <si>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</si>
  <si>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</si>
  <si>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</si>
  <si>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</si>
  <si>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</si>
  <si>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</si>
  <si>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</si>
  <si>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</si>
  <si>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</si>
  <si>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</si>
  <si>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</si>
  <si>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</si>
  <si>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</si>
  <si>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</si>
  <si>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</si>
  <si>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</si>
  <si>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</si>
  <si>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</si>
  <si>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</si>
  <si>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</si>
  <si>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</si>
  <si>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</si>
  <si>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</si>
  <si>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</si>
  <si>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</si>
  <si>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</si>
  <si>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</si>
  <si>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</si>
  <si>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</si>
  <si>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</si>
  <si>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</si>
  <si>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</si>
  <si>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</si>
  <si>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</si>
  <si>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</si>
  <si>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</si>
  <si>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</si>
  <si>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</si>
  <si>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</si>
  <si>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</si>
  <si>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</si>
  <si>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</si>
  <si>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</si>
  <si>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</si>
  <si>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</si>
  <si>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</si>
  <si>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</si>
  <si>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</si>
  <si>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</si>
  <si>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</si>
  <si>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</si>
  <si>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</si>
  <si>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</si>
  <si>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</si>
  <si>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</si>
  <si>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</si>
  <si>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</si>
  <si>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</si>
  <si>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</si>
  <si>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</si>
  <si>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</si>
  <si>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</si>
  <si>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</si>
  <si>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</si>
  <si>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</si>
  <si>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</si>
  <si>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</si>
  <si>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</si>
  <si>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</si>
  <si>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</si>
  <si>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</si>
  <si>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</si>
  <si>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</si>
  <si>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</si>
  <si>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</si>
  <si>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</si>
  <si>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</si>
  <si>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</si>
  <si>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</si>
  <si>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</si>
  <si>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</si>
  <si>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</si>
  <si>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</si>
  <si>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</si>
  <si>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</si>
  <si>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</si>
  <si>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</si>
  <si>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</si>
  <si>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</si>
  <si>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</si>
  <si>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</si>
  <si>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</si>
  <si>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</si>
  <si>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</si>
  <si>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</si>
  <si>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</si>
  <si>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</si>
  <si>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</si>
  <si>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</si>
  <si>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</si>
  <si>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</si>
  <si>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</si>
  <si>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</si>
  <si>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</si>
  <si>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</si>
  <si>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</si>
  <si>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</si>
  <si>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</si>
  <si>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</si>
  <si>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</si>
  <si>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</si>
  <si>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</si>
  <si>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</si>
  <si>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</si>
  <si>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</si>
  <si>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</si>
  <si>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</si>
  <si>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</si>
  <si>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</si>
  <si>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</si>
  <si>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</si>
  <si>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</si>
  <si>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</si>
  <si>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</si>
  <si>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</si>
  <si>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</si>
  <si>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</si>
  <si>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</si>
  <si>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</si>
  <si>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</si>
  <si>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</si>
  <si>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</si>
  <si>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</si>
  <si>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</si>
  <si>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</si>
  <si>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</si>
  <si>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</si>
  <si>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</si>
  <si>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</si>
  <si>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</si>
  <si>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</si>
  <si>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</si>
  <si>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</si>
  <si>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</si>
  <si>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</si>
  <si>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</si>
  <si>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</si>
  <si>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</si>
  <si>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</si>
  <si>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</si>
  <si>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</si>
  <si>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</si>
  <si>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</si>
  <si>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</si>
  <si>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</si>
  <si>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</si>
  <si>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</si>
  <si>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</si>
  <si>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</si>
  <si>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</si>
  <si>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</si>
  <si>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</si>
  <si>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</si>
  <si>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</si>
  <si>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</si>
  <si>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</si>
  <si>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</si>
  <si>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</si>
  <si>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</si>
  <si>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</si>
  <si>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</si>
  <si>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</si>
  <si>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</si>
  <si>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</si>
  <si>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</si>
  <si>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</si>
  <si>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</si>
  <si>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</si>
  <si>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</si>
  <si>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</si>
  <si>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</si>
  <si>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</si>
  <si>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</si>
  <si>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</si>
  <si>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</si>
  <si>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</si>
  <si>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</si>
  <si>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</si>
  <si>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</si>
  <si>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</si>
  <si>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</si>
  <si>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</si>
  <si>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</si>
  <si>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</si>
  <si>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</si>
  <si>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</si>
  <si>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</si>
  <si>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</si>
  <si>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</si>
  <si>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</si>
  <si>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</si>
  <si>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</si>
  <si>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</si>
  <si>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</si>
  <si>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</si>
  <si>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</si>
  <si>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</si>
  <si>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</si>
  <si>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</si>
  <si>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</si>
  <si>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</si>
  <si>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</si>
  <si>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</si>
  <si>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</si>
  <si>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</si>
  <si>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</si>
  <si>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</si>
  <si>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</si>
  <si>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</si>
  <si>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</si>
  <si>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</si>
  <si>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</si>
  <si>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</si>
  <si>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</si>
  <si>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</si>
  <si>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</si>
  <si>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</si>
  <si>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</si>
  <si>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</si>
  <si>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</si>
  <si>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</si>
  <si>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</si>
  <si>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</si>
  <si>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</si>
  <si>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</si>
  <si>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</si>
  <si>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</si>
  <si>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</si>
  <si>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</si>
  <si>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</si>
  <si>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</si>
  <si>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</si>
  <si>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</si>
  <si>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</si>
  <si>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</si>
  <si>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</si>
  <si>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</si>
  <si>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</si>
  <si>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</si>
  <si>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</si>
  <si>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</si>
  <si>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</si>
  <si>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</si>
  <si>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</si>
  <si>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</si>
  <si>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</si>
  <si>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</si>
  <si>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</si>
  <si>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</si>
  <si>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</si>
  <si>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</si>
  <si>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</si>
  <si>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</si>
  <si>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</si>
  <si>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</si>
  <si>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</si>
  <si>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</si>
  <si>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</si>
  <si>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</si>
  <si>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</si>
  <si>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</si>
  <si>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</si>
  <si>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</si>
  <si>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</si>
  <si>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</si>
  <si>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</si>
  <si>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</si>
  <si>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</si>
  <si>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</si>
  <si>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</si>
  <si>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</si>
  <si>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</si>
  <si>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</si>
  <si>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</si>
  <si>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</si>
  <si>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</si>
  <si>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</si>
  <si>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</si>
  <si>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</si>
  <si>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</si>
  <si>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</si>
  <si>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</si>
  <si>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</si>
  <si>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</si>
  <si>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</si>
  <si>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</si>
  <si>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</si>
  <si>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</si>
  <si>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</si>
  <si>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</si>
  <si>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</si>
  <si>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</si>
  <si>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</si>
  <si>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</si>
  <si>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</si>
  <si>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</si>
  <si>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</si>
  <si>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</si>
  <si>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</si>
  <si>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</si>
  <si>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</si>
  <si>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</si>
  <si>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</si>
  <si>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</si>
  <si>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</si>
  <si>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</si>
  <si>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</si>
  <si>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</si>
  <si>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</si>
  <si>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</si>
  <si>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</si>
  <si>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</si>
  <si>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</si>
  <si>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</si>
  <si>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</si>
  <si>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</si>
  <si>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</si>
  <si>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</si>
  <si>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</si>
  <si>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</si>
  <si>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</si>
  <si>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</si>
  <si>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</si>
  <si>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</si>
  <si>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</si>
  <si>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</si>
  <si>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</si>
  <si>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</si>
  <si>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</si>
  <si>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</si>
  <si>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</si>
  <si>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</si>
  <si>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</si>
  <si>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</si>
  <si>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</si>
  <si>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</si>
  <si>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</si>
  <si>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</si>
  <si>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</si>
  <si>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</si>
  <si>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</si>
  <si>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</si>
  <si>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</si>
  <si>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</si>
  <si>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</si>
  <si>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</si>
  <si>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</si>
  <si>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</si>
  <si>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</si>
  <si>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</si>
  <si>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</si>
  <si>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</si>
  <si>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</si>
  <si>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</si>
  <si>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</si>
  <si>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</si>
  <si>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</si>
  <si>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</si>
  <si>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</si>
  <si>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</si>
  <si>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</si>
  <si>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</si>
  <si>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</si>
  <si>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</si>
  <si>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</si>
  <si>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</si>
  <si>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</si>
  <si>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</si>
  <si>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</si>
  <si>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</si>
  <si>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</si>
  <si>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</si>
  <si>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</si>
  <si>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</si>
  <si>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</si>
  <si>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</si>
  <si>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</si>
  <si>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</si>
  <si>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</si>
  <si>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</si>
  <si>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</si>
  <si>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</si>
  <si>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</si>
  <si>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</si>
  <si>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</si>
  <si>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</si>
  <si>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</si>
  <si>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</si>
  <si>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</si>
  <si>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</si>
  <si>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</si>
  <si>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</si>
  <si>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</si>
  <si>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</si>
  <si>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</si>
  <si>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</si>
  <si>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</si>
  <si>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</si>
  <si>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</si>
  <si>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</si>
  <si>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</si>
  <si>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</si>
  <si>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</si>
  <si>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</si>
  <si>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</si>
  <si>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</si>
  <si>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</si>
  <si>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</si>
  <si>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</si>
  <si>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</si>
  <si>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</si>
  <si>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</si>
  <si>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</si>
  <si>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</si>
  <si>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</si>
  <si>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</si>
  <si>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</si>
  <si>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</si>
  <si>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</si>
  <si>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</si>
  <si>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</si>
  <si>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</si>
  <si>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</si>
  <si>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</si>
  <si>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</si>
  <si>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</si>
  <si>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</si>
  <si>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</si>
  <si>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</si>
  <si>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</si>
  <si>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</si>
  <si>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</si>
  <si>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</si>
  <si>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</si>
  <si>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</si>
  <si>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</si>
  <si>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</si>
  <si>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</si>
  <si>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</si>
  <si>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</si>
  <si>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</si>
  <si>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</si>
  <si>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</si>
  <si>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</si>
  <si>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</si>
  <si>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</si>
  <si>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</si>
  <si>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</si>
  <si>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</si>
  <si>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</si>
  <si>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</si>
  <si>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</si>
  <si>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</si>
  <si>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</si>
  <si>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</si>
  <si>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</si>
  <si>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</si>
  <si>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</si>
  <si>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</si>
  <si>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</si>
  <si>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</si>
  <si>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</si>
  <si>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</si>
  <si>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</si>
  <si>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</si>
  <si>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</si>
  <si>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</si>
  <si>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</si>
  <si>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</si>
  <si>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</si>
  <si>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</si>
  <si>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</si>
  <si>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</si>
  <si>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</si>
  <si>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</si>
  <si>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</si>
  <si>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</si>
  <si>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</si>
  <si>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</si>
  <si>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</si>
  <si>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</si>
  <si>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</si>
  <si>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</si>
  <si>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</si>
  <si>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</si>
  <si>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23100</t>
  </si>
  <si>
    <t>LINKEBEEK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</si>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</sst>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43083.56896529434</c:v>
                </c:pt>
                <c:pt idx="1">
                  <c:v>14450.584722246676</c:v>
                </c:pt>
                <c:pt idx="2">
                  <c:v>298.09500000000003</c:v>
                </c:pt>
                <c:pt idx="3">
                  <c:v>499.92660600251588</c:v>
                </c:pt>
                <c:pt idx="4">
                  <c:v>1069.1391060385979</c:v>
                </c:pt>
                <c:pt idx="5">
                  <c:v>16373.947524077572</c:v>
                </c:pt>
                <c:pt idx="6">
                  <c:v>264.17791370803184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2416"/>
        <c:axId val="160413952"/>
      </c:barChart>
      <c:catAx>
        <c:axId val="160412416"/>
        <c:scaling>
          <c:orientation val="minMax"/>
        </c:scaling>
        <c:axPos val="b"/>
        <c:numFmt formatCode="General" sourceLinked="0"/>
        <c:tickLblPos val="nextTo"/>
        <c:crossAx val="160413952"/>
        <c:crosses val="autoZero"/>
        <c:auto val="1"/>
        <c:lblAlgn val="ctr"/>
        <c:lblOffset val="100"/>
      </c:catAx>
      <c:valAx>
        <c:axId val="160413952"/>
        <c:scaling>
          <c:orientation val="minMax"/>
        </c:scaling>
        <c:axPos val="l"/>
        <c:majorGridlines/>
        <c:numFmt formatCode="#,##0" sourceLinked="1"/>
        <c:tickLblPos val="nextTo"/>
        <c:crossAx val="160412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43083.56896529434</c:v>
                </c:pt>
                <c:pt idx="1">
                  <c:v>14450.584722246676</c:v>
                </c:pt>
                <c:pt idx="2">
                  <c:v>298.09500000000003</c:v>
                </c:pt>
                <c:pt idx="3">
                  <c:v>499.92660600251588</c:v>
                </c:pt>
                <c:pt idx="4">
                  <c:v>1069.1391060385979</c:v>
                </c:pt>
                <c:pt idx="5">
                  <c:v>16373.947524077572</c:v>
                </c:pt>
                <c:pt idx="6">
                  <c:v>264.17791370803184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8639.9468174702997</c:v>
                </c:pt>
                <c:pt idx="1">
                  <c:v>2965.1045388458447</c:v>
                </c:pt>
                <c:pt idx="2">
                  <c:v>65.07825851657644</c:v>
                </c:pt>
                <c:pt idx="3">
                  <c:v>125.86042477703197</c:v>
                </c:pt>
                <c:pt idx="4">
                  <c:v>225.98969265144459</c:v>
                </c:pt>
                <c:pt idx="5">
                  <c:v>4050.0204779960741</c:v>
                </c:pt>
                <c:pt idx="6">
                  <c:v>66.821553616633281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46880"/>
        <c:axId val="160760960"/>
      </c:barChart>
      <c:catAx>
        <c:axId val="160746880"/>
        <c:scaling>
          <c:orientation val="minMax"/>
        </c:scaling>
        <c:axPos val="b"/>
        <c:numFmt formatCode="General" sourceLinked="0"/>
        <c:tickLblPos val="nextTo"/>
        <c:crossAx val="160760960"/>
        <c:crosses val="autoZero"/>
        <c:auto val="1"/>
        <c:lblAlgn val="ctr"/>
        <c:lblOffset val="100"/>
      </c:catAx>
      <c:valAx>
        <c:axId val="160760960"/>
        <c:scaling>
          <c:orientation val="minMax"/>
        </c:scaling>
        <c:axPos val="l"/>
        <c:majorGridlines/>
        <c:numFmt formatCode="#,##0" sourceLinked="1"/>
        <c:tickLblPos val="nextTo"/>
        <c:crossAx val="1607468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8639.9468174702997</c:v>
                </c:pt>
                <c:pt idx="1">
                  <c:v>2965.1045388458447</c:v>
                </c:pt>
                <c:pt idx="2">
                  <c:v>65.07825851657644</c:v>
                </c:pt>
                <c:pt idx="3">
                  <c:v>125.86042477703197</c:v>
                </c:pt>
                <c:pt idx="4">
                  <c:v>225.98969265144459</c:v>
                </c:pt>
                <c:pt idx="5">
                  <c:v>4050.0204779960741</c:v>
                </c:pt>
                <c:pt idx="6">
                  <c:v>66.821553616633281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23100</v>
      </c>
      <c r="B6" s="415"/>
      <c r="C6" s="416"/>
    </row>
    <row r="7" spans="1:7" s="413" customFormat="1" ht="15.75" customHeight="1">
      <c r="A7" s="417" t="str">
        <f>txtMunicipality</f>
        <v>LINKEBEEK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7778.8837299999996</v>
      </c>
      <c r="D10" s="712">
        <f ca="1">tertiair!C16</f>
        <v>0</v>
      </c>
      <c r="E10" s="712">
        <f ca="1">tertiair!D16</f>
        <v>5339.9070745240006</v>
      </c>
      <c r="F10" s="712">
        <f>tertiair!E16</f>
        <v>93.506836406903403</v>
      </c>
      <c r="G10" s="712">
        <f ca="1">tertiair!F16</f>
        <v>869.10761701405488</v>
      </c>
      <c r="H10" s="712">
        <f>tertiair!G16</f>
        <v>0</v>
      </c>
      <c r="I10" s="712">
        <f>tertiair!H16</f>
        <v>0</v>
      </c>
      <c r="J10" s="712">
        <f>tertiair!I16</f>
        <v>0</v>
      </c>
      <c r="K10" s="712">
        <f>tertiair!J16</f>
        <v>1.6811584628859819E-2</v>
      </c>
      <c r="L10" s="712">
        <f>tertiair!K16</f>
        <v>0</v>
      </c>
      <c r="M10" s="712">
        <f ca="1">tertiair!L16</f>
        <v>0</v>
      </c>
      <c r="N10" s="712">
        <f>tertiair!M16</f>
        <v>0</v>
      </c>
      <c r="O10" s="712">
        <f ca="1">tertiair!N16</f>
        <v>662.3603919512492</v>
      </c>
      <c r="P10" s="712">
        <f>tertiair!O16</f>
        <v>4.8972607658411542</v>
      </c>
      <c r="Q10" s="713">
        <f>tertiair!P16</f>
        <v>0</v>
      </c>
      <c r="R10" s="715">
        <f ca="1">SUM(C10:Q10)</f>
        <v>14748.679722246678</v>
      </c>
      <c r="S10" s="67"/>
    </row>
    <row r="11" spans="1:19" s="474" customFormat="1">
      <c r="A11" s="834" t="s">
        <v>224</v>
      </c>
      <c r="B11" s="839"/>
      <c r="C11" s="712">
        <f>huishoudens!B8</f>
        <v>7155.1610553690543</v>
      </c>
      <c r="D11" s="712">
        <f>huishoudens!C8</f>
        <v>0</v>
      </c>
      <c r="E11" s="712">
        <f>huishoudens!D8</f>
        <v>30481.802458140006</v>
      </c>
      <c r="F11" s="712">
        <f>huishoudens!E8</f>
        <v>680.39427881744598</v>
      </c>
      <c r="G11" s="712">
        <f>huishoudens!F8</f>
        <v>2869.2983845406643</v>
      </c>
      <c r="H11" s="712">
        <f>huishoudens!G8</f>
        <v>0</v>
      </c>
      <c r="I11" s="712">
        <f>huishoudens!H8</f>
        <v>0</v>
      </c>
      <c r="J11" s="712">
        <f>huishoudens!I8</f>
        <v>0</v>
      </c>
      <c r="K11" s="712">
        <f>huishoudens!J8</f>
        <v>0</v>
      </c>
      <c r="L11" s="712">
        <f>huishoudens!K8</f>
        <v>0</v>
      </c>
      <c r="M11" s="712">
        <f>huishoudens!L8</f>
        <v>0</v>
      </c>
      <c r="N11" s="712">
        <f>huishoudens!M8</f>
        <v>0</v>
      </c>
      <c r="O11" s="712">
        <f>huishoudens!N8</f>
        <v>1831.5836207745351</v>
      </c>
      <c r="P11" s="712">
        <f>huishoudens!O8</f>
        <v>33.727289729579546</v>
      </c>
      <c r="Q11" s="713">
        <f>huishoudens!P8</f>
        <v>31.601877923055071</v>
      </c>
      <c r="R11" s="715">
        <f>SUM(C11:Q11)</f>
        <v>43083.56896529434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326.86075700000004</v>
      </c>
      <c r="D13" s="712">
        <f>industrie!C18</f>
        <v>0</v>
      </c>
      <c r="E13" s="712">
        <f>industrie!D18</f>
        <v>592.42714799399994</v>
      </c>
      <c r="F13" s="712">
        <f>industrie!E18</f>
        <v>30.885695490630695</v>
      </c>
      <c r="G13" s="712">
        <f>industrie!F18</f>
        <v>101.83768816464939</v>
      </c>
      <c r="H13" s="712">
        <f>industrie!G18</f>
        <v>0</v>
      </c>
      <c r="I13" s="712">
        <f>industrie!H18</f>
        <v>0</v>
      </c>
      <c r="J13" s="712">
        <f>industrie!I18</f>
        <v>0</v>
      </c>
      <c r="K13" s="712">
        <f>industrie!J18</f>
        <v>2.1454019624845877</v>
      </c>
      <c r="L13" s="712">
        <f>industrie!K18</f>
        <v>0</v>
      </c>
      <c r="M13" s="712">
        <f>industrie!L18</f>
        <v>0</v>
      </c>
      <c r="N13" s="712">
        <f>industrie!M18</f>
        <v>0</v>
      </c>
      <c r="O13" s="712">
        <f>industrie!N18</f>
        <v>14.982415426833239</v>
      </c>
      <c r="P13" s="712">
        <f>industrie!O18</f>
        <v>0</v>
      </c>
      <c r="Q13" s="713">
        <f>industrie!P18</f>
        <v>0</v>
      </c>
      <c r="R13" s="715">
        <f>SUM(C13:Q13)</f>
        <v>1069.1391060385979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15260.905542369053</v>
      </c>
      <c r="D16" s="748">
        <f t="shared" ref="D16:R16" ca="1" si="0">SUM(D9:D15)</f>
        <v>0</v>
      </c>
      <c r="E16" s="748">
        <f t="shared" ca="1" si="0"/>
        <v>36414.136680658004</v>
      </c>
      <c r="F16" s="748">
        <f t="shared" si="0"/>
        <v>804.78681071498011</v>
      </c>
      <c r="G16" s="748">
        <f t="shared" ca="1" si="0"/>
        <v>3840.2436897193688</v>
      </c>
      <c r="H16" s="748">
        <f t="shared" si="0"/>
        <v>0</v>
      </c>
      <c r="I16" s="748">
        <f t="shared" si="0"/>
        <v>0</v>
      </c>
      <c r="J16" s="748">
        <f t="shared" si="0"/>
        <v>0</v>
      </c>
      <c r="K16" s="748">
        <f t="shared" si="0"/>
        <v>2.1622135471134474</v>
      </c>
      <c r="L16" s="748">
        <f t="shared" si="0"/>
        <v>0</v>
      </c>
      <c r="M16" s="748">
        <f t="shared" ca="1" si="0"/>
        <v>0</v>
      </c>
      <c r="N16" s="748">
        <f t="shared" si="0"/>
        <v>0</v>
      </c>
      <c r="O16" s="748">
        <f t="shared" ca="1" si="0"/>
        <v>2508.9264281526175</v>
      </c>
      <c r="P16" s="748">
        <f t="shared" si="0"/>
        <v>38.624550495420699</v>
      </c>
      <c r="Q16" s="748">
        <f t="shared" si="0"/>
        <v>31.601877923055071</v>
      </c>
      <c r="R16" s="748">
        <f t="shared" ca="1" si="0"/>
        <v>58901.387793579619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250.26799107353287</v>
      </c>
      <c r="I19" s="712">
        <f>transport!H54</f>
        <v>0</v>
      </c>
      <c r="J19" s="712">
        <f>transport!I54</f>
        <v>0</v>
      </c>
      <c r="K19" s="712">
        <f>transport!J54</f>
        <v>0</v>
      </c>
      <c r="L19" s="712">
        <f>transport!K54</f>
        <v>0</v>
      </c>
      <c r="M19" s="712">
        <f>transport!L54</f>
        <v>0</v>
      </c>
      <c r="N19" s="712">
        <f>transport!M54</f>
        <v>13.909922634498983</v>
      </c>
      <c r="O19" s="712">
        <f>transport!N54</f>
        <v>0</v>
      </c>
      <c r="P19" s="712">
        <f>transport!O54</f>
        <v>0</v>
      </c>
      <c r="Q19" s="713">
        <f>transport!P54</f>
        <v>0</v>
      </c>
      <c r="R19" s="715">
        <f>SUM(C19:Q19)</f>
        <v>264.17791370803184</v>
      </c>
      <c r="S19" s="67"/>
    </row>
    <row r="20" spans="1:19" s="474" customFormat="1">
      <c r="A20" s="834" t="s">
        <v>306</v>
      </c>
      <c r="B20" s="839"/>
      <c r="C20" s="712">
        <f>transport!B14</f>
        <v>8.8082291486111082</v>
      </c>
      <c r="D20" s="712">
        <f>transport!C14</f>
        <v>0</v>
      </c>
      <c r="E20" s="712">
        <f>transport!D14</f>
        <v>54.203183942600006</v>
      </c>
      <c r="F20" s="712">
        <f>transport!E14</f>
        <v>39.588484534951391</v>
      </c>
      <c r="G20" s="712">
        <f>transport!F14</f>
        <v>0</v>
      </c>
      <c r="H20" s="712">
        <f>transport!G14</f>
        <v>11390.019948197249</v>
      </c>
      <c r="I20" s="712">
        <f>transport!H14</f>
        <v>3963.9621065001843</v>
      </c>
      <c r="J20" s="712">
        <f>transport!I14</f>
        <v>0</v>
      </c>
      <c r="K20" s="712">
        <f>transport!J14</f>
        <v>0</v>
      </c>
      <c r="L20" s="712">
        <f>transport!K14</f>
        <v>0</v>
      </c>
      <c r="M20" s="712">
        <f>transport!L14</f>
        <v>0</v>
      </c>
      <c r="N20" s="712">
        <f>transport!M14</f>
        <v>917.36557175397718</v>
      </c>
      <c r="O20" s="712">
        <f>transport!N14</f>
        <v>0</v>
      </c>
      <c r="P20" s="712">
        <f>transport!O14</f>
        <v>0</v>
      </c>
      <c r="Q20" s="713">
        <f>transport!P14</f>
        <v>0</v>
      </c>
      <c r="R20" s="715">
        <f>SUM(C20:Q20)</f>
        <v>16373.947524077572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8.8082291486111082</v>
      </c>
      <c r="D22" s="837">
        <f t="shared" ref="D22:R22" si="1">SUM(D18:D21)</f>
        <v>0</v>
      </c>
      <c r="E22" s="837">
        <f t="shared" si="1"/>
        <v>54.203183942600006</v>
      </c>
      <c r="F22" s="837">
        <f t="shared" si="1"/>
        <v>39.588484534951391</v>
      </c>
      <c r="G22" s="837">
        <f t="shared" si="1"/>
        <v>0</v>
      </c>
      <c r="H22" s="837">
        <f t="shared" si="1"/>
        <v>11640.287939270782</v>
      </c>
      <c r="I22" s="837">
        <f t="shared" si="1"/>
        <v>3963.9621065001843</v>
      </c>
      <c r="J22" s="837">
        <f t="shared" si="1"/>
        <v>0</v>
      </c>
      <c r="K22" s="837">
        <f t="shared" si="1"/>
        <v>0</v>
      </c>
      <c r="L22" s="837">
        <f t="shared" si="1"/>
        <v>0</v>
      </c>
      <c r="M22" s="837">
        <f t="shared" si="1"/>
        <v>0</v>
      </c>
      <c r="N22" s="837">
        <f t="shared" si="1"/>
        <v>931.2754943884762</v>
      </c>
      <c r="O22" s="837">
        <f t="shared" si="1"/>
        <v>0</v>
      </c>
      <c r="P22" s="837">
        <f t="shared" si="1"/>
        <v>0</v>
      </c>
      <c r="Q22" s="837">
        <f t="shared" si="1"/>
        <v>0</v>
      </c>
      <c r="R22" s="837">
        <f t="shared" si="1"/>
        <v>16638.125437785602</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86.166460000000001</v>
      </c>
      <c r="D24" s="712">
        <f>+landbouw!C8</f>
        <v>0</v>
      </c>
      <c r="E24" s="712">
        <f>+landbouw!D8</f>
        <v>82.809647007999999</v>
      </c>
      <c r="F24" s="712">
        <f>+landbouw!E8</f>
        <v>2.6892268024068922</v>
      </c>
      <c r="G24" s="712">
        <f>+landbouw!F8</f>
        <v>304.52181490294589</v>
      </c>
      <c r="H24" s="712">
        <f>+landbouw!G8</f>
        <v>0</v>
      </c>
      <c r="I24" s="712">
        <f>+landbouw!H8</f>
        <v>0</v>
      </c>
      <c r="J24" s="712">
        <f>+landbouw!I8</f>
        <v>0</v>
      </c>
      <c r="K24" s="712">
        <f>+landbouw!J8</f>
        <v>23.739457289163134</v>
      </c>
      <c r="L24" s="712">
        <f>+landbouw!K8</f>
        <v>0</v>
      </c>
      <c r="M24" s="712">
        <f>+landbouw!L8</f>
        <v>0</v>
      </c>
      <c r="N24" s="712">
        <f>+landbouw!M8</f>
        <v>0</v>
      </c>
      <c r="O24" s="712">
        <f>+landbouw!N8</f>
        <v>0</v>
      </c>
      <c r="P24" s="712">
        <f>+landbouw!O8</f>
        <v>0</v>
      </c>
      <c r="Q24" s="713">
        <f>+landbouw!P8</f>
        <v>0</v>
      </c>
      <c r="R24" s="715">
        <f>SUM(C24:Q24)</f>
        <v>499.92660600251588</v>
      </c>
      <c r="S24" s="67"/>
    </row>
    <row r="25" spans="1:19" s="474" customFormat="1" ht="15" thickBot="1">
      <c r="A25" s="856" t="s">
        <v>734</v>
      </c>
      <c r="B25" s="982"/>
      <c r="C25" s="983">
        <f>IF(Onbekend_ele_kWh="---",0,Onbekend_ele_kWh)/1000+IF(REST_rest_ele_kWh="---",0,REST_rest_ele_kWh)/1000</f>
        <v>233.842175</v>
      </c>
      <c r="D25" s="983"/>
      <c r="E25" s="983">
        <f>IF(onbekend_gas_kWh="---",0,onbekend_gas_kWh)/1000+IF(REST_rest_gas_kWh="---",0,REST_rest_gas_kWh)/1000</f>
        <v>1640.3774329999999</v>
      </c>
      <c r="F25" s="983"/>
      <c r="G25" s="983"/>
      <c r="H25" s="983"/>
      <c r="I25" s="983"/>
      <c r="J25" s="983"/>
      <c r="K25" s="983"/>
      <c r="L25" s="983"/>
      <c r="M25" s="983"/>
      <c r="N25" s="983"/>
      <c r="O25" s="983"/>
      <c r="P25" s="983"/>
      <c r="Q25" s="984"/>
      <c r="R25" s="715">
        <f>SUM(C25:Q25)</f>
        <v>1874.2196079999999</v>
      </c>
      <c r="S25" s="67"/>
    </row>
    <row r="26" spans="1:19" s="474" customFormat="1" ht="15.75" thickBot="1">
      <c r="A26" s="720" t="s">
        <v>735</v>
      </c>
      <c r="B26" s="842"/>
      <c r="C26" s="837">
        <f>SUM(C24:C25)</f>
        <v>320.00863500000003</v>
      </c>
      <c r="D26" s="837">
        <f t="shared" ref="D26:R26" si="2">SUM(D24:D25)</f>
        <v>0</v>
      </c>
      <c r="E26" s="837">
        <f t="shared" si="2"/>
        <v>1723.1870800079998</v>
      </c>
      <c r="F26" s="837">
        <f t="shared" si="2"/>
        <v>2.6892268024068922</v>
      </c>
      <c r="G26" s="837">
        <f t="shared" si="2"/>
        <v>304.52181490294589</v>
      </c>
      <c r="H26" s="837">
        <f t="shared" si="2"/>
        <v>0</v>
      </c>
      <c r="I26" s="837">
        <f t="shared" si="2"/>
        <v>0</v>
      </c>
      <c r="J26" s="837">
        <f t="shared" si="2"/>
        <v>0</v>
      </c>
      <c r="K26" s="837">
        <f t="shared" si="2"/>
        <v>23.739457289163134</v>
      </c>
      <c r="L26" s="837">
        <f t="shared" si="2"/>
        <v>0</v>
      </c>
      <c r="M26" s="837">
        <f t="shared" si="2"/>
        <v>0</v>
      </c>
      <c r="N26" s="837">
        <f t="shared" si="2"/>
        <v>0</v>
      </c>
      <c r="O26" s="837">
        <f t="shared" si="2"/>
        <v>0</v>
      </c>
      <c r="P26" s="837">
        <f t="shared" si="2"/>
        <v>0</v>
      </c>
      <c r="Q26" s="837">
        <f t="shared" si="2"/>
        <v>0</v>
      </c>
      <c r="R26" s="837">
        <f t="shared" si="2"/>
        <v>2374.146214002516</v>
      </c>
      <c r="S26" s="67"/>
    </row>
    <row r="27" spans="1:19" s="474" customFormat="1" ht="17.25" thickTop="1" thickBot="1">
      <c r="A27" s="721" t="s">
        <v>115</v>
      </c>
      <c r="B27" s="829"/>
      <c r="C27" s="722">
        <f ca="1">C22+C16+C26</f>
        <v>15589.722406517665</v>
      </c>
      <c r="D27" s="722">
        <f t="shared" ref="D27:R27" ca="1" si="3">D22+D16+D26</f>
        <v>0</v>
      </c>
      <c r="E27" s="722">
        <f t="shared" ca="1" si="3"/>
        <v>38191.526944608602</v>
      </c>
      <c r="F27" s="722">
        <f t="shared" si="3"/>
        <v>847.06452205233836</v>
      </c>
      <c r="G27" s="722">
        <f t="shared" ca="1" si="3"/>
        <v>4144.7655046223144</v>
      </c>
      <c r="H27" s="722">
        <f t="shared" si="3"/>
        <v>11640.287939270782</v>
      </c>
      <c r="I27" s="722">
        <f t="shared" si="3"/>
        <v>3963.9621065001843</v>
      </c>
      <c r="J27" s="722">
        <f t="shared" si="3"/>
        <v>0</v>
      </c>
      <c r="K27" s="722">
        <f t="shared" si="3"/>
        <v>25.90167083627658</v>
      </c>
      <c r="L27" s="722">
        <f t="shared" si="3"/>
        <v>0</v>
      </c>
      <c r="M27" s="722">
        <f t="shared" ca="1" si="3"/>
        <v>0</v>
      </c>
      <c r="N27" s="722">
        <f t="shared" si="3"/>
        <v>931.2754943884762</v>
      </c>
      <c r="O27" s="722">
        <f t="shared" ca="1" si="3"/>
        <v>2508.9264281526175</v>
      </c>
      <c r="P27" s="722">
        <f t="shared" si="3"/>
        <v>38.624550495420699</v>
      </c>
      <c r="Q27" s="722">
        <f t="shared" si="3"/>
        <v>31.601877923055071</v>
      </c>
      <c r="R27" s="722">
        <f t="shared" ca="1" si="3"/>
        <v>77913.659445367724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1698.2378314004941</v>
      </c>
      <c r="D40" s="712">
        <f ca="1">tertiair!C20</f>
        <v>0</v>
      </c>
      <c r="E40" s="712">
        <f ca="1">tertiair!D20</f>
        <v>1078.6612290538483</v>
      </c>
      <c r="F40" s="712">
        <f>tertiair!E20</f>
        <v>21.226051864367072</v>
      </c>
      <c r="G40" s="712">
        <f ca="1">tertiair!F20</f>
        <v>232.05173374275267</v>
      </c>
      <c r="H40" s="712">
        <f>tertiair!G20</f>
        <v>0</v>
      </c>
      <c r="I40" s="712">
        <f>tertiair!H20</f>
        <v>0</v>
      </c>
      <c r="J40" s="712">
        <f>tertiair!I20</f>
        <v>0</v>
      </c>
      <c r="K40" s="712">
        <f>tertiair!J20</f>
        <v>5.951300958616376E-3</v>
      </c>
      <c r="L40" s="712">
        <f>tertiair!K20</f>
        <v>0</v>
      </c>
      <c r="M40" s="712">
        <f ca="1">tertiair!L20</f>
        <v>0</v>
      </c>
      <c r="N40" s="712">
        <f>tertiair!M20</f>
        <v>0</v>
      </c>
      <c r="O40" s="712">
        <f ca="1">tertiair!N20</f>
        <v>0</v>
      </c>
      <c r="P40" s="712">
        <f>tertiair!O20</f>
        <v>0</v>
      </c>
      <c r="Q40" s="795">
        <f>tertiair!P20</f>
        <v>0</v>
      </c>
      <c r="R40" s="875">
        <f t="shared" ca="1" si="4"/>
        <v>3030.1827973624208</v>
      </c>
    </row>
    <row r="41" spans="1:18">
      <c r="A41" s="847" t="s">
        <v>224</v>
      </c>
      <c r="B41" s="854"/>
      <c r="C41" s="712">
        <f ca="1">huishoudens!B12</f>
        <v>1562.0705509620998</v>
      </c>
      <c r="D41" s="712">
        <f ca="1">huishoudens!C12</f>
        <v>0</v>
      </c>
      <c r="E41" s="712">
        <f>huishoudens!D12</f>
        <v>6157.3240965442819</v>
      </c>
      <c r="F41" s="712">
        <f>huishoudens!E12</f>
        <v>154.44950129156024</v>
      </c>
      <c r="G41" s="712">
        <f>huishoudens!F12</f>
        <v>766.10266867235737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8639.9468174702997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71.358220845602474</v>
      </c>
      <c r="D43" s="712">
        <f ca="1">industrie!C22</f>
        <v>0</v>
      </c>
      <c r="E43" s="712">
        <f>industrie!D22</f>
        <v>119.670283894788</v>
      </c>
      <c r="F43" s="712">
        <f>industrie!E22</f>
        <v>7.0110528763731681</v>
      </c>
      <c r="G43" s="712">
        <f>industrie!F22</f>
        <v>27.19066273996139</v>
      </c>
      <c r="H43" s="712">
        <f>industrie!G22</f>
        <v>0</v>
      </c>
      <c r="I43" s="712">
        <f>industrie!H22</f>
        <v>0</v>
      </c>
      <c r="J43" s="712">
        <f>industrie!I22</f>
        <v>0</v>
      </c>
      <c r="K43" s="712">
        <f>industrie!J22</f>
        <v>0.75947229471954403</v>
      </c>
      <c r="L43" s="712">
        <f>industrie!K22</f>
        <v>0</v>
      </c>
      <c r="M43" s="712">
        <f>industrie!L22</f>
        <v>0</v>
      </c>
      <c r="N43" s="712">
        <f>industrie!M22</f>
        <v>0</v>
      </c>
      <c r="O43" s="712">
        <f>industrie!N22</f>
        <v>0</v>
      </c>
      <c r="P43" s="712">
        <f>industrie!O22</f>
        <v>0</v>
      </c>
      <c r="Q43" s="795">
        <f>industrie!P22</f>
        <v>0</v>
      </c>
      <c r="R43" s="874">
        <f t="shared" ca="1" si="4"/>
        <v>225.98969265144459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3331.6666032081962</v>
      </c>
      <c r="D46" s="748">
        <f t="shared" ref="D46:Q46" ca="1" si="5">SUM(D39:D45)</f>
        <v>0</v>
      </c>
      <c r="E46" s="748">
        <f t="shared" ca="1" si="5"/>
        <v>7355.6556094929183</v>
      </c>
      <c r="F46" s="748">
        <f t="shared" si="5"/>
        <v>182.68660603230046</v>
      </c>
      <c r="G46" s="748">
        <f t="shared" ca="1" si="5"/>
        <v>1025.3450651550716</v>
      </c>
      <c r="H46" s="748">
        <f t="shared" si="5"/>
        <v>0</v>
      </c>
      <c r="I46" s="748">
        <f t="shared" si="5"/>
        <v>0</v>
      </c>
      <c r="J46" s="748">
        <f t="shared" si="5"/>
        <v>0</v>
      </c>
      <c r="K46" s="748">
        <f t="shared" si="5"/>
        <v>0.76542359567816043</v>
      </c>
      <c r="L46" s="748">
        <f t="shared" si="5"/>
        <v>0</v>
      </c>
      <c r="M46" s="748">
        <f t="shared" ca="1" si="5"/>
        <v>0</v>
      </c>
      <c r="N46" s="748">
        <f t="shared" si="5"/>
        <v>0</v>
      </c>
      <c r="O46" s="748">
        <f t="shared" ca="1" si="5"/>
        <v>0</v>
      </c>
      <c r="P46" s="748">
        <f t="shared" si="5"/>
        <v>0</v>
      </c>
      <c r="Q46" s="748">
        <f t="shared" si="5"/>
        <v>0</v>
      </c>
      <c r="R46" s="748">
        <f ca="1">SUM(R39:R45)</f>
        <v>11896.119307484165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66.821553616633281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66.821553616633281</v>
      </c>
    </row>
    <row r="50" spans="1:18">
      <c r="A50" s="850" t="s">
        <v>306</v>
      </c>
      <c r="B50" s="860"/>
      <c r="C50" s="718">
        <f ca="1">transport!B18</f>
        <v>1.922958163023726</v>
      </c>
      <c r="D50" s="718">
        <f>transport!C18</f>
        <v>0</v>
      </c>
      <c r="E50" s="718">
        <f>transport!D18</f>
        <v>10.949043156405201</v>
      </c>
      <c r="F50" s="718">
        <f>transport!E18</f>
        <v>8.9865859894339657</v>
      </c>
      <c r="G50" s="718">
        <f>transport!F18</f>
        <v>0</v>
      </c>
      <c r="H50" s="718">
        <f>transport!G18</f>
        <v>3041.1353261686654</v>
      </c>
      <c r="I50" s="718">
        <f>transport!H18</f>
        <v>987.02656451854591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4050.0204779960741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1.922958163023726</v>
      </c>
      <c r="D52" s="748">
        <f t="shared" ref="D52:Q52" ca="1" si="6">SUM(D48:D51)</f>
        <v>0</v>
      </c>
      <c r="E52" s="748">
        <f t="shared" si="6"/>
        <v>10.949043156405201</v>
      </c>
      <c r="F52" s="748">
        <f t="shared" si="6"/>
        <v>8.9865859894339657</v>
      </c>
      <c r="G52" s="748">
        <f t="shared" si="6"/>
        <v>0</v>
      </c>
      <c r="H52" s="748">
        <f t="shared" si="6"/>
        <v>3107.9568797852985</v>
      </c>
      <c r="I52" s="748">
        <f t="shared" si="6"/>
        <v>987.02656451854591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4116.8420316127076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18.811329137819293</v>
      </c>
      <c r="D54" s="718">
        <f ca="1">+landbouw!C12</f>
        <v>0</v>
      </c>
      <c r="E54" s="718">
        <f>+landbouw!D12</f>
        <v>16.727548695616001</v>
      </c>
      <c r="F54" s="718">
        <f>+landbouw!E12</f>
        <v>0.6104544841463645</v>
      </c>
      <c r="G54" s="718">
        <f>+landbouw!F12</f>
        <v>81.307324579086554</v>
      </c>
      <c r="H54" s="718">
        <f>+landbouw!G12</f>
        <v>0</v>
      </c>
      <c r="I54" s="718">
        <f>+landbouw!H12</f>
        <v>0</v>
      </c>
      <c r="J54" s="718">
        <f>+landbouw!I12</f>
        <v>0</v>
      </c>
      <c r="K54" s="718">
        <f>+landbouw!J12</f>
        <v>8.4037678803637483</v>
      </c>
      <c r="L54" s="718">
        <f>+landbouw!K12</f>
        <v>0</v>
      </c>
      <c r="M54" s="718">
        <f>+landbouw!L12</f>
        <v>0</v>
      </c>
      <c r="N54" s="718">
        <f>+landbouw!M12</f>
        <v>0</v>
      </c>
      <c r="O54" s="718">
        <f>+landbouw!N12</f>
        <v>0</v>
      </c>
      <c r="P54" s="718">
        <f>+landbouw!O12</f>
        <v>0</v>
      </c>
      <c r="Q54" s="719">
        <f>+landbouw!P12</f>
        <v>0</v>
      </c>
      <c r="R54" s="747">
        <f ca="1">SUM(C54:Q54)</f>
        <v>125.86042477703197</v>
      </c>
    </row>
    <row r="55" spans="1:18" ht="15" thickBot="1">
      <c r="A55" s="850" t="s">
        <v>734</v>
      </c>
      <c r="B55" s="860"/>
      <c r="C55" s="718">
        <f ca="1">C25*'EF ele_warmte'!B12</f>
        <v>51.050978770957265</v>
      </c>
      <c r="D55" s="718"/>
      <c r="E55" s="718">
        <f>E25*EF_CO2_aardgas</f>
        <v>331.35624146599997</v>
      </c>
      <c r="F55" s="718"/>
      <c r="G55" s="718"/>
      <c r="H55" s="718"/>
      <c r="I55" s="718"/>
      <c r="J55" s="718"/>
      <c r="K55" s="718"/>
      <c r="L55" s="718"/>
      <c r="M55" s="718"/>
      <c r="N55" s="718"/>
      <c r="O55" s="718"/>
      <c r="P55" s="718"/>
      <c r="Q55" s="719"/>
      <c r="R55" s="747">
        <f ca="1">SUM(C55:Q55)</f>
        <v>382.40722023695724</v>
      </c>
    </row>
    <row r="56" spans="1:18" ht="15.75" thickBot="1">
      <c r="A56" s="848" t="s">
        <v>735</v>
      </c>
      <c r="B56" s="861"/>
      <c r="C56" s="748">
        <f ca="1">SUM(C54:C55)</f>
        <v>69.862307908776557</v>
      </c>
      <c r="D56" s="748">
        <f t="shared" ref="D56:Q56" ca="1" si="7">SUM(D54:D55)</f>
        <v>0</v>
      </c>
      <c r="E56" s="748">
        <f t="shared" si="7"/>
        <v>348.08379016161598</v>
      </c>
      <c r="F56" s="748">
        <f t="shared" si="7"/>
        <v>0.6104544841463645</v>
      </c>
      <c r="G56" s="748">
        <f t="shared" si="7"/>
        <v>81.307324579086554</v>
      </c>
      <c r="H56" s="748">
        <f t="shared" si="7"/>
        <v>0</v>
      </c>
      <c r="I56" s="748">
        <f t="shared" si="7"/>
        <v>0</v>
      </c>
      <c r="J56" s="748">
        <f t="shared" si="7"/>
        <v>0</v>
      </c>
      <c r="K56" s="748">
        <f t="shared" si="7"/>
        <v>8.4037678803637483</v>
      </c>
      <c r="L56" s="748">
        <f t="shared" si="7"/>
        <v>0</v>
      </c>
      <c r="M56" s="748">
        <f t="shared" si="7"/>
        <v>0</v>
      </c>
      <c r="N56" s="748">
        <f t="shared" si="7"/>
        <v>0</v>
      </c>
      <c r="O56" s="748">
        <f t="shared" si="7"/>
        <v>0</v>
      </c>
      <c r="P56" s="748">
        <f t="shared" si="7"/>
        <v>0</v>
      </c>
      <c r="Q56" s="749">
        <f t="shared" si="7"/>
        <v>0</v>
      </c>
      <c r="R56" s="750">
        <f ca="1">SUM(R54:R55)</f>
        <v>508.26764501398918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3403.4518692799966</v>
      </c>
      <c r="D61" s="756">
        <f t="shared" ref="D61:Q61" ca="1" si="8">D46+D52+D56</f>
        <v>0</v>
      </c>
      <c r="E61" s="756">
        <f t="shared" ca="1" si="8"/>
        <v>7714.6884428109397</v>
      </c>
      <c r="F61" s="756">
        <f t="shared" si="8"/>
        <v>192.2836465058808</v>
      </c>
      <c r="G61" s="756">
        <f t="shared" ca="1" si="8"/>
        <v>1106.6523897341581</v>
      </c>
      <c r="H61" s="756">
        <f t="shared" si="8"/>
        <v>3107.9568797852985</v>
      </c>
      <c r="I61" s="756">
        <f t="shared" si="8"/>
        <v>987.02656451854591</v>
      </c>
      <c r="J61" s="756">
        <f t="shared" si="8"/>
        <v>0</v>
      </c>
      <c r="K61" s="756">
        <f t="shared" si="8"/>
        <v>9.1691914760419095</v>
      </c>
      <c r="L61" s="756">
        <f t="shared" si="8"/>
        <v>0</v>
      </c>
      <c r="M61" s="756">
        <f t="shared" ca="1" si="8"/>
        <v>0</v>
      </c>
      <c r="N61" s="756">
        <f t="shared" si="8"/>
        <v>0</v>
      </c>
      <c r="O61" s="756">
        <f t="shared" ca="1" si="8"/>
        <v>0</v>
      </c>
      <c r="P61" s="756">
        <f t="shared" si="8"/>
        <v>0</v>
      </c>
      <c r="Q61" s="756">
        <f t="shared" si="8"/>
        <v>0</v>
      </c>
      <c r="R61" s="756">
        <f ca="1">R46+R52+R56</f>
        <v>16521.228984110861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0.21831382115290907</v>
      </c>
      <c r="D63" s="802">
        <f t="shared" ca="1" si="9"/>
        <v>0</v>
      </c>
      <c r="E63" s="1008">
        <f t="shared" ca="1" si="9"/>
        <v>0.20200000000000004</v>
      </c>
      <c r="F63" s="802">
        <f t="shared" si="9"/>
        <v>0.22699999999999998</v>
      </c>
      <c r="G63" s="802">
        <f t="shared" ca="1" si="9"/>
        <v>0.26700000000000002</v>
      </c>
      <c r="H63" s="802">
        <f t="shared" si="9"/>
        <v>0.26699999999999996</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189.48770389324574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189.48770389324574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7155.1610553690543</v>
      </c>
      <c r="C4" s="478">
        <f>huishoudens!C8</f>
        <v>0</v>
      </c>
      <c r="D4" s="478">
        <f>huishoudens!D8</f>
        <v>30481.802458140006</v>
      </c>
      <c r="E4" s="478">
        <f>huishoudens!E8</f>
        <v>680.39427881744598</v>
      </c>
      <c r="F4" s="478">
        <f>huishoudens!F8</f>
        <v>2869.2983845406643</v>
      </c>
      <c r="G4" s="478">
        <f>huishoudens!G8</f>
        <v>0</v>
      </c>
      <c r="H4" s="478">
        <f>huishoudens!H8</f>
        <v>0</v>
      </c>
      <c r="I4" s="478">
        <f>huishoudens!I8</f>
        <v>0</v>
      </c>
      <c r="J4" s="478">
        <f>huishoudens!J8</f>
        <v>0</v>
      </c>
      <c r="K4" s="478">
        <f>huishoudens!K8</f>
        <v>0</v>
      </c>
      <c r="L4" s="478">
        <f>huishoudens!L8</f>
        <v>0</v>
      </c>
      <c r="M4" s="478">
        <f>huishoudens!M8</f>
        <v>0</v>
      </c>
      <c r="N4" s="478">
        <f>huishoudens!N8</f>
        <v>1831.5836207745351</v>
      </c>
      <c r="O4" s="478">
        <f>huishoudens!O8</f>
        <v>33.727289729579546</v>
      </c>
      <c r="P4" s="479">
        <f>huishoudens!P8</f>
        <v>31.601877923055071</v>
      </c>
      <c r="Q4" s="480">
        <f>SUM(B4:P4)</f>
        <v>43083.56896529434</v>
      </c>
    </row>
    <row r="5" spans="1:17">
      <c r="A5" s="477" t="s">
        <v>155</v>
      </c>
      <c r="B5" s="478">
        <f ca="1">tertiair!B16</f>
        <v>7480.7887299999993</v>
      </c>
      <c r="C5" s="478">
        <f ca="1">tertiair!C16</f>
        <v>0</v>
      </c>
      <c r="D5" s="478">
        <f ca="1">tertiair!D16</f>
        <v>5339.9070745240006</v>
      </c>
      <c r="E5" s="478">
        <f>tertiair!E16</f>
        <v>93.506836406903403</v>
      </c>
      <c r="F5" s="478">
        <f ca="1">tertiair!F16</f>
        <v>869.10761701405488</v>
      </c>
      <c r="G5" s="478">
        <f>tertiair!G16</f>
        <v>0</v>
      </c>
      <c r="H5" s="478">
        <f>tertiair!H16</f>
        <v>0</v>
      </c>
      <c r="I5" s="478">
        <f>tertiair!I16</f>
        <v>0</v>
      </c>
      <c r="J5" s="478">
        <f>tertiair!J16</f>
        <v>1.6811584628859819E-2</v>
      </c>
      <c r="K5" s="478">
        <f>tertiair!K16</f>
        <v>0</v>
      </c>
      <c r="L5" s="478">
        <f ca="1">tertiair!L16</f>
        <v>0</v>
      </c>
      <c r="M5" s="478">
        <f>tertiair!M16</f>
        <v>0</v>
      </c>
      <c r="N5" s="478">
        <f ca="1">tertiair!N16</f>
        <v>662.3603919512492</v>
      </c>
      <c r="O5" s="478">
        <f>tertiair!O16</f>
        <v>4.8972607658411542</v>
      </c>
      <c r="P5" s="479">
        <f>tertiair!P16</f>
        <v>0</v>
      </c>
      <c r="Q5" s="477">
        <f t="shared" ref="Q5:Q14" ca="1" si="0">SUM(B5:P5)</f>
        <v>14450.584722246676</v>
      </c>
    </row>
    <row r="6" spans="1:17">
      <c r="A6" s="477" t="s">
        <v>193</v>
      </c>
      <c r="B6" s="478">
        <f>'openbare verlichting'!B8</f>
        <v>298.09500000000003</v>
      </c>
      <c r="C6" s="478"/>
      <c r="D6" s="478"/>
      <c r="E6" s="478"/>
      <c r="F6" s="478"/>
      <c r="G6" s="478"/>
      <c r="H6" s="478"/>
      <c r="I6" s="478"/>
      <c r="J6" s="478"/>
      <c r="K6" s="478"/>
      <c r="L6" s="478"/>
      <c r="M6" s="478"/>
      <c r="N6" s="478"/>
      <c r="O6" s="478"/>
      <c r="P6" s="479"/>
      <c r="Q6" s="477">
        <f t="shared" si="0"/>
        <v>298.09500000000003</v>
      </c>
    </row>
    <row r="7" spans="1:17">
      <c r="A7" s="477" t="s">
        <v>111</v>
      </c>
      <c r="B7" s="478">
        <f>landbouw!B8</f>
        <v>86.166460000000001</v>
      </c>
      <c r="C7" s="478">
        <f>landbouw!C8</f>
        <v>0</v>
      </c>
      <c r="D7" s="478">
        <f>landbouw!D8</f>
        <v>82.809647007999999</v>
      </c>
      <c r="E7" s="478">
        <f>landbouw!E8</f>
        <v>2.6892268024068922</v>
      </c>
      <c r="F7" s="478">
        <f>landbouw!F8</f>
        <v>304.52181490294589</v>
      </c>
      <c r="G7" s="478">
        <f>landbouw!G8</f>
        <v>0</v>
      </c>
      <c r="H7" s="478">
        <f>landbouw!H8</f>
        <v>0</v>
      </c>
      <c r="I7" s="478">
        <f>landbouw!I8</f>
        <v>0</v>
      </c>
      <c r="J7" s="478">
        <f>landbouw!J8</f>
        <v>23.739457289163134</v>
      </c>
      <c r="K7" s="478">
        <f>landbouw!K8</f>
        <v>0</v>
      </c>
      <c r="L7" s="478">
        <f>landbouw!L8</f>
        <v>0</v>
      </c>
      <c r="M7" s="478">
        <f>landbouw!M8</f>
        <v>0</v>
      </c>
      <c r="N7" s="478">
        <f>landbouw!N8</f>
        <v>0</v>
      </c>
      <c r="O7" s="478">
        <f>landbouw!O8</f>
        <v>0</v>
      </c>
      <c r="P7" s="479">
        <f>landbouw!P8</f>
        <v>0</v>
      </c>
      <c r="Q7" s="477">
        <f t="shared" si="0"/>
        <v>499.92660600251588</v>
      </c>
    </row>
    <row r="8" spans="1:17">
      <c r="A8" s="477" t="s">
        <v>629</v>
      </c>
      <c r="B8" s="478">
        <f>industrie!B18</f>
        <v>326.86075700000004</v>
      </c>
      <c r="C8" s="478">
        <f>industrie!C18</f>
        <v>0</v>
      </c>
      <c r="D8" s="478">
        <f>industrie!D18</f>
        <v>592.42714799399994</v>
      </c>
      <c r="E8" s="478">
        <f>industrie!E18</f>
        <v>30.885695490630695</v>
      </c>
      <c r="F8" s="478">
        <f>industrie!F18</f>
        <v>101.83768816464939</v>
      </c>
      <c r="G8" s="478">
        <f>industrie!G18</f>
        <v>0</v>
      </c>
      <c r="H8" s="478">
        <f>industrie!H18</f>
        <v>0</v>
      </c>
      <c r="I8" s="478">
        <f>industrie!I18</f>
        <v>0</v>
      </c>
      <c r="J8" s="478">
        <f>industrie!J18</f>
        <v>2.1454019624845877</v>
      </c>
      <c r="K8" s="478">
        <f>industrie!K18</f>
        <v>0</v>
      </c>
      <c r="L8" s="478">
        <f>industrie!L18</f>
        <v>0</v>
      </c>
      <c r="M8" s="478">
        <f>industrie!M18</f>
        <v>0</v>
      </c>
      <c r="N8" s="478">
        <f>industrie!N18</f>
        <v>14.982415426833239</v>
      </c>
      <c r="O8" s="478">
        <f>industrie!O18</f>
        <v>0</v>
      </c>
      <c r="P8" s="479">
        <f>industrie!P18</f>
        <v>0</v>
      </c>
      <c r="Q8" s="477">
        <f t="shared" si="0"/>
        <v>1069.1391060385979</v>
      </c>
    </row>
    <row r="9" spans="1:17" s="483" customFormat="1">
      <c r="A9" s="481" t="s">
        <v>555</v>
      </c>
      <c r="B9" s="482">
        <f>transport!B14</f>
        <v>8.8082291486111082</v>
      </c>
      <c r="C9" s="482">
        <f>transport!C14</f>
        <v>0</v>
      </c>
      <c r="D9" s="482">
        <f>transport!D14</f>
        <v>54.203183942600006</v>
      </c>
      <c r="E9" s="482">
        <f>transport!E14</f>
        <v>39.588484534951391</v>
      </c>
      <c r="F9" s="482">
        <f>transport!F14</f>
        <v>0</v>
      </c>
      <c r="G9" s="482">
        <f>transport!G14</f>
        <v>11390.019948197249</v>
      </c>
      <c r="H9" s="482">
        <f>transport!H14</f>
        <v>3963.9621065001843</v>
      </c>
      <c r="I9" s="482">
        <f>transport!I14</f>
        <v>0</v>
      </c>
      <c r="J9" s="482">
        <f>transport!J14</f>
        <v>0</v>
      </c>
      <c r="K9" s="482">
        <f>transport!K14</f>
        <v>0</v>
      </c>
      <c r="L9" s="482">
        <f>transport!L14</f>
        <v>0</v>
      </c>
      <c r="M9" s="482">
        <f>transport!M14</f>
        <v>917.36557175397718</v>
      </c>
      <c r="N9" s="482">
        <f>transport!N14</f>
        <v>0</v>
      </c>
      <c r="O9" s="482">
        <f>transport!O14</f>
        <v>0</v>
      </c>
      <c r="P9" s="482">
        <f>transport!P14</f>
        <v>0</v>
      </c>
      <c r="Q9" s="481">
        <f>SUM(B9:P9)</f>
        <v>16373.947524077572</v>
      </c>
    </row>
    <row r="10" spans="1:17">
      <c r="A10" s="477" t="s">
        <v>545</v>
      </c>
      <c r="B10" s="478">
        <f>transport!B54</f>
        <v>0</v>
      </c>
      <c r="C10" s="478">
        <f>transport!C54</f>
        <v>0</v>
      </c>
      <c r="D10" s="478">
        <f>transport!D54</f>
        <v>0</v>
      </c>
      <c r="E10" s="478">
        <f>transport!E54</f>
        <v>0</v>
      </c>
      <c r="F10" s="478">
        <f>transport!F54</f>
        <v>0</v>
      </c>
      <c r="G10" s="478">
        <f>transport!G54</f>
        <v>250.26799107353287</v>
      </c>
      <c r="H10" s="478">
        <f>transport!H54</f>
        <v>0</v>
      </c>
      <c r="I10" s="478">
        <f>transport!I54</f>
        <v>0</v>
      </c>
      <c r="J10" s="478">
        <f>transport!J54</f>
        <v>0</v>
      </c>
      <c r="K10" s="478">
        <f>transport!K54</f>
        <v>0</v>
      </c>
      <c r="L10" s="478">
        <f>transport!L54</f>
        <v>0</v>
      </c>
      <c r="M10" s="478">
        <f>transport!M54</f>
        <v>13.909922634498983</v>
      </c>
      <c r="N10" s="478">
        <f>transport!N54</f>
        <v>0</v>
      </c>
      <c r="O10" s="478">
        <f>transport!O54</f>
        <v>0</v>
      </c>
      <c r="P10" s="479">
        <f>transport!P54</f>
        <v>0</v>
      </c>
      <c r="Q10" s="477">
        <f t="shared" si="0"/>
        <v>264.17791370803184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233.842175</v>
      </c>
      <c r="C14" s="485"/>
      <c r="D14" s="485">
        <f>'SEAP template'!E25</f>
        <v>1640.3774329999999</v>
      </c>
      <c r="E14" s="485"/>
      <c r="F14" s="485"/>
      <c r="G14" s="485"/>
      <c r="H14" s="485"/>
      <c r="I14" s="485"/>
      <c r="J14" s="485"/>
      <c r="K14" s="485"/>
      <c r="L14" s="485"/>
      <c r="M14" s="485"/>
      <c r="N14" s="485"/>
      <c r="O14" s="485"/>
      <c r="P14" s="486"/>
      <c r="Q14" s="477">
        <f t="shared" si="0"/>
        <v>1874.2196079999999</v>
      </c>
    </row>
    <row r="15" spans="1:17" s="489" customFormat="1">
      <c r="A15" s="487" t="s">
        <v>549</v>
      </c>
      <c r="B15" s="488">
        <f ca="1">SUM(B4:B14)</f>
        <v>15589.722406517665</v>
      </c>
      <c r="C15" s="488">
        <f t="shared" ref="C15:Q15" ca="1" si="1">SUM(C4:C14)</f>
        <v>0</v>
      </c>
      <c r="D15" s="488">
        <f t="shared" ca="1" si="1"/>
        <v>38191.526944608602</v>
      </c>
      <c r="E15" s="488">
        <f t="shared" si="1"/>
        <v>847.06452205233836</v>
      </c>
      <c r="F15" s="488">
        <f t="shared" ca="1" si="1"/>
        <v>4144.7655046223144</v>
      </c>
      <c r="G15" s="488">
        <f t="shared" si="1"/>
        <v>11640.287939270782</v>
      </c>
      <c r="H15" s="488">
        <f t="shared" si="1"/>
        <v>3963.9621065001843</v>
      </c>
      <c r="I15" s="488">
        <f t="shared" si="1"/>
        <v>0</v>
      </c>
      <c r="J15" s="488">
        <f t="shared" si="1"/>
        <v>25.901670836276583</v>
      </c>
      <c r="K15" s="488">
        <f t="shared" si="1"/>
        <v>0</v>
      </c>
      <c r="L15" s="488">
        <f t="shared" ca="1" si="1"/>
        <v>0</v>
      </c>
      <c r="M15" s="488">
        <f t="shared" si="1"/>
        <v>931.2754943884762</v>
      </c>
      <c r="N15" s="488">
        <f t="shared" ca="1" si="1"/>
        <v>2508.9264281526175</v>
      </c>
      <c r="O15" s="488">
        <f t="shared" si="1"/>
        <v>38.624550495420699</v>
      </c>
      <c r="P15" s="488">
        <f t="shared" si="1"/>
        <v>31.601877923055071</v>
      </c>
      <c r="Q15" s="488">
        <f t="shared" ca="1" si="1"/>
        <v>77913.659445367739</v>
      </c>
    </row>
    <row r="17" spans="1:17">
      <c r="A17" s="490" t="s">
        <v>550</v>
      </c>
      <c r="B17" s="807">
        <f ca="1">huishoudens!B10</f>
        <v>0.21831382115290907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1562.0705509620998</v>
      </c>
      <c r="C22" s="478">
        <f t="shared" ref="C22:C32" ca="1" si="3">C4*$C$17</f>
        <v>0</v>
      </c>
      <c r="D22" s="478">
        <f t="shared" ref="D22:D32" si="4">D4*$D$17</f>
        <v>6157.3240965442819</v>
      </c>
      <c r="E22" s="478">
        <f t="shared" ref="E22:E32" si="5">E4*$E$17</f>
        <v>154.44950129156024</v>
      </c>
      <c r="F22" s="478">
        <f t="shared" ref="F22:F32" si="6">F4*$F$17</f>
        <v>766.10266867235737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8639.9468174702997</v>
      </c>
    </row>
    <row r="23" spans="1:17">
      <c r="A23" s="477" t="s">
        <v>155</v>
      </c>
      <c r="B23" s="478">
        <f t="shared" ca="1" si="2"/>
        <v>1633.1595728839177</v>
      </c>
      <c r="C23" s="478">
        <f t="shared" ca="1" si="3"/>
        <v>0</v>
      </c>
      <c r="D23" s="478">
        <f t="shared" ca="1" si="4"/>
        <v>1078.6612290538483</v>
      </c>
      <c r="E23" s="478">
        <f t="shared" si="5"/>
        <v>21.226051864367072</v>
      </c>
      <c r="F23" s="478">
        <f t="shared" ca="1" si="6"/>
        <v>232.05173374275267</v>
      </c>
      <c r="G23" s="478">
        <f t="shared" si="7"/>
        <v>0</v>
      </c>
      <c r="H23" s="478">
        <f t="shared" si="8"/>
        <v>0</v>
      </c>
      <c r="I23" s="478">
        <f t="shared" si="9"/>
        <v>0</v>
      </c>
      <c r="J23" s="478">
        <f t="shared" si="10"/>
        <v>5.951300958616376E-3</v>
      </c>
      <c r="K23" s="478">
        <f t="shared" si="11"/>
        <v>0</v>
      </c>
      <c r="L23" s="478">
        <f t="shared" ca="1" si="12"/>
        <v>0</v>
      </c>
      <c r="M23" s="478">
        <f t="shared" si="13"/>
        <v>0</v>
      </c>
      <c r="N23" s="478">
        <f t="shared" ca="1" si="14"/>
        <v>0</v>
      </c>
      <c r="O23" s="478">
        <f t="shared" si="15"/>
        <v>0</v>
      </c>
      <c r="P23" s="479">
        <f t="shared" si="16"/>
        <v>0</v>
      </c>
      <c r="Q23" s="477">
        <f t="shared" ref="Q23:Q31" ca="1" si="17">SUM(B23:P23)</f>
        <v>2965.1045388458447</v>
      </c>
    </row>
    <row r="24" spans="1:17">
      <c r="A24" s="477" t="s">
        <v>193</v>
      </c>
      <c r="B24" s="478">
        <f t="shared" ca="1" si="2"/>
        <v>65.07825851657644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65.07825851657644</v>
      </c>
    </row>
    <row r="25" spans="1:17">
      <c r="A25" s="477" t="s">
        <v>111</v>
      </c>
      <c r="B25" s="478">
        <f t="shared" ca="1" si="2"/>
        <v>18.811329137819293</v>
      </c>
      <c r="C25" s="478">
        <f t="shared" ca="1" si="3"/>
        <v>0</v>
      </c>
      <c r="D25" s="478">
        <f t="shared" si="4"/>
        <v>16.727548695616001</v>
      </c>
      <c r="E25" s="478">
        <f t="shared" si="5"/>
        <v>0.6104544841463645</v>
      </c>
      <c r="F25" s="478">
        <f t="shared" si="6"/>
        <v>81.307324579086554</v>
      </c>
      <c r="G25" s="478">
        <f t="shared" si="7"/>
        <v>0</v>
      </c>
      <c r="H25" s="478">
        <f t="shared" si="8"/>
        <v>0</v>
      </c>
      <c r="I25" s="478">
        <f t="shared" si="9"/>
        <v>0</v>
      </c>
      <c r="J25" s="478">
        <f t="shared" si="10"/>
        <v>8.4037678803637483</v>
      </c>
      <c r="K25" s="478">
        <f t="shared" si="11"/>
        <v>0</v>
      </c>
      <c r="L25" s="478">
        <f t="shared" si="12"/>
        <v>0</v>
      </c>
      <c r="M25" s="478">
        <f t="shared" si="13"/>
        <v>0</v>
      </c>
      <c r="N25" s="478">
        <f t="shared" si="14"/>
        <v>0</v>
      </c>
      <c r="O25" s="478">
        <f t="shared" si="15"/>
        <v>0</v>
      </c>
      <c r="P25" s="479">
        <f t="shared" si="16"/>
        <v>0</v>
      </c>
      <c r="Q25" s="477">
        <f t="shared" ca="1" si="17"/>
        <v>125.86042477703197</v>
      </c>
    </row>
    <row r="26" spans="1:17">
      <c r="A26" s="477" t="s">
        <v>629</v>
      </c>
      <c r="B26" s="478">
        <f t="shared" ca="1" si="2"/>
        <v>71.358220845602474</v>
      </c>
      <c r="C26" s="478">
        <f t="shared" ca="1" si="3"/>
        <v>0</v>
      </c>
      <c r="D26" s="478">
        <f t="shared" si="4"/>
        <v>119.670283894788</v>
      </c>
      <c r="E26" s="478">
        <f t="shared" si="5"/>
        <v>7.0110528763731681</v>
      </c>
      <c r="F26" s="478">
        <f t="shared" si="6"/>
        <v>27.19066273996139</v>
      </c>
      <c r="G26" s="478">
        <f t="shared" si="7"/>
        <v>0</v>
      </c>
      <c r="H26" s="478">
        <f t="shared" si="8"/>
        <v>0</v>
      </c>
      <c r="I26" s="478">
        <f t="shared" si="9"/>
        <v>0</v>
      </c>
      <c r="J26" s="478">
        <f t="shared" si="10"/>
        <v>0.75947229471954403</v>
      </c>
      <c r="K26" s="478">
        <f t="shared" si="11"/>
        <v>0</v>
      </c>
      <c r="L26" s="478">
        <f t="shared" si="12"/>
        <v>0</v>
      </c>
      <c r="M26" s="478">
        <f t="shared" si="13"/>
        <v>0</v>
      </c>
      <c r="N26" s="478">
        <f t="shared" si="14"/>
        <v>0</v>
      </c>
      <c r="O26" s="478">
        <f t="shared" si="15"/>
        <v>0</v>
      </c>
      <c r="P26" s="479">
        <f t="shared" si="16"/>
        <v>0</v>
      </c>
      <c r="Q26" s="477">
        <f t="shared" ca="1" si="17"/>
        <v>225.98969265144459</v>
      </c>
    </row>
    <row r="27" spans="1:17" s="483" customFormat="1">
      <c r="A27" s="481" t="s">
        <v>555</v>
      </c>
      <c r="B27" s="801">
        <f t="shared" ca="1" si="2"/>
        <v>1.922958163023726</v>
      </c>
      <c r="C27" s="482">
        <f t="shared" ca="1" si="3"/>
        <v>0</v>
      </c>
      <c r="D27" s="482">
        <f t="shared" si="4"/>
        <v>10.949043156405201</v>
      </c>
      <c r="E27" s="482">
        <f t="shared" si="5"/>
        <v>8.9865859894339657</v>
      </c>
      <c r="F27" s="482">
        <f t="shared" si="6"/>
        <v>0</v>
      </c>
      <c r="G27" s="482">
        <f t="shared" si="7"/>
        <v>3041.1353261686654</v>
      </c>
      <c r="H27" s="482">
        <f t="shared" si="8"/>
        <v>987.02656451854591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4050.0204779960741</v>
      </c>
    </row>
    <row r="28" spans="1:17" ht="16.5" customHeight="1">
      <c r="A28" s="477" t="s">
        <v>545</v>
      </c>
      <c r="B28" s="478">
        <f t="shared" ca="1" si="2"/>
        <v>0</v>
      </c>
      <c r="C28" s="478">
        <f t="shared" ca="1" si="3"/>
        <v>0</v>
      </c>
      <c r="D28" s="478">
        <f t="shared" si="4"/>
        <v>0</v>
      </c>
      <c r="E28" s="478">
        <f t="shared" si="5"/>
        <v>0</v>
      </c>
      <c r="F28" s="478">
        <f t="shared" si="6"/>
        <v>0</v>
      </c>
      <c r="G28" s="478">
        <f t="shared" si="7"/>
        <v>66.821553616633281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66.821553616633281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51.050978770957265</v>
      </c>
      <c r="C32" s="478">
        <f t="shared" ca="1" si="3"/>
        <v>0</v>
      </c>
      <c r="D32" s="478">
        <f t="shared" si="4"/>
        <v>331.35624146599997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382.40722023695724</v>
      </c>
    </row>
    <row r="33" spans="1:17" s="489" customFormat="1">
      <c r="A33" s="487" t="s">
        <v>549</v>
      </c>
      <c r="B33" s="488">
        <f ca="1">SUM(B22:B32)</f>
        <v>3403.451869279997</v>
      </c>
      <c r="C33" s="488">
        <f t="shared" ref="C33:Q33" ca="1" si="19">SUM(C22:C32)</f>
        <v>0</v>
      </c>
      <c r="D33" s="488">
        <f t="shared" ca="1" si="19"/>
        <v>7714.6884428109397</v>
      </c>
      <c r="E33" s="488">
        <f t="shared" si="19"/>
        <v>192.2836465058808</v>
      </c>
      <c r="F33" s="488">
        <f t="shared" ca="1" si="19"/>
        <v>1106.6523897341581</v>
      </c>
      <c r="G33" s="488">
        <f t="shared" si="19"/>
        <v>3107.9568797852985</v>
      </c>
      <c r="H33" s="488">
        <f t="shared" si="19"/>
        <v>987.02656451854591</v>
      </c>
      <c r="I33" s="488">
        <f t="shared" si="19"/>
        <v>0</v>
      </c>
      <c r="J33" s="488">
        <f t="shared" si="19"/>
        <v>9.1691914760419078</v>
      </c>
      <c r="K33" s="488">
        <f t="shared" si="19"/>
        <v>0</v>
      </c>
      <c r="L33" s="488">
        <f t="shared" ca="1" si="19"/>
        <v>0</v>
      </c>
      <c r="M33" s="488">
        <f t="shared" si="19"/>
        <v>0</v>
      </c>
      <c r="N33" s="488">
        <f t="shared" ca="1" si="19"/>
        <v>0</v>
      </c>
      <c r="O33" s="488">
        <f t="shared" si="19"/>
        <v>0</v>
      </c>
      <c r="P33" s="488">
        <f t="shared" si="19"/>
        <v>0</v>
      </c>
      <c r="Q33" s="488">
        <f t="shared" ca="1" si="19"/>
        <v>16521.228984110865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189.48770389324574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189.48770389324574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0.21831382115290907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0.21831382115290907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0.21831382115290907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0.21831382115290907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1935</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146.13999999999999</v>
      </c>
    </row>
    <row r="15" spans="1:6">
      <c r="A15" s="348" t="s">
        <v>183</v>
      </c>
      <c r="B15" s="334">
        <v>0</v>
      </c>
    </row>
    <row r="16" spans="1:6">
      <c r="A16" s="348" t="s">
        <v>6</v>
      </c>
      <c r="B16" s="334">
        <v>0</v>
      </c>
    </row>
    <row r="17" spans="1:6">
      <c r="A17" s="348" t="s">
        <v>7</v>
      </c>
      <c r="B17" s="334">
        <v>21</v>
      </c>
    </row>
    <row r="18" spans="1:6">
      <c r="A18" s="348" t="s">
        <v>8</v>
      </c>
      <c r="B18" s="334">
        <v>14</v>
      </c>
    </row>
    <row r="19" spans="1:6">
      <c r="A19" s="348" t="s">
        <v>9</v>
      </c>
      <c r="B19" s="334">
        <v>11</v>
      </c>
    </row>
    <row r="20" spans="1:6">
      <c r="A20" s="348" t="s">
        <v>10</v>
      </c>
      <c r="B20" s="334">
        <v>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4788</v>
      </c>
    </row>
    <row r="39" spans="1:6">
      <c r="A39" s="348" t="s">
        <v>29</v>
      </c>
      <c r="B39" s="348" t="s">
        <v>30</v>
      </c>
      <c r="C39" s="334">
        <v>1574</v>
      </c>
      <c r="D39" s="334">
        <v>33793572.57</v>
      </c>
      <c r="E39" s="334">
        <v>1915</v>
      </c>
      <c r="F39" s="334">
        <v>6993767.0710000005</v>
      </c>
    </row>
    <row r="40" spans="1:6">
      <c r="A40" s="348" t="s">
        <v>29</v>
      </c>
      <c r="B40" s="348" t="s">
        <v>28</v>
      </c>
      <c r="C40" s="334">
        <v>0</v>
      </c>
      <c r="D40" s="334">
        <v>0</v>
      </c>
      <c r="E40" s="334">
        <v>0</v>
      </c>
      <c r="F40" s="334">
        <v>0</v>
      </c>
    </row>
    <row r="41" spans="1:6">
      <c r="A41" s="348" t="s">
        <v>31</v>
      </c>
      <c r="B41" s="348" t="s">
        <v>32</v>
      </c>
      <c r="C41" s="334">
        <v>0</v>
      </c>
      <c r="D41" s="334">
        <v>0</v>
      </c>
      <c r="E41" s="334">
        <v>11</v>
      </c>
      <c r="F41" s="334">
        <v>67165.016000000003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15</v>
      </c>
      <c r="D48" s="334">
        <v>656792.84699999995</v>
      </c>
      <c r="E48" s="334">
        <v>17</v>
      </c>
      <c r="F48" s="334">
        <v>259695.74100000001</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3</v>
      </c>
      <c r="F51" s="334">
        <v>83208.914000000004</v>
      </c>
    </row>
    <row r="52" spans="1:6">
      <c r="A52" s="348" t="s">
        <v>41</v>
      </c>
      <c r="B52" s="348" t="s">
        <v>28</v>
      </c>
      <c r="C52" s="334">
        <v>1</v>
      </c>
      <c r="D52" s="334">
        <v>91806.703999999998</v>
      </c>
      <c r="E52" s="334">
        <v>1</v>
      </c>
      <c r="F52" s="334">
        <v>2957.5459999999998</v>
      </c>
    </row>
    <row r="53" spans="1:6">
      <c r="A53" s="348" t="s">
        <v>43</v>
      </c>
      <c r="B53" s="348" t="s">
        <v>44</v>
      </c>
      <c r="C53" s="334">
        <v>36</v>
      </c>
      <c r="D53" s="334">
        <v>1640377.433</v>
      </c>
      <c r="E53" s="334">
        <v>59</v>
      </c>
      <c r="F53" s="334">
        <v>233842.17499999999</v>
      </c>
    </row>
    <row r="54" spans="1:6">
      <c r="A54" s="348" t="s">
        <v>45</v>
      </c>
      <c r="B54" s="348" t="s">
        <v>46</v>
      </c>
      <c r="C54" s="334">
        <v>0</v>
      </c>
      <c r="D54" s="334">
        <v>0</v>
      </c>
      <c r="E54" s="334">
        <v>1</v>
      </c>
      <c r="F54" s="334">
        <v>298095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18</v>
      </c>
      <c r="D57" s="334">
        <v>933526.26300000004</v>
      </c>
      <c r="E57" s="334">
        <v>24</v>
      </c>
      <c r="F57" s="334">
        <v>278950.73100000003</v>
      </c>
    </row>
    <row r="58" spans="1:6">
      <c r="A58" s="348" t="s">
        <v>48</v>
      </c>
      <c r="B58" s="348" t="s">
        <v>50</v>
      </c>
      <c r="C58" s="334">
        <v>7</v>
      </c>
      <c r="D58" s="334">
        <v>207987.18599999999</v>
      </c>
      <c r="E58" s="334">
        <v>8</v>
      </c>
      <c r="F58" s="334">
        <v>44200.493999999999</v>
      </c>
    </row>
    <row r="59" spans="1:6">
      <c r="A59" s="348" t="s">
        <v>48</v>
      </c>
      <c r="B59" s="348" t="s">
        <v>51</v>
      </c>
      <c r="C59" s="334">
        <v>12</v>
      </c>
      <c r="D59" s="334">
        <v>353951.48499999999</v>
      </c>
      <c r="E59" s="334">
        <v>20</v>
      </c>
      <c r="F59" s="334">
        <v>227360.663</v>
      </c>
    </row>
    <row r="60" spans="1:6">
      <c r="A60" s="348" t="s">
        <v>48</v>
      </c>
      <c r="B60" s="348" t="s">
        <v>52</v>
      </c>
      <c r="C60" s="334">
        <v>13</v>
      </c>
      <c r="D60" s="334">
        <v>557345.527</v>
      </c>
      <c r="E60" s="334">
        <v>14</v>
      </c>
      <c r="F60" s="334">
        <v>182669.06</v>
      </c>
    </row>
    <row r="61" spans="1:6">
      <c r="A61" s="348" t="s">
        <v>48</v>
      </c>
      <c r="B61" s="348" t="s">
        <v>53</v>
      </c>
      <c r="C61" s="334">
        <v>52</v>
      </c>
      <c r="D61" s="334">
        <v>1725366.7990000001</v>
      </c>
      <c r="E61" s="334">
        <v>75</v>
      </c>
      <c r="F61" s="334">
        <v>446311.05699999997</v>
      </c>
    </row>
    <row r="62" spans="1:6">
      <c r="A62" s="348" t="s">
        <v>48</v>
      </c>
      <c r="B62" s="348" t="s">
        <v>54</v>
      </c>
      <c r="C62" s="334">
        <v>0</v>
      </c>
      <c r="D62" s="334">
        <v>0</v>
      </c>
      <c r="E62" s="334">
        <v>0</v>
      </c>
      <c r="F62" s="334">
        <v>0</v>
      </c>
    </row>
    <row r="63" spans="1:6">
      <c r="A63" s="348" t="s">
        <v>48</v>
      </c>
      <c r="B63" s="348" t="s">
        <v>28</v>
      </c>
      <c r="C63" s="334">
        <v>55</v>
      </c>
      <c r="D63" s="334">
        <v>2141897.102</v>
      </c>
      <c r="E63" s="334">
        <v>73</v>
      </c>
      <c r="F63" s="334">
        <v>6301296.7249999996</v>
      </c>
    </row>
    <row r="64" spans="1:6">
      <c r="A64" s="348" t="s">
        <v>55</v>
      </c>
      <c r="B64" s="348" t="s">
        <v>56</v>
      </c>
      <c r="C64" s="334">
        <v>0</v>
      </c>
      <c r="D64" s="334">
        <v>0</v>
      </c>
      <c r="E64" s="334">
        <v>0</v>
      </c>
      <c r="F64" s="334">
        <v>0</v>
      </c>
    </row>
    <row r="65" spans="1:6">
      <c r="A65" s="348" t="s">
        <v>55</v>
      </c>
      <c r="B65" s="348" t="s">
        <v>28</v>
      </c>
      <c r="C65" s="334">
        <v>3</v>
      </c>
      <c r="D65" s="334">
        <v>123722.923</v>
      </c>
      <c r="E65" s="334">
        <v>3</v>
      </c>
      <c r="F65" s="334">
        <v>27040.351999999999</v>
      </c>
    </row>
    <row r="66" spans="1:6">
      <c r="A66" s="348" t="s">
        <v>55</v>
      </c>
      <c r="B66" s="348" t="s">
        <v>57</v>
      </c>
      <c r="C66" s="334">
        <v>0</v>
      </c>
      <c r="D66" s="334">
        <v>0</v>
      </c>
      <c r="E66" s="334">
        <v>3</v>
      </c>
      <c r="F66" s="334">
        <v>93152.036999999997</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0</v>
      </c>
      <c r="E73" s="476"/>
    </row>
    <row r="74" spans="1:6">
      <c r="A74" s="348" t="s">
        <v>63</v>
      </c>
      <c r="B74" s="348" t="s">
        <v>651</v>
      </c>
      <c r="C74" s="1307" t="s">
        <v>653</v>
      </c>
      <c r="D74" s="476">
        <v>0</v>
      </c>
      <c r="E74" s="476"/>
    </row>
    <row r="75" spans="1:6">
      <c r="A75" s="348" t="s">
        <v>64</v>
      </c>
      <c r="B75" s="348" t="s">
        <v>650</v>
      </c>
      <c r="C75" s="1307" t="s">
        <v>654</v>
      </c>
      <c r="D75" s="476">
        <v>16219757</v>
      </c>
      <c r="E75" s="476"/>
    </row>
    <row r="76" spans="1:6">
      <c r="A76" s="348" t="s">
        <v>64</v>
      </c>
      <c r="B76" s="348" t="s">
        <v>651</v>
      </c>
      <c r="C76" s="1307" t="s">
        <v>655</v>
      </c>
      <c r="D76" s="476">
        <v>413404</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73392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161.39398436905412</v>
      </c>
    </row>
    <row r="92" spans="1:6">
      <c r="A92" s="341" t="s">
        <v>68</v>
      </c>
      <c r="B92" s="342">
        <v>28.093719524191627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1194</v>
      </c>
    </row>
    <row r="98" spans="1:6">
      <c r="A98" s="348" t="s">
        <v>71</v>
      </c>
      <c r="B98" s="334">
        <v>0</v>
      </c>
    </row>
    <row r="99" spans="1:6">
      <c r="A99" s="348" t="s">
        <v>72</v>
      </c>
      <c r="B99" s="334">
        <v>9</v>
      </c>
    </row>
    <row r="100" spans="1:6">
      <c r="A100" s="348" t="s">
        <v>73</v>
      </c>
      <c r="B100" s="334">
        <v>91</v>
      </c>
    </row>
    <row r="101" spans="1:6">
      <c r="A101" s="348" t="s">
        <v>74</v>
      </c>
      <c r="B101" s="334">
        <v>14</v>
      </c>
    </row>
    <row r="102" spans="1:6">
      <c r="A102" s="348" t="s">
        <v>75</v>
      </c>
      <c r="B102" s="334">
        <v>42</v>
      </c>
    </row>
    <row r="103" spans="1:6">
      <c r="A103" s="348" t="s">
        <v>76</v>
      </c>
      <c r="B103" s="334">
        <v>15</v>
      </c>
    </row>
    <row r="104" spans="1:6">
      <c r="A104" s="348" t="s">
        <v>77</v>
      </c>
      <c r="B104" s="334">
        <v>480</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v>
      </c>
      <c r="C123" s="334">
        <v>1</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16</v>
      </c>
    </row>
    <row r="130" spans="1:6">
      <c r="A130" s="348" t="s">
        <v>294</v>
      </c>
      <c r="B130" s="334">
        <v>1</v>
      </c>
    </row>
    <row r="131" spans="1:6">
      <c r="A131" s="348" t="s">
        <v>295</v>
      </c>
      <c r="B131" s="334">
        <v>0</v>
      </c>
    </row>
    <row r="132" spans="1:6">
      <c r="A132" s="341" t="s">
        <v>296</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15589.722406517665</v>
      </c>
      <c r="C3" s="43" t="s">
        <v>169</v>
      </c>
      <c r="D3" s="43"/>
      <c r="E3" s="154"/>
      <c r="F3" s="43"/>
      <c r="G3" s="43"/>
      <c r="H3" s="43"/>
      <c r="I3" s="43"/>
      <c r="J3" s="43"/>
      <c r="K3" s="96"/>
    </row>
    <row r="4" spans="1:11">
      <c r="A4" s="383" t="s">
        <v>170</v>
      </c>
      <c r="B4" s="49">
        <f>IF(ISERROR('SEAP template'!B78),0,'SEAP template'!B78)</f>
        <v>189.48770389324574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0.21831382115290907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298.09500000000003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298.09500000000003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0.21831382115290907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65.07825851657644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6993.7670710000002</v>
      </c>
      <c r="C5" s="17">
        <f>IF(ISERROR('Eigen informatie GS &amp; warmtenet'!B59),0,'Eigen informatie GS &amp; warmtenet'!B59)</f>
        <v>0</v>
      </c>
      <c r="D5" s="30">
        <f>(SUM(HH_hh_gas_kWh,HH_rest_gas_kWh)/1000)*0.902</f>
        <v>30481.802458140006</v>
      </c>
      <c r="E5" s="17">
        <f>B46*B57</f>
        <v>680.39427881744598</v>
      </c>
      <c r="F5" s="17">
        <f>B51*B62</f>
        <v>2869.2983845406643</v>
      </c>
      <c r="G5" s="18"/>
      <c r="H5" s="17"/>
      <c r="I5" s="17"/>
      <c r="J5" s="17">
        <f>B50*B61+C50*C61</f>
        <v>0</v>
      </c>
      <c r="K5" s="17"/>
      <c r="L5" s="17"/>
      <c r="M5" s="17"/>
      <c r="N5" s="17">
        <f>B48*B59+C48*C59</f>
        <v>1831.5836207745351</v>
      </c>
      <c r="O5" s="17">
        <f>B69*B70*B71</f>
        <v>33.727289729579546</v>
      </c>
      <c r="P5" s="17">
        <f>B77*B78*B79/1000-B77*B78*B79/1000/B80</f>
        <v>31.601877923055071</v>
      </c>
    </row>
    <row r="6" spans="1:16">
      <c r="A6" s="16" t="s">
        <v>615</v>
      </c>
      <c r="B6" s="809">
        <f>kWh_PV_kleiner_dan_10kW</f>
        <v>161.39398436905412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7155.1610553690543</v>
      </c>
      <c r="C8" s="21">
        <f>C5</f>
        <v>0</v>
      </c>
      <c r="D8" s="21">
        <f>D5</f>
        <v>30481.802458140006</v>
      </c>
      <c r="E8" s="21">
        <f>E5</f>
        <v>680.39427881744598</v>
      </c>
      <c r="F8" s="21">
        <f>F5</f>
        <v>2869.2983845406643</v>
      </c>
      <c r="G8" s="21"/>
      <c r="H8" s="21"/>
      <c r="I8" s="21"/>
      <c r="J8" s="21">
        <f>J5</f>
        <v>0</v>
      </c>
      <c r="K8" s="21"/>
      <c r="L8" s="21">
        <f>L5</f>
        <v>0</v>
      </c>
      <c r="M8" s="21">
        <f>M5</f>
        <v>0</v>
      </c>
      <c r="N8" s="21">
        <f>N5</f>
        <v>1831.5836207745351</v>
      </c>
      <c r="O8" s="21">
        <f>O5</f>
        <v>33.727289729579546</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0.21831382115290907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1562.0705509620998</v>
      </c>
      <c r="C12" s="23">
        <f ca="1">C10*C8</f>
        <v>0</v>
      </c>
      <c r="D12" s="23">
        <f>D8*D10</f>
        <v>6157.3240965442819</v>
      </c>
      <c r="E12" s="23">
        <f>E10*E8</f>
        <v>154.44950129156024</v>
      </c>
      <c r="F12" s="23">
        <f>F10*F8</f>
        <v>766.10266867235737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1194</v>
      </c>
      <c r="C18" s="166" t="s">
        <v>110</v>
      </c>
      <c r="D18" s="228"/>
      <c r="E18" s="15"/>
    </row>
    <row r="19" spans="1:7">
      <c r="A19" s="171" t="s">
        <v>71</v>
      </c>
      <c r="B19" s="37">
        <f>aantalw2001_ander</f>
        <v>0</v>
      </c>
      <c r="C19" s="166" t="s">
        <v>110</v>
      </c>
      <c r="D19" s="229"/>
      <c r="E19" s="15"/>
    </row>
    <row r="20" spans="1:7">
      <c r="A20" s="171" t="s">
        <v>72</v>
      </c>
      <c r="B20" s="37">
        <f>aantalw2001_propaan</f>
        <v>9</v>
      </c>
      <c r="C20" s="167">
        <f>IF(ISERROR(B20/SUM($B$20,$B$21,$B$22)*100),0,B20/SUM($B$20,$B$21,$B$22)*100)</f>
        <v>7.8947368421052628</v>
      </c>
      <c r="D20" s="229"/>
      <c r="E20" s="15"/>
    </row>
    <row r="21" spans="1:7">
      <c r="A21" s="171" t="s">
        <v>73</v>
      </c>
      <c r="B21" s="37">
        <f>aantalw2001_elektriciteit</f>
        <v>91</v>
      </c>
      <c r="C21" s="167">
        <f>IF(ISERROR(B21/SUM($B$20,$B$21,$B$22)*100),0,B21/SUM($B$20,$B$21,$B$22)*100)</f>
        <v>79.824561403508781</v>
      </c>
      <c r="D21" s="229"/>
      <c r="E21" s="15"/>
    </row>
    <row r="22" spans="1:7">
      <c r="A22" s="171" t="s">
        <v>74</v>
      </c>
      <c r="B22" s="37">
        <f>aantalw2001_hout</f>
        <v>14</v>
      </c>
      <c r="C22" s="167">
        <f>IF(ISERROR(B22/SUM($B$20,$B$21,$B$22)*100),0,B22/SUM($B$20,$B$21,$B$22)*100)</f>
        <v>12.280701754385964</v>
      </c>
      <c r="D22" s="229"/>
      <c r="E22" s="15"/>
    </row>
    <row r="23" spans="1:7">
      <c r="A23" s="171" t="s">
        <v>75</v>
      </c>
      <c r="B23" s="37">
        <f>aantalw2001_niet_gespec</f>
        <v>42</v>
      </c>
      <c r="C23" s="166" t="s">
        <v>110</v>
      </c>
      <c r="D23" s="228"/>
      <c r="E23" s="15"/>
    </row>
    <row r="24" spans="1:7">
      <c r="A24" s="171" t="s">
        <v>76</v>
      </c>
      <c r="B24" s="37">
        <f>aantalw2001_steenkool</f>
        <v>15</v>
      </c>
      <c r="C24" s="166" t="s">
        <v>110</v>
      </c>
      <c r="D24" s="229"/>
      <c r="E24" s="15"/>
    </row>
    <row r="25" spans="1:7">
      <c r="A25" s="171" t="s">
        <v>77</v>
      </c>
      <c r="B25" s="37">
        <f>aantalw2001_stookolie</f>
        <v>480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837</v>
      </c>
      <c r="B28" s="37">
        <f>aantalHuishoudens2011</f>
        <v>1935</v>
      </c>
      <c r="C28" s="36"/>
      <c r="D28" s="228"/>
    </row>
    <row r="29" spans="1:7" s="15" customFormat="1">
      <c r="A29" s="230" t="s">
        <v>838</v>
      </c>
      <c r="B29" s="37">
        <f>SUM(HH_hh_gas_aantal,HH_rest_gas_aantal)</f>
        <v>1574</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1574</v>
      </c>
      <c r="C32" s="167">
        <f>IF(ISERROR(B32/SUM($B$32,$B$34,$B$35,$B$36,$B$38,$B$39)*100),0,B32/SUM($B$32,$B$34,$B$35,$B$36,$B$38,$B$39)*100)</f>
        <v>81.469979296066256</v>
      </c>
      <c r="D32" s="233"/>
      <c r="G32" s="15"/>
    </row>
    <row r="33" spans="1:7">
      <c r="A33" s="171" t="s">
        <v>71</v>
      </c>
      <c r="B33" s="34" t="s">
        <v>110</v>
      </c>
      <c r="C33" s="167"/>
      <c r="D33" s="233"/>
      <c r="G33" s="15"/>
    </row>
    <row r="34" spans="1:7">
      <c r="A34" s="171" t="s">
        <v>72</v>
      </c>
      <c r="B34" s="33">
        <f>IF((($B$28-$B$32-$B$39-$B$77-$B$38)*C20/100)&lt;0,0,($B$28-$B$32-$B$39-$B$77-$B$38)*C20/100)</f>
        <v>17.368421052631579</v>
      </c>
      <c r="C34" s="167">
        <f>IF(ISERROR(B34/SUM($B$32,$B$34,$B$35,$B$36,$B$38,$B$39)*100),0,B34/SUM($B$32,$B$34,$B$35,$B$36,$B$38,$B$39)*100)</f>
        <v>0.89898659692710037</v>
      </c>
      <c r="D34" s="233"/>
      <c r="G34" s="15"/>
    </row>
    <row r="35" spans="1:7">
      <c r="A35" s="171" t="s">
        <v>73</v>
      </c>
      <c r="B35" s="33">
        <f>IF((($B$28-$B$32-$B$39-$B$77-$B$38)*C21/100)&lt;0,0,($B$28-$B$32-$B$39-$B$77-$B$38)*C21/100)</f>
        <v>175.61403508771932</v>
      </c>
      <c r="C35" s="167">
        <f>IF(ISERROR(B35/SUM($B$32,$B$34,$B$35,$B$36,$B$38,$B$39)*100),0,B35/SUM($B$32,$B$34,$B$35,$B$36,$B$38,$B$39)*100)</f>
        <v>9.0897533689295713</v>
      </c>
      <c r="D35" s="233"/>
      <c r="G35" s="15"/>
    </row>
    <row r="36" spans="1:7">
      <c r="A36" s="171" t="s">
        <v>74</v>
      </c>
      <c r="B36" s="33">
        <f>IF((($B$28-$B$32-$B$39-$B$77-$B$38)*C22/100)&lt;0,0,($B$28-$B$32-$B$39-$B$77-$B$38)*C22/100)</f>
        <v>27.017543859649123</v>
      </c>
      <c r="C36" s="167">
        <f>IF(ISERROR(B36/SUM($B$32,$B$34,$B$35,$B$36,$B$38,$B$39)*100),0,B36/SUM($B$32,$B$34,$B$35,$B$36,$B$38,$B$39)*100)</f>
        <v>1.398423595219934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138</v>
      </c>
      <c r="C39" s="167">
        <f>IF(ISERROR(B39/SUM($B$32,$B$34,$B$35,$B$36,$B$38,$B$39)*100),0,B39/SUM($B$32,$B$34,$B$35,$B$36,$B$38,$B$39)*100)</f>
        <v>7.1428571428571423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1574</v>
      </c>
      <c r="C44" s="34" t="s">
        <v>110</v>
      </c>
      <c r="D44" s="174"/>
    </row>
    <row r="45" spans="1:7">
      <c r="A45" s="171" t="s">
        <v>71</v>
      </c>
      <c r="B45" s="33" t="str">
        <f t="shared" si="0"/>
        <v>-</v>
      </c>
      <c r="C45" s="34" t="s">
        <v>110</v>
      </c>
      <c r="D45" s="174"/>
    </row>
    <row r="46" spans="1:7">
      <c r="A46" s="171" t="s">
        <v>72</v>
      </c>
      <c r="B46" s="33">
        <f t="shared" si="0"/>
        <v>17.368421052631579</v>
      </c>
      <c r="C46" s="34" t="s">
        <v>110</v>
      </c>
      <c r="D46" s="174"/>
    </row>
    <row r="47" spans="1:7">
      <c r="A47" s="171" t="s">
        <v>73</v>
      </c>
      <c r="B47" s="33">
        <f t="shared" si="0"/>
        <v>175.61403508771932</v>
      </c>
      <c r="C47" s="34" t="s">
        <v>110</v>
      </c>
      <c r="D47" s="174"/>
    </row>
    <row r="48" spans="1:7">
      <c r="A48" s="171" t="s">
        <v>74</v>
      </c>
      <c r="B48" s="33">
        <f t="shared" si="0"/>
        <v>27.017543859649123</v>
      </c>
      <c r="C48" s="33">
        <f>B48*10</f>
        <v>270.17543859649123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7480.7887299999993</v>
      </c>
      <c r="C5" s="17">
        <f>IF(ISERROR('Eigen informatie GS &amp; warmtenet'!B60),0,'Eigen informatie GS &amp; warmtenet'!B60)</f>
        <v>0</v>
      </c>
      <c r="D5" s="30">
        <f>SUM(D6:D12)</f>
        <v>5339.9070745240006</v>
      </c>
      <c r="E5" s="17">
        <f>SUM(E6:E12)</f>
        <v>93.506836406903403</v>
      </c>
      <c r="F5" s="17">
        <f>SUM(F6:F12)</f>
        <v>869.10761701405488</v>
      </c>
      <c r="G5" s="18"/>
      <c r="H5" s="17"/>
      <c r="I5" s="17"/>
      <c r="J5" s="17">
        <f>SUM(J6:J12)</f>
        <v>1.6811584628859819E-2</v>
      </c>
      <c r="K5" s="17"/>
      <c r="L5" s="17"/>
      <c r="M5" s="17"/>
      <c r="N5" s="17">
        <f>SUM(N6:N12)</f>
        <v>662.3603919512492</v>
      </c>
      <c r="O5" s="17">
        <f>B38*B39*B40</f>
        <v>4.8972607658411542</v>
      </c>
      <c r="P5" s="17">
        <f>B46*B47*B48/1000-B46*B47*B48/1000/B49</f>
        <v>0</v>
      </c>
      <c r="R5" s="32"/>
    </row>
    <row r="6" spans="1:18">
      <c r="A6" s="32" t="s">
        <v>53</v>
      </c>
      <c r="B6" s="37">
        <f>B26</f>
        <v>446.31105699999995</v>
      </c>
      <c r="C6" s="33"/>
      <c r="D6" s="37">
        <f>IF(ISERROR(TER_kantoor_gas_kWh/1000),0,TER_kantoor_gas_kWh/1000)*0.902</f>
        <v>1556.2808526980002</v>
      </c>
      <c r="E6" s="33">
        <f>$C$26*'E Balans VL '!I12/100/3.6*1000000</f>
        <v>3.5913219770804745</v>
      </c>
      <c r="F6" s="33">
        <f>$C$26*('E Balans VL '!L12+'E Balans VL '!N12)/100/3.6*1000000</f>
        <v>54.566221760254777</v>
      </c>
      <c r="G6" s="34"/>
      <c r="H6" s="33"/>
      <c r="I6" s="33"/>
      <c r="J6" s="33">
        <f>$C$26*('E Balans VL '!D12+'E Balans VL '!E12)/100/3.6*1000000</f>
        <v>0</v>
      </c>
      <c r="K6" s="33"/>
      <c r="L6" s="33"/>
      <c r="M6" s="33"/>
      <c r="N6" s="33">
        <f>$C$26*'E Balans VL '!Y12/100/3.6*1000000</f>
        <v>0.23987021469676817</v>
      </c>
      <c r="O6" s="33"/>
      <c r="P6" s="33"/>
      <c r="R6" s="32"/>
    </row>
    <row r="7" spans="1:18">
      <c r="A7" s="32" t="s">
        <v>52</v>
      </c>
      <c r="B7" s="37">
        <f t="shared" ref="B7:B12" si="0">B27</f>
        <v>182.66906</v>
      </c>
      <c r="C7" s="33"/>
      <c r="D7" s="37">
        <f>IF(ISERROR(TER_horeca_gas_kWh/1000),0,TER_horeca_gas_kWh/1000)*0.902</f>
        <v>502.72566535399994</v>
      </c>
      <c r="E7" s="33">
        <f>$C$27*'E Balans VL '!I9/100/3.6*1000000</f>
        <v>1.9614171476090463</v>
      </c>
      <c r="F7" s="33">
        <f>$C$27*('E Balans VL '!L9+'E Balans VL '!N9)/100/3.6*1000000</f>
        <v>21.970658432097263</v>
      </c>
      <c r="G7" s="34"/>
      <c r="H7" s="33"/>
      <c r="I7" s="33"/>
      <c r="J7" s="33">
        <f>$C$27*('E Balans VL '!D9+'E Balans VL '!E9)/100/3.6*1000000</f>
        <v>0</v>
      </c>
      <c r="K7" s="33"/>
      <c r="L7" s="33"/>
      <c r="M7" s="33"/>
      <c r="N7" s="33">
        <f>$C$27*'E Balans VL '!Y9/100/3.6*1000000</f>
        <v>2.7385794366017839E-2</v>
      </c>
      <c r="O7" s="33"/>
      <c r="P7" s="33"/>
      <c r="R7" s="32"/>
    </row>
    <row r="8" spans="1:18">
      <c r="A8" s="6" t="s">
        <v>51</v>
      </c>
      <c r="B8" s="37">
        <f t="shared" si="0"/>
        <v>227.36066299999999</v>
      </c>
      <c r="C8" s="33"/>
      <c r="D8" s="37">
        <f>IF(ISERROR(TER_handel_gas_kWh/1000),0,TER_handel_gas_kWh/1000)*0.902</f>
        <v>319.26423947000001</v>
      </c>
      <c r="E8" s="33">
        <f>$C$28*'E Balans VL '!I13/100/3.6*1000000</f>
        <v>6.1016641370025395</v>
      </c>
      <c r="F8" s="33">
        <f>$C$28*('E Balans VL '!L13+'E Balans VL '!N13)/100/3.6*1000000</f>
        <v>21.697214686518681</v>
      </c>
      <c r="G8" s="34"/>
      <c r="H8" s="33"/>
      <c r="I8" s="33"/>
      <c r="J8" s="33">
        <f>$C$28*('E Balans VL '!D13+'E Balans VL '!E13)/100/3.6*1000000</f>
        <v>0</v>
      </c>
      <c r="K8" s="33"/>
      <c r="L8" s="33"/>
      <c r="M8" s="33"/>
      <c r="N8" s="33">
        <f>$C$28*'E Balans VL '!Y13/100/3.6*1000000</f>
        <v>9.0128351991581465E-2</v>
      </c>
      <c r="O8" s="33"/>
      <c r="P8" s="33"/>
      <c r="R8" s="32"/>
    </row>
    <row r="9" spans="1:18">
      <c r="A9" s="32" t="s">
        <v>50</v>
      </c>
      <c r="B9" s="37">
        <f t="shared" si="0"/>
        <v>44.200493999999999</v>
      </c>
      <c r="C9" s="33"/>
      <c r="D9" s="37">
        <f>IF(ISERROR(TER_gezond_gas_kWh/1000),0,TER_gezond_gas_kWh/1000)*0.902</f>
        <v>187.60444177199997</v>
      </c>
      <c r="E9" s="33">
        <f>$C$29*'E Balans VL '!I10/100/3.6*1000000</f>
        <v>8.2846118061814966E-2</v>
      </c>
      <c r="F9" s="33">
        <f>$C$29*('E Balans VL '!L10+'E Balans VL '!N10)/100/3.6*1000000</f>
        <v>3.6336839052322687</v>
      </c>
      <c r="G9" s="34"/>
      <c r="H9" s="33"/>
      <c r="I9" s="33"/>
      <c r="J9" s="33">
        <f>$C$29*('E Balans VL '!D10+'E Balans VL '!E10)/100/3.6*1000000</f>
        <v>0</v>
      </c>
      <c r="K9" s="33"/>
      <c r="L9" s="33"/>
      <c r="M9" s="33"/>
      <c r="N9" s="33">
        <f>$C$29*'E Balans VL '!Y10/100/3.6*1000000</f>
        <v>0.34391282162707648</v>
      </c>
      <c r="O9" s="33"/>
      <c r="P9" s="33"/>
      <c r="R9" s="32"/>
    </row>
    <row r="10" spans="1:18">
      <c r="A10" s="32" t="s">
        <v>49</v>
      </c>
      <c r="B10" s="37">
        <f t="shared" si="0"/>
        <v>278.95073100000002</v>
      </c>
      <c r="C10" s="33"/>
      <c r="D10" s="37">
        <f>IF(ISERROR(TER_ander_gas_kWh/1000),0,TER_ander_gas_kWh/1000)*0.902</f>
        <v>842.04068922600015</v>
      </c>
      <c r="E10" s="33">
        <f>$C$30*'E Balans VL '!I14/100/3.6*1000000</f>
        <v>0.43000537840058323</v>
      </c>
      <c r="F10" s="33">
        <f>$C$30*('E Balans VL '!L14+'E Balans VL '!N14)/100/3.6*1000000</f>
        <v>43.307177996333138</v>
      </c>
      <c r="G10" s="34"/>
      <c r="H10" s="33"/>
      <c r="I10" s="33"/>
      <c r="J10" s="33">
        <f>$C$30*('E Balans VL '!D14+'E Balans VL '!E14)/100/3.6*1000000</f>
        <v>4.7354828470838441E-3</v>
      </c>
      <c r="K10" s="33"/>
      <c r="L10" s="33"/>
      <c r="M10" s="33"/>
      <c r="N10" s="33">
        <f>$C$30*'E Balans VL '!Y14/100/3.6*1000000</f>
        <v>184.54486332578071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6301.2967249999992</v>
      </c>
      <c r="C12" s="33"/>
      <c r="D12" s="37">
        <f>IF(ISERROR(TER_rest_gas_kWh/1000),0,TER_rest_gas_kWh/1000)*0.902</f>
        <v>1931.9911860039999</v>
      </c>
      <c r="E12" s="33">
        <f>$C$32*'E Balans VL '!I8/100/3.6*1000000</f>
        <v>81.339581648748947</v>
      </c>
      <c r="F12" s="33">
        <f>$C$32*('E Balans VL '!L8+'E Balans VL '!N8)/100/3.6*1000000</f>
        <v>723.93266023361878</v>
      </c>
      <c r="G12" s="34"/>
      <c r="H12" s="33"/>
      <c r="I12" s="33"/>
      <c r="J12" s="33">
        <f>$C$32*('E Balans VL '!D8+'E Balans VL '!E8)/100/3.6*1000000</f>
        <v>1.2076101781775974E-2</v>
      </c>
      <c r="K12" s="33"/>
      <c r="L12" s="33"/>
      <c r="M12" s="33"/>
      <c r="N12" s="33">
        <f>$C$32*'E Balans VL '!Y8/100/3.6*1000000</f>
        <v>477.114231442787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7480.7887299999993</v>
      </c>
      <c r="C16" s="21">
        <f t="shared" ca="1" si="1"/>
        <v>0</v>
      </c>
      <c r="D16" s="21">
        <f t="shared" ca="1" si="1"/>
        <v>5339.9070745240006</v>
      </c>
      <c r="E16" s="21">
        <f t="shared" si="1"/>
        <v>93.506836406903403</v>
      </c>
      <c r="F16" s="21">
        <f t="shared" ca="1" si="1"/>
        <v>869.10761701405488</v>
      </c>
      <c r="G16" s="21">
        <f t="shared" si="1"/>
        <v>0</v>
      </c>
      <c r="H16" s="21">
        <f t="shared" si="1"/>
        <v>0</v>
      </c>
      <c r="I16" s="21">
        <f t="shared" si="1"/>
        <v>0</v>
      </c>
      <c r="J16" s="21">
        <f t="shared" si="1"/>
        <v>1.6811584628859819E-2</v>
      </c>
      <c r="K16" s="21">
        <f t="shared" si="1"/>
        <v>0</v>
      </c>
      <c r="L16" s="21">
        <f t="shared" ca="1" si="1"/>
        <v>0</v>
      </c>
      <c r="M16" s="21">
        <f t="shared" si="1"/>
        <v>0</v>
      </c>
      <c r="N16" s="21">
        <f t="shared" ca="1" si="1"/>
        <v>662.3603919512492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0.21831382115290907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1633.1595728839177</v>
      </c>
      <c r="C20" s="23">
        <f t="shared" ref="C20:P20" ca="1" si="2">C16*C18</f>
        <v>0</v>
      </c>
      <c r="D20" s="23">
        <f t="shared" ca="1" si="2"/>
        <v>1078.6612290538483</v>
      </c>
      <c r="E20" s="23">
        <f t="shared" si="2"/>
        <v>21.226051864367072</v>
      </c>
      <c r="F20" s="23">
        <f t="shared" ca="1" si="2"/>
        <v>232.05173374275267</v>
      </c>
      <c r="G20" s="23">
        <f t="shared" si="2"/>
        <v>0</v>
      </c>
      <c r="H20" s="23">
        <f t="shared" si="2"/>
        <v>0</v>
      </c>
      <c r="I20" s="23">
        <f t="shared" si="2"/>
        <v>0</v>
      </c>
      <c r="J20" s="23">
        <f t="shared" si="2"/>
        <v>5.951300958616376E-3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446.31105699999995</v>
      </c>
      <c r="C26" s="39">
        <f>IF(ISERROR(B26*3.6/1000000/'E Balans VL '!Z12*100),0,B26*3.6/1000000/'E Balans VL '!Z12*100)</f>
        <v>9.4680807465276143E-3</v>
      </c>
      <c r="D26" s="237" t="s">
        <v>716</v>
      </c>
      <c r="F26" s="6"/>
    </row>
    <row r="27" spans="1:18">
      <c r="A27" s="231" t="s">
        <v>52</v>
      </c>
      <c r="B27" s="33">
        <f>IF(ISERROR(TER_horeca_ele_kWh/1000),0,TER_horeca_ele_kWh/1000)</f>
        <v>182.66906</v>
      </c>
      <c r="C27" s="39">
        <f>IF(ISERROR(B27*3.6/1000000/'E Balans VL '!Z9*100),0,B27*3.6/1000000/'E Balans VL '!Z9*100)</f>
        <v>1.3756598393065877E-2</v>
      </c>
      <c r="D27" s="237" t="s">
        <v>716</v>
      </c>
      <c r="F27" s="6"/>
    </row>
    <row r="28" spans="1:18">
      <c r="A28" s="171" t="s">
        <v>51</v>
      </c>
      <c r="B28" s="33">
        <f>IF(ISERROR(TER_handel_ele_kWh/1000),0,TER_handel_ele_kWh/1000)</f>
        <v>227.36066299999999</v>
      </c>
      <c r="C28" s="39">
        <f>IF(ISERROR(B28*3.6/1000000/'E Balans VL '!Z13*100),0,B28*3.6/1000000/'E Balans VL '!Z13*100)</f>
        <v>6.5994744452064951E-3</v>
      </c>
      <c r="D28" s="237" t="s">
        <v>716</v>
      </c>
      <c r="F28" s="6"/>
    </row>
    <row r="29" spans="1:18">
      <c r="A29" s="231" t="s">
        <v>50</v>
      </c>
      <c r="B29" s="33">
        <f>IF(ISERROR(TER_gezond_ele_kWh/1000),0,TER_gezond_ele_kWh/1000)</f>
        <v>44.200493999999999</v>
      </c>
      <c r="C29" s="39">
        <f>IF(ISERROR(B29*3.6/1000000/'E Balans VL '!Z10*100),0,B29*3.6/1000000/'E Balans VL '!Z10*100)</f>
        <v>4.4576725311359765E-3</v>
      </c>
      <c r="D29" s="237" t="s">
        <v>716</v>
      </c>
      <c r="F29" s="6"/>
    </row>
    <row r="30" spans="1:18">
      <c r="A30" s="231" t="s">
        <v>49</v>
      </c>
      <c r="B30" s="33">
        <f>IF(ISERROR(TER_ander_ele_kWh/1000),0,TER_ander_ele_kWh/1000)</f>
        <v>278.95073100000002</v>
      </c>
      <c r="C30" s="39">
        <f>IF(ISERROR(B30*3.6/1000000/'E Balans VL '!Z14*100),0,B30*3.6/1000000/'E Balans VL '!Z14*100)</f>
        <v>2.0241681119794335E-2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6301.2967249999992</v>
      </c>
      <c r="C32" s="39">
        <f>IF(ISERROR(B32*3.6/1000000/'E Balans VL '!Z8*100),0,B32*3.6/1000000/'E Balans VL '!Z8*100)</f>
        <v>5.1618939257148479E-2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326.86075700000004</v>
      </c>
      <c r="C5" s="17">
        <f>IF(ISERROR('Eigen informatie GS &amp; warmtenet'!B61),0,'Eigen informatie GS &amp; warmtenet'!B61)</f>
        <v>0</v>
      </c>
      <c r="D5" s="30">
        <f>SUM(D6:D15)</f>
        <v>592.42714799399994</v>
      </c>
      <c r="E5" s="17">
        <f>SUM(E6:E15)</f>
        <v>30.885695490630695</v>
      </c>
      <c r="F5" s="17">
        <f>SUM(F6:F15)</f>
        <v>101.83768816464939</v>
      </c>
      <c r="G5" s="18"/>
      <c r="H5" s="17"/>
      <c r="I5" s="17"/>
      <c r="J5" s="17">
        <f>SUM(J6:J15)</f>
        <v>2.1454019624845877</v>
      </c>
      <c r="K5" s="17"/>
      <c r="L5" s="17"/>
      <c r="M5" s="17"/>
      <c r="N5" s="17">
        <f>SUM(N6:N15)</f>
        <v>14.982415426833239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67.165016000000008</v>
      </c>
      <c r="C9" s="33"/>
      <c r="D9" s="37">
        <f>IF( ISERROR(IND_andere_gas_kWh/1000),0,IND_andere_gas_kWh/1000)*0.902</f>
        <v>0</v>
      </c>
      <c r="E9" s="33">
        <f>C31*'E Balans VL '!I19/100/3.6*1000000</f>
        <v>18.612324042380994</v>
      </c>
      <c r="F9" s="33">
        <f>C31*'E Balans VL '!L19/100/3.6*1000000+C31*'E Balans VL '!N19/100/3.6*1000000</f>
        <v>55.666510405518203</v>
      </c>
      <c r="G9" s="34"/>
      <c r="H9" s="33"/>
      <c r="I9" s="33"/>
      <c r="J9" s="40">
        <f>C31*'E Balans VL '!D19/100/3.6*1000000+C31*'E Balans VL '!E19/100/3.6*1000000</f>
        <v>0</v>
      </c>
      <c r="K9" s="33"/>
      <c r="L9" s="33"/>
      <c r="M9" s="33"/>
      <c r="N9" s="33">
        <f>C31*'E Balans VL '!Y19/100/3.6*1000000</f>
        <v>4.8753586445183084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259.695741</v>
      </c>
      <c r="C15" s="33"/>
      <c r="D15" s="37">
        <f>IF( ISERROR(IND_rest_gas_kWh/1000),0,IND_rest_gas_kWh/1000)*0.902</f>
        <v>592.42714799399994</v>
      </c>
      <c r="E15" s="33">
        <f>C37*'E Balans VL '!I15/100/3.6*1000000</f>
        <v>12.273371448249701</v>
      </c>
      <c r="F15" s="33">
        <f>C37*'E Balans VL '!L15/100/3.6*1000000+C37*'E Balans VL '!N15/100/3.6*1000000</f>
        <v>46.171177759131197</v>
      </c>
      <c r="G15" s="34"/>
      <c r="H15" s="33"/>
      <c r="I15" s="33"/>
      <c r="J15" s="40">
        <f>C37*'E Balans VL '!D15/100/3.6*1000000+C37*'E Balans VL '!E15/100/3.6*1000000</f>
        <v>2.1454019624845877</v>
      </c>
      <c r="K15" s="33"/>
      <c r="L15" s="33"/>
      <c r="M15" s="33"/>
      <c r="N15" s="33">
        <f>C37*'E Balans VL '!Y15/100/3.6*1000000</f>
        <v>10.107056782314929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326.86075700000004</v>
      </c>
      <c r="C18" s="21">
        <f>C5+C16</f>
        <v>0</v>
      </c>
      <c r="D18" s="21">
        <f>MAX((D5+D16),0)</f>
        <v>592.42714799399994</v>
      </c>
      <c r="E18" s="21">
        <f>MAX((E5+E16),0)</f>
        <v>30.885695490630695</v>
      </c>
      <c r="F18" s="21">
        <f>MAX((F5+F16),0)</f>
        <v>101.83768816464939</v>
      </c>
      <c r="G18" s="21"/>
      <c r="H18" s="21"/>
      <c r="I18" s="21"/>
      <c r="J18" s="21">
        <f>MAX((J5+J16),0)</f>
        <v>2.1454019624845877</v>
      </c>
      <c r="K18" s="21"/>
      <c r="L18" s="21">
        <f>MAX((L5+L16),0)</f>
        <v>0</v>
      </c>
      <c r="M18" s="21"/>
      <c r="N18" s="21">
        <f>MAX((N5+N16),0)</f>
        <v>14.982415426833239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0.21831382115290907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71.358220845602474</v>
      </c>
      <c r="C22" s="23">
        <f ca="1">C18*C20</f>
        <v>0</v>
      </c>
      <c r="D22" s="23">
        <f>D18*D20</f>
        <v>119.670283894788</v>
      </c>
      <c r="E22" s="23">
        <f>E18*E20</f>
        <v>7.0110528763731681</v>
      </c>
      <c r="F22" s="23">
        <f>F18*F20</f>
        <v>27.19066273996139</v>
      </c>
      <c r="G22" s="23"/>
      <c r="H22" s="23"/>
      <c r="I22" s="23"/>
      <c r="J22" s="23">
        <f>J18*J20</f>
        <v>0.75947229471954403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67.165016000000008</v>
      </c>
      <c r="C31" s="39">
        <f>IF(ISERROR(B31*3.6/1000000/'E Balans VL '!Z19*100),0,B31*3.6/1000000/'E Balans VL '!Z19*100)</f>
        <v>3.3781825978304626E-3</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259.695741</v>
      </c>
      <c r="C37" s="39">
        <f>IF(ISERROR(B37*3.6/1000000/'E Balans VL '!Z15*100),0,B37*3.6/1000000/'E Balans VL '!Z15*100)</f>
        <v>2.0263369518740562E-3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86.166460000000001</v>
      </c>
      <c r="C5" s="17">
        <f>'Eigen informatie GS &amp; warmtenet'!B62</f>
        <v>0</v>
      </c>
      <c r="D5" s="30">
        <f>IF(ISERROR(SUM(LB_lb_gas_kWh,LB_rest_gas_kWh)/1000),0,SUM(LB_lb_gas_kWh,LB_rest_gas_kWh)/1000)*0.902</f>
        <v>82.809647007999999</v>
      </c>
      <c r="E5" s="17">
        <f>B17*'E Balans VL '!I25/3.6*1000000/100</f>
        <v>2.6892268024068922</v>
      </c>
      <c r="F5" s="17">
        <f>B17*('E Balans VL '!L25/3.6*1000000+'E Balans VL '!N25/3.6*1000000)/100</f>
        <v>304.52181490294589</v>
      </c>
      <c r="G5" s="18"/>
      <c r="H5" s="17"/>
      <c r="I5" s="17"/>
      <c r="J5" s="17">
        <f>('E Balans VL '!D25+'E Balans VL '!E25)/3.6*1000000*landbouw!B17/100</f>
        <v>23.739457289163134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86.166460000000001</v>
      </c>
      <c r="C8" s="21">
        <f>C5+C6</f>
        <v>0</v>
      </c>
      <c r="D8" s="21">
        <f>MAX((D5+D6),0)</f>
        <v>82.809647007999999</v>
      </c>
      <c r="E8" s="21">
        <f>MAX((E5+E6),0)</f>
        <v>2.6892268024068922</v>
      </c>
      <c r="F8" s="21">
        <f>MAX((F5+F6),0)</f>
        <v>304.52181490294589</v>
      </c>
      <c r="G8" s="21"/>
      <c r="H8" s="21"/>
      <c r="I8" s="21"/>
      <c r="J8" s="21">
        <f>MAX((J5+J6),0)</f>
        <v>23.739457289163134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0.21831382115290907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18.811329137819293</v>
      </c>
      <c r="C12" s="23">
        <f ca="1">C8*C10</f>
        <v>0</v>
      </c>
      <c r="D12" s="23">
        <f>D8*D10</f>
        <v>16.727548695616001</v>
      </c>
      <c r="E12" s="23">
        <f>E8*E10</f>
        <v>0.6104544841463645</v>
      </c>
      <c r="F12" s="23">
        <f>F8*F10</f>
        <v>81.307324579086554</v>
      </c>
      <c r="G12" s="23"/>
      <c r="H12" s="23"/>
      <c r="I12" s="23"/>
      <c r="J12" s="23">
        <f>J8*J10</f>
        <v>8.4037678803637483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1.2809261978695143E-2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3.2807640666681737</v>
      </c>
      <c r="C26" s="247">
        <f>B26*'GWP N2O_CH4'!B5</f>
        <v>68.896045400031653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0.15519151681458102</v>
      </c>
      <c r="C27" s="247">
        <f>B27*'GWP N2O_CH4'!B5</f>
        <v>3.2590218531062014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4.7096681357682191E-2</v>
      </c>
      <c r="C28" s="247">
        <f>B28*'GWP N2O_CH4'!B4</f>
        <v>14.599971220881478</v>
      </c>
      <c r="D28" s="50"/>
    </row>
    <row r="29" spans="1:4">
      <c r="A29" s="41" t="s">
        <v>276</v>
      </c>
      <c r="B29" s="247">
        <f>B34*'ha_N2O bodem landbouw'!B4</f>
        <v>0.98671662022827711</v>
      </c>
      <c r="C29" s="247">
        <f>B29*'GWP N2O_CH4'!B4</f>
        <v>305.88215227076591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2.1636918938276647E-4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3.1709624934999993E-5</v>
      </c>
      <c r="C5" s="463" t="s">
        <v>210</v>
      </c>
      <c r="D5" s="448">
        <f>SUM(D6:D11)</f>
        <v>1.9513146219336003E-4</v>
      </c>
      <c r="E5" s="448">
        <f>SUM(E6:E11)</f>
        <v>1.4251854432582501E-4</v>
      </c>
      <c r="F5" s="461" t="s">
        <v>210</v>
      </c>
      <c r="G5" s="448">
        <f>SUM(G6:G11)</f>
        <v>4.1004071813510096E-2</v>
      </c>
      <c r="H5" s="448">
        <f>SUM(H6:H11)</f>
        <v>1.4270263583400663E-2</v>
      </c>
      <c r="I5" s="463" t="s">
        <v>210</v>
      </c>
      <c r="J5" s="463" t="s">
        <v>210</v>
      </c>
      <c r="K5" s="463" t="s">
        <v>210</v>
      </c>
      <c r="L5" s="463" t="s">
        <v>210</v>
      </c>
      <c r="M5" s="448">
        <f>SUM(M6:M11)</f>
        <v>3.3025160583143179E-3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449"/>
      <c r="D6" s="917">
        <f>vkm_2011_GW_PW*SUMIFS(TableVerdeelsleutelVkm[CNG],TableVerdeelsleutelVkm[Voertuigtype],"Lichte voertuigen")*SUMIFS(TableECFTransport[EnergieConsumptieFactor (PJ per km)],TableECFTransport[Index],CONCATENATE($A6,"_CNG_CNG"))</f>
        <v>0</v>
      </c>
      <c r="E6" s="917">
        <f>vkm_2011_GW_PW*SUMIFS(TableVerdeelsleutelVkm[LPG],TableVerdeelsleutelVkm[Voertuigtype],"Lichte voertuigen")*SUMIFS(TableECFTransport[EnergieConsumptieFactor (PJ per km)],TableECFTransport[Index],CONCATENATE($A6,"_LPG_LPG"))</f>
        <v>0</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3.1709624934999993E-5</v>
      </c>
      <c r="C8" s="449"/>
      <c r="D8" s="451">
        <f>vkm_2011_NGW_PW*SUMIFS(TableVerdeelsleutelVkm[CNG],TableVerdeelsleutelVkm[Voertuigtype],"Lichte voertuigen")*SUMIFS(TableECFTransport[EnergieConsumptieFactor (PJ per km)],TableECFTransport[Index],CONCATENATE($A8,"_CNG_CNG"))</f>
        <v>1.9513146219336003E-4</v>
      </c>
      <c r="E8" s="451">
        <f>vkm_2011_NGW_PW*SUMIFS(TableVerdeelsleutelVkm[LPG],TableVerdeelsleutelVkm[Voertuigtype],"Lichte voertuigen")*SUMIFS(TableECFTransport[EnergieConsumptieFactor (PJ per km)],TableECFTransport[Index],CONCATENATE($A8,"_LPG_LPG"))</f>
        <v>1.4251854432582501E-4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3.6000767656697762E-2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1.4269074238766517E-2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3.0140145897703339E-3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5.003304156812334E-3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1.1893446341457245E-6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2.8850146854398397E-4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8.8082291486111082</v>
      </c>
      <c r="C14" s="21"/>
      <c r="D14" s="21">
        <f t="shared" ref="D14:M14" si="0">((D5)*10^9/3600)+D12</f>
        <v>54.203183942600006</v>
      </c>
      <c r="E14" s="21">
        <f t="shared" si="0"/>
        <v>39.588484534951391</v>
      </c>
      <c r="F14" s="21"/>
      <c r="G14" s="21">
        <f t="shared" si="0"/>
        <v>11390.019948197249</v>
      </c>
      <c r="H14" s="21">
        <f t="shared" si="0"/>
        <v>3963.9621065001843</v>
      </c>
      <c r="I14" s="21"/>
      <c r="J14" s="21"/>
      <c r="K14" s="21"/>
      <c r="L14" s="21"/>
      <c r="M14" s="21">
        <f t="shared" si="0"/>
        <v>917.36557175397718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0.21831382115290907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1.922958163023726</v>
      </c>
      <c r="C18" s="23"/>
      <c r="D18" s="23">
        <f t="shared" ref="D18:M18" si="1">D14*D16</f>
        <v>10.949043156405201</v>
      </c>
      <c r="E18" s="23">
        <f t="shared" si="1"/>
        <v>8.9865859894339657</v>
      </c>
      <c r="F18" s="23"/>
      <c r="G18" s="23">
        <f t="shared" si="1"/>
        <v>3041.1353261686654</v>
      </c>
      <c r="H18" s="23">
        <f t="shared" si="1"/>
        <v>987.02656451854591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9.0096476786471829E-4</v>
      </c>
      <c r="H50" s="321">
        <f t="shared" si="2"/>
        <v>0</v>
      </c>
      <c r="I50" s="321">
        <f t="shared" si="2"/>
        <v>0</v>
      </c>
      <c r="J50" s="321">
        <f t="shared" si="2"/>
        <v>0</v>
      </c>
      <c r="K50" s="321">
        <f t="shared" si="2"/>
        <v>0</v>
      </c>
      <c r="L50" s="321">
        <f t="shared" si="2"/>
        <v>0</v>
      </c>
      <c r="M50" s="321">
        <f t="shared" si="2"/>
        <v>5.0075721484196338E-5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9.0096476786471829E-4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5.0075721484196338E-5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250.26799107353287</v>
      </c>
      <c r="H54" s="21">
        <f t="shared" si="3"/>
        <v>0</v>
      </c>
      <c r="I54" s="21">
        <f t="shared" si="3"/>
        <v>0</v>
      </c>
      <c r="J54" s="21">
        <f t="shared" si="3"/>
        <v>0</v>
      </c>
      <c r="K54" s="21">
        <f t="shared" si="3"/>
        <v>0</v>
      </c>
      <c r="L54" s="21">
        <f t="shared" si="3"/>
        <v>0</v>
      </c>
      <c r="M54" s="21">
        <f t="shared" si="3"/>
        <v>13.909922634498983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0.21831382115290907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66.821553616633281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189.48770389324574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189.48770389324574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2019-06-29T17:09:06Z</dcterms:modified>
</cp:coreProperties>
</file>