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20" l="1"/>
  <c r="L78" i="14"/>
  <c r="L8" i="59"/>
  <c r="L10" s="1"/>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O20" i="59" l="1"/>
  <c r="E20"/>
  <c r="B13" i="15"/>
  <c r="F6" i="17"/>
  <c r="D16" i="16"/>
  <c r="J30" i="48"/>
  <c r="J32"/>
  <c r="F30"/>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E78" i="14"/>
  <c r="E9" i="59"/>
  <c r="E10" s="1"/>
  <c r="H90" i="14"/>
  <c r="H18" i="59"/>
  <c r="H20" s="1"/>
  <c r="I33" i="48"/>
  <c r="J16" i="14"/>
  <c r="J27"/>
  <c r="J7" i="48"/>
  <c r="J25" s="1"/>
  <c r="K33"/>
  <c r="M24"/>
  <c r="M32"/>
  <c r="O78" i="14"/>
  <c r="O9" i="59"/>
  <c r="O10" s="1"/>
  <c r="G78" i="14"/>
  <c r="G9" i="59"/>
  <c r="G10" s="1"/>
  <c r="K15" i="48"/>
  <c r="I20" i="15"/>
  <c r="J40" i="14" s="1"/>
  <c r="J46" s="1"/>
  <c r="J61" s="1"/>
  <c r="I15" i="48"/>
  <c r="P22"/>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J5" i="48"/>
  <c r="J23" s="1"/>
  <c r="O15"/>
  <c r="I90" i="14"/>
  <c r="I17" i="59"/>
  <c r="I20" s="1"/>
  <c r="J20" i="15"/>
  <c r="K40" i="14"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J90" i="14"/>
  <c r="J17" i="59"/>
  <c r="J20" s="1"/>
  <c r="Q90" i="14"/>
  <c r="B17" i="6" s="1"/>
  <c r="B22" s="1"/>
  <c r="P17" i="59"/>
  <c r="P20" s="1"/>
  <c r="G33" i="48"/>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6" i="22" l="1"/>
  <c r="C29" i="20"/>
  <c r="C18" i="15"/>
  <c r="C20" s="1"/>
  <c r="D40" i="14" s="1"/>
  <c r="C17" i="49"/>
  <c r="C10" i="17"/>
  <c r="C12" s="1"/>
  <c r="D54" i="14" s="1"/>
  <c r="D56" s="1"/>
  <c r="C20" i="16"/>
  <c r="C22" s="1"/>
  <c r="D43" i="14" s="1"/>
  <c r="C56" i="22"/>
  <c r="C58" s="1"/>
  <c r="D49" i="14" s="1"/>
  <c r="D52" s="1"/>
  <c r="C17" i="19"/>
  <c r="C19" s="1"/>
  <c r="D39" i="14" s="1"/>
  <c r="C22" i="59"/>
  <c r="C10" i="13"/>
  <c r="C12" s="1"/>
  <c r="B90" i="14"/>
  <c r="B17" i="59"/>
  <c r="B20" s="1"/>
  <c r="C90" i="14"/>
  <c r="C17" i="59"/>
  <c r="C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<sst xmlns="http://schemas.openxmlformats.org/spreadsheetml/2006/main" count="2375" uniqueCount="888">
  <si>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</si>
  <si>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</si>
  <si>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</si>
  <si>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</si>
  <si>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</si>
  <si>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</si>
  <si>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</si>
  <si>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</si>
  <si>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</si>
  <si>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</si>
  <si>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</si>
  <si>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</si>
  <si>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</si>
  <si>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</si>
  <si>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</si>
  <si>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</si>
  <si>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</si>
  <si>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</si>
  <si>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</si>
  <si>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</si>
  <si>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</si>
  <si>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</si>
  <si>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</si>
  <si>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</si>
  <si>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</si>
  <si>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</si>
  <si>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</si>
  <si>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</si>
  <si>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</si>
  <si>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</si>
  <si>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</si>
  <si>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</si>
  <si>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</si>
  <si>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</si>
  <si>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</si>
  <si>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</si>
  <si>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</si>
  <si>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</si>
  <si>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</si>
  <si>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</si>
  <si>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</si>
  <si>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</si>
  <si>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</si>
  <si>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</si>
  <si>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</si>
  <si>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</si>
  <si>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</si>
  <si>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</si>
  <si>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</si>
  <si>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</si>
  <si>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</si>
  <si>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</si>
  <si>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</si>
  <si>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</si>
  <si>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</si>
  <si>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</si>
  <si>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</si>
  <si>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</si>
  <si>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</si>
  <si>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</si>
  <si>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</si>
  <si>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</si>
  <si>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</si>
  <si>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</si>
  <si>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</si>
  <si>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</si>
  <si>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</si>
  <si>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</si>
  <si>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</si>
  <si>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</si>
  <si>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</si>
  <si>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</si>
  <si>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</si>
  <si>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</si>
  <si>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</si>
  <si>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</si>
  <si>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</si>
  <si>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</si>
  <si>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</si>
  <si>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</si>
  <si>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</si>
  <si>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</si>
  <si>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</si>
  <si>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</si>
  <si>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</si>
  <si>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</si>
  <si>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</si>
  <si>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</si>
  <si>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</si>
  <si>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</si>
  <si>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</si>
  <si>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</si>
  <si>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</si>
  <si>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</si>
  <si>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</si>
  <si>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</si>
  <si>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</si>
  <si>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</si>
  <si>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</si>
  <si>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</si>
  <si>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</si>
  <si>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</si>
  <si>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</si>
  <si>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</si>
  <si>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</si>
  <si>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</si>
  <si>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</si>
  <si>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</si>
  <si>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</si>
  <si>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</si>
  <si>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</si>
  <si>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</si>
  <si>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</si>
  <si>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</si>
  <si>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</si>
  <si>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</si>
  <si>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</si>
  <si>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</si>
  <si>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</si>
  <si>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</si>
  <si>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</si>
  <si>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</si>
  <si>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</si>
  <si>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</si>
  <si>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</si>
  <si>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</si>
  <si>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</si>
  <si>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</si>
  <si>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</si>
  <si>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</si>
  <si>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</si>
  <si>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</si>
  <si>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</si>
  <si>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</si>
  <si>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</si>
  <si>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</si>
  <si>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</si>
  <si>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</si>
  <si>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</si>
  <si>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</si>
  <si>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</si>
  <si>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</si>
  <si>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</si>
  <si>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</si>
  <si>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</si>
  <si>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</si>
  <si>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</si>
  <si>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</si>
  <si>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</si>
  <si>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</si>
  <si>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</si>
  <si>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</si>
  <si>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</si>
  <si>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</si>
  <si>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</si>
  <si>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</si>
  <si>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</si>
  <si>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</si>
  <si>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</si>
  <si>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</si>
  <si>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</si>
  <si>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</si>
  <si>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</si>
  <si>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</si>
  <si>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</si>
  <si>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</si>
  <si>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</si>
  <si>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</si>
  <si>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</si>
  <si>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</si>
  <si>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</si>
  <si>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</si>
  <si>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</si>
  <si>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</si>
  <si>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</si>
  <si>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</si>
  <si>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</si>
  <si>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</si>
  <si>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</si>
  <si>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</si>
  <si>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</si>
  <si>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</si>
  <si>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</si>
  <si>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</si>
  <si>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</si>
  <si>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</si>
  <si>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</si>
  <si>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</si>
  <si>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</si>
  <si>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</si>
  <si>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</si>
  <si>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</si>
  <si>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</si>
  <si>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</si>
  <si>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</si>
  <si>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</si>
  <si>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</si>
  <si>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</si>
  <si>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</si>
  <si>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</si>
  <si>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</si>
  <si>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</si>
  <si>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</si>
  <si>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</si>
  <si>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</si>
  <si>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</si>
  <si>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</si>
  <si>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</si>
  <si>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</si>
  <si>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</si>
  <si>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</si>
  <si>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</si>
  <si>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</si>
  <si>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</si>
  <si>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</si>
  <si>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</si>
  <si>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</si>
  <si>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</si>
  <si>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</si>
  <si>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</si>
  <si>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</si>
  <si>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</si>
  <si>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</si>
  <si>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</si>
  <si>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</si>
  <si>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</si>
  <si>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</si>
  <si>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</si>
  <si>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</si>
  <si>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</si>
  <si>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</si>
  <si>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</si>
  <si>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</si>
  <si>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</si>
  <si>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</si>
  <si>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</si>
  <si>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</si>
  <si>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</si>
  <si>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</si>
  <si>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</si>
  <si>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</si>
  <si>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</si>
  <si>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</si>
  <si>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</si>
  <si>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</si>
  <si>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</si>
  <si>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</si>
  <si>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</si>
  <si>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</si>
  <si>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</si>
  <si>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</si>
  <si>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</si>
  <si>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</si>
  <si>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</si>
  <si>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</si>
  <si>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</si>
  <si>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</si>
  <si>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</si>
  <si>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</si>
  <si>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</si>
  <si>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</si>
  <si>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</si>
  <si>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</si>
  <si>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</si>
  <si>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</si>
  <si>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</si>
  <si>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</si>
  <si>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</si>
  <si>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</si>
  <si>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</si>
  <si>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</si>
  <si>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</si>
  <si>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</si>
  <si>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</si>
  <si>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</si>
  <si>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</si>
  <si>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</si>
  <si>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</si>
  <si>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</si>
  <si>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</si>
  <si>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</si>
  <si>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</si>
  <si>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</si>
  <si>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</si>
  <si>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</si>
  <si>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</si>
  <si>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</si>
  <si>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</si>
  <si>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</si>
  <si>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</si>
  <si>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</si>
  <si>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</si>
  <si>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</si>
  <si>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</si>
  <si>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</si>
  <si>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</si>
  <si>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</si>
  <si>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</si>
  <si>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</si>
  <si>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</si>
  <si>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</si>
  <si>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</si>
  <si>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</si>
  <si>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</si>
  <si>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</si>
  <si>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</si>
  <si>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</si>
  <si>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</si>
  <si>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</si>
  <si>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</si>
  <si>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</si>
  <si>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</si>
  <si>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</si>
  <si>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</si>
  <si>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</si>
  <si>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</si>
  <si>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</si>
  <si>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</si>
  <si>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</si>
  <si>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</si>
  <si>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</si>
  <si>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</si>
  <si>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</si>
  <si>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</si>
  <si>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</si>
  <si>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</si>
  <si>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</si>
  <si>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</si>
  <si>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</si>
  <si>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</si>
  <si>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</si>
  <si>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</si>
  <si>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</si>
  <si>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</si>
  <si>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</si>
  <si>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</si>
  <si>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</si>
  <si>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</si>
  <si>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</si>
  <si>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</si>
  <si>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</si>
  <si>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</si>
  <si>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</si>
  <si>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</si>
  <si>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</si>
  <si>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</si>
  <si>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</si>
  <si>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</si>
  <si>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</si>
  <si>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</si>
  <si>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</si>
  <si>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</si>
  <si>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</si>
  <si>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</si>
  <si>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</si>
  <si>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</si>
  <si>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</si>
  <si>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</si>
  <si>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</si>
  <si>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</si>
  <si>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</si>
  <si>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</si>
  <si>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</si>
  <si>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</si>
  <si>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</si>
  <si>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</si>
  <si>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</si>
  <si>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</si>
  <si>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</si>
  <si>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</si>
  <si>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</si>
  <si>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</si>
  <si>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</si>
  <si>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</si>
  <si>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</si>
  <si>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</si>
  <si>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</si>
  <si>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</si>
  <si>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</si>
  <si>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</si>
  <si>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</si>
  <si>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</si>
  <si>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</si>
  <si>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</si>
  <si>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</si>
  <si>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</si>
  <si>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</si>
  <si>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</si>
  <si>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</si>
  <si>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</si>
  <si>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</si>
  <si>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</si>
  <si>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</si>
  <si>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</si>
  <si>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</si>
  <si>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</si>
  <si>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</si>
  <si>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</si>
  <si>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</si>
  <si>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</si>
  <si>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</si>
  <si>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</si>
  <si>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</si>
  <si>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</si>
  <si>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</si>
  <si>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</si>
  <si>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</si>
  <si>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</si>
  <si>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</si>
  <si>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</si>
  <si>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</si>
  <si>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</si>
  <si>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</si>
  <si>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</si>
  <si>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</si>
  <si>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</si>
  <si>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</si>
  <si>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</si>
  <si>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</si>
  <si>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</si>
  <si>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</si>
  <si>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</si>
  <si>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</si>
  <si>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</si>
  <si>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</si>
  <si>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</si>
  <si>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</si>
  <si>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</si>
  <si>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</si>
  <si>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</si>
  <si>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</si>
  <si>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</si>
  <si>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</si>
  <si>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</si>
  <si>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</si>
  <si>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</si>
  <si>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</si>
  <si>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</si>
  <si>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</si>
  <si>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</si>
  <si>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</si>
  <si>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</si>
  <si>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</si>
  <si>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</si>
  <si>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</si>
  <si>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</si>
  <si>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</si>
  <si>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</si>
  <si>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</si>
  <si>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</si>
  <si>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</si>
  <si>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</si>
  <si>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</si>
  <si>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</si>
  <si>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</si>
  <si>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</si>
  <si>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</si>
  <si>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</si>
  <si>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</si>
  <si>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</si>
  <si>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</si>
  <si>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</si>
  <si>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</si>
  <si>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</si>
  <si>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</si>
  <si>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</si>
  <si>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</si>
  <si>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</si>
  <si>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</si>
  <si>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</si>
  <si>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</si>
  <si>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</si>
  <si>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</si>
  <si>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</si>
  <si>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</si>
  <si>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</si>
  <si>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</si>
  <si>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</si>
  <si>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</si>
  <si>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</si>
  <si>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</si>
  <si>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</si>
  <si>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</si>
  <si>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</si>
  <si>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</si>
  <si>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</si>
  <si>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</si>
  <si>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</si>
  <si>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</si>
  <si>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</si>
  <si>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</si>
  <si>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</si>
  <si>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</si>
  <si>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</si>
  <si>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</si>
  <si>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</si>
  <si>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</si>
  <si>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</si>
  <si>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</si>
  <si>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</si>
  <si>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</si>
  <si>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</si>
  <si>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</si>
  <si>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</si>
  <si>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</si>
  <si>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</si>
  <si>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</si>
  <si>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</si>
  <si>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</si>
  <si>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</si>
  <si>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</si>
  <si>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</si>
  <si>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</si>
  <si>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</si>
  <si>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</si>
  <si>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</si>
  <si>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</si>
  <si>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</si>
  <si>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</si>
  <si>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</si>
  <si>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</si>
  <si>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</si>
  <si>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</si>
  <si>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</si>
  <si>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</si>
  <si>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</si>
  <si>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</si>
  <si>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</si>
  <si>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</si>
  <si>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</si>
  <si>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</si>
  <si>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</si>
  <si>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</si>
  <si>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</si>
  <si>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</si>
  <si>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</si>
  <si>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</si>
  <si>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</si>
  <si>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</si>
  <si>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</si>
  <si>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</si>
  <si>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</si>
  <si>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</si>
  <si>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</si>
  <si>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</si>
  <si>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</si>
  <si>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</si>
  <si>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</si>
  <si>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</si>
  <si>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</si>
  <si>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</si>
  <si>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</si>
  <si>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</si>
  <si>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</si>
  <si>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</si>
  <si>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</si>
  <si>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</si>
  <si>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</si>
  <si>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</si>
  <si>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</si>
  <si>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</si>
  <si>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</si>
  <si>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</si>
  <si>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</si>
  <si>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</si>
  <si>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</si>
  <si>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</si>
  <si>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</si>
  <si>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</si>
  <si>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</si>
  <si>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</si>
  <si>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</si>
  <si>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</si>
  <si>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</si>
  <si>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</si>
  <si>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</si>
  <si>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</si>
  <si>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</si>
  <si>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</si>
  <si>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</si>
  <si>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</si>
  <si>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</si>
  <si>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</si>
  <si>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</si>
  <si>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</si>
  <si>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</si>
  <si>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</si>
  <si>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</si>
  <si>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</si>
  <si>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</si>
  <si>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</si>
  <si>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</si>
  <si>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</si>
  <si>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</si>
  <si>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</si>
  <si>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</si>
  <si>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</si>
  <si>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</si>
  <si>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</si>
  <si>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</si>
  <si>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</si>
  <si>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</si>
  <si>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</si>
  <si>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</si>
  <si>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</si>
  <si>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</si>
  <si>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</si>
  <si>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</si>
  <si>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</si>
  <si>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</si>
  <si>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</si>
  <si>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</si>
  <si>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</si>
  <si>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</si>
  <si>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</si>
  <si>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</si>
  <si>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</si>
  <si>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</si>
  <si>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</si>
  <si>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</si>
  <si>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</si>
  <si>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</si>
  <si>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</si>
  <si>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</si>
  <si>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</si>
  <si>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</si>
  <si>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</si>
  <si>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</si>
  <si>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</si>
  <si>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</si>
  <si>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</si>
  <si>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</si>
  <si>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</si>
  <si>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</si>
  <si>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</si>
  <si>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</si>
  <si>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</si>
  <si>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</si>
  <si>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</si>
  <si>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</si>
  <si>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</si>
  <si>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</si>
  <si>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</si>
  <si>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</si>
  <si>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</si>
  <si>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</si>
  <si>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</si>
  <si>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</si>
  <si>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</si>
  <si>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</si>
  <si>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</si>
  <si>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</si>
  <si>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</si>
  <si>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</si>
  <si>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</si>
  <si>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</si>
  <si>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</si>
  <si>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</si>
  <si>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</si>
  <si>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</si>
  <si>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</si>
  <si>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</si>
  <si>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</si>
  <si>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</si>
  <si>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</si>
  <si>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</si>
  <si>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</si>
  <si>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</si>
  <si>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</si>
  <si>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</si>
  <si>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</si>
  <si>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</si>
  <si>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</si>
  <si>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</si>
  <si>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</si>
  <si>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</si>
  <si>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</si>
  <si>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</si>
  <si>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</si>
  <si>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</si>
  <si>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</si>
  <si>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</si>
  <si>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</si>
  <si>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</si>
  <si>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</si>
  <si>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</si>
  <si>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</si>
  <si>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</si>
  <si>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</si>
  <si>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</si>
  <si>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</si>
  <si>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</si>
  <si>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</si>
  <si>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</si>
  <si>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</si>
  <si>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</si>
  <si>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</si>
  <si>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</si>
  <si>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</si>
  <si>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</si>
  <si>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</si>
  <si>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</si>
  <si>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</si>
  <si>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</si>
  <si>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</si>
  <si>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</si>
  <si>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</si>
  <si>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</si>
  <si>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</si>
  <si>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</si>
  <si>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</si>
  <si>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</si>
  <si>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</si>
  <si>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</si>
  <si>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</si>
  <si>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</si>
  <si>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</si>
  <si>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</si>
  <si>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</si>
  <si>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</si>
  <si>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</si>
  <si>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</si>
  <si>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</si>
  <si>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</si>
  <si>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</si>
  <si>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</si>
  <si>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</si>
  <si>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</si>
  <si>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</si>
  <si>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</si>
  <si>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</si>
  <si>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</si>
  <si>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</si>
  <si>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</si>
  <si>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</si>
  <si>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</si>
  <si>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</si>
  <si>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</si>
  <si>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</si>
  <si>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</si>
  <si>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</si>
  <si>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</si>
  <si>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</si>
  <si>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</si>
  <si>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</si>
  <si>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</si>
  <si>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</si>
  <si>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</si>
  <si>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</si>
  <si>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</si>
  <si>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</si>
  <si>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</si>
  <si>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</si>
  <si>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</si>
  <si>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</si>
  <si>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</si>
  <si>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</si>
  <si>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</si>
  <si>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</si>
  <si>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</si>
  <si>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</si>
  <si>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</si>
  <si>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</si>
  <si>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</si>
  <si>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</si>
  <si>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</si>
  <si>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</si>
  <si>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</si>
  <si>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</si>
  <si>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</si>
  <si>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</si>
  <si>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</si>
  <si>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</si>
  <si>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</si>
  <si>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</si>
  <si>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</si>
  <si>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</si>
  <si>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</si>
  <si>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</si>
  <si>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</si>
  <si>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</si>
  <si>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</si>
  <si>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</si>
  <si>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</si>
  <si>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</si>
  <si>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</si>
  <si>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</si>
  <si>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</si>
  <si>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</si>
  <si>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</si>
  <si>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</si>
  <si>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</si>
  <si>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</si>
  <si>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</si>
  <si>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</si>
  <si>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</si>
  <si>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</si>
  <si>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</si>
  <si>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</si>
  <si>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</si>
  <si>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</si>
  <si>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</si>
  <si>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</si>
  <si>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</si>
  <si>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</si>
  <si>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</si>
  <si>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</si>
  <si>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</si>
  <si>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</si>
  <si>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</si>
  <si>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</si>
  <si>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</si>
  <si>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</si>
  <si>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</si>
  <si>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</si>
  <si>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</si>
  <si>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</si>
  <si>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</si>
  <si>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</si>
  <si>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</si>
  <si>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</si>
  <si>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</si>
  <si>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</si>
  <si>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</si>
  <si>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</si>
  <si>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</si>
  <si>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</si>
  <si>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</si>
  <si>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</si>
  <si>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</si>
  <si>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</si>
  <si>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</si>
  <si>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</si>
  <si>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</si>
  <si>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</si>
  <si>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</si>
  <si>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</si>
  <si>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</si>
  <si>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</si>
  <si>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</si>
  <si>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</si>
  <si>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</si>
  <si>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</si>
  <si>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</si>
  <si>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</si>
  <si>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</si>
  <si>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</si>
  <si>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</si>
  <si>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</si>
  <si>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</si>
  <si>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</si>
  <si>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</si>
  <si>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</si>
  <si>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</si>
  <si>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</si>
  <si>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</si>
  <si>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</si>
  <si>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</si>
  <si>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</si>
  <si>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</si>
  <si>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</si>
  <si>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</si>
  <si>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</si>
  <si>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</si>
  <si>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</si>
  <si>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</si>
  <si>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</si>
  <si>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</si>
  <si>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</si>
  <si>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</si>
  <si>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</si>
  <si>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</si>
  <si>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</si>
  <si>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</si>
  <si>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23002</t>
  </si>
  <si>
    <t>ASSE</t>
  </si>
  <si>
    <t>Mestbank (maart 2019)</t>
  </si>
  <si>
    <t>Fluvius (februari 2019)</t>
  </si>
  <si>
    <t>referentietaak LNE (2017); Jaarverslag De Lijn (2018)</t>
  </si>
  <si>
    <t>VEA (30 april 2019)</t>
  </si>
  <si>
    <t>VEA (mei 2018)</t>
  </si>
  <si>
    <t>VEA (mei 2019)</t>
  </si>
  <si>
    <t>Jolien</t>
  </si>
  <si>
    <t>WKK-0878</t>
  </si>
  <si>
    <t>Interne verbrandingsmotor</t>
  </si>
  <si>
    <t>WKK interne verbrandinsgmotor (gas)</t>
  </si>
  <si>
    <t>Koereit 11, Asse</t>
  </si>
  <si>
    <t>IVERLEK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</si>
</sst>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235187.83119923229</c:v>
                </c:pt>
                <c:pt idx="1">
                  <c:v>195349.82223684283</c:v>
                </c:pt>
                <c:pt idx="2">
                  <c:v>2007.3920000000001</c:v>
                </c:pt>
                <c:pt idx="3">
                  <c:v>15222.031911655316</c:v>
                </c:pt>
                <c:pt idx="4">
                  <c:v>29823.984329949559</c:v>
                </c:pt>
                <c:pt idx="5">
                  <c:v>334006.49468446703</c:v>
                </c:pt>
                <c:pt idx="6">
                  <c:v>4745.663648628617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797632"/>
        <c:axId val="181799168"/>
      </c:barChart>
      <c:catAx>
        <c:axId val="181797632"/>
        <c:scaling>
          <c:orientation val="minMax"/>
        </c:scaling>
        <c:axPos val="b"/>
        <c:numFmt formatCode="General" sourceLinked="0"/>
        <c:tickLblPos val="nextTo"/>
        <c:crossAx val="181799168"/>
        <c:crosses val="autoZero"/>
        <c:auto val="1"/>
        <c:lblAlgn val="ctr"/>
        <c:lblOffset val="100"/>
      </c:catAx>
      <c:valAx>
        <c:axId val="181799168"/>
        <c:scaling>
          <c:orientation val="minMax"/>
        </c:scaling>
        <c:axPos val="l"/>
        <c:majorGridlines/>
        <c:numFmt formatCode="#,##0" sourceLinked="1"/>
        <c:tickLblPos val="nextTo"/>
        <c:crossAx val="181797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235187.83119923229</c:v>
                </c:pt>
                <c:pt idx="1">
                  <c:v>195349.82223684283</c:v>
                </c:pt>
                <c:pt idx="2">
                  <c:v>2007.3920000000001</c:v>
                </c:pt>
                <c:pt idx="3">
                  <c:v>15222.031911655316</c:v>
                </c:pt>
                <c:pt idx="4">
                  <c:v>29823.984329949559</c:v>
                </c:pt>
                <c:pt idx="5">
                  <c:v>334006.49468446703</c:v>
                </c:pt>
                <c:pt idx="6">
                  <c:v>4745.663648628617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46566.83546621642</c:v>
                </c:pt>
                <c:pt idx="1">
                  <c:v>37968.590294086811</c:v>
                </c:pt>
                <c:pt idx="2">
                  <c:v>375.41402180176306</c:v>
                </c:pt>
                <c:pt idx="3">
                  <c:v>3796.9697460803518</c:v>
                </c:pt>
                <c:pt idx="4">
                  <c:v>5959.6443933370265</c:v>
                </c:pt>
                <c:pt idx="5">
                  <c:v>83069.332324111601</c:v>
                </c:pt>
                <c:pt idx="6">
                  <c:v>1200.3752073453647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148480"/>
        <c:axId val="182195328"/>
      </c:barChart>
      <c:catAx>
        <c:axId val="182148480"/>
        <c:scaling>
          <c:orientation val="minMax"/>
        </c:scaling>
        <c:axPos val="b"/>
        <c:numFmt formatCode="General" sourceLinked="0"/>
        <c:tickLblPos val="nextTo"/>
        <c:crossAx val="182195328"/>
        <c:crosses val="autoZero"/>
        <c:auto val="1"/>
        <c:lblAlgn val="ctr"/>
        <c:lblOffset val="100"/>
      </c:catAx>
      <c:valAx>
        <c:axId val="182195328"/>
        <c:scaling>
          <c:orientation val="minMax"/>
        </c:scaling>
        <c:axPos val="l"/>
        <c:majorGridlines/>
        <c:numFmt formatCode="#,##0" sourceLinked="1"/>
        <c:tickLblPos val="nextTo"/>
        <c:crossAx val="1821484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46566.83546621642</c:v>
                </c:pt>
                <c:pt idx="1">
                  <c:v>37968.590294086811</c:v>
                </c:pt>
                <c:pt idx="2">
                  <c:v>375.41402180176306</c:v>
                </c:pt>
                <c:pt idx="3">
                  <c:v>3796.9697460803518</c:v>
                </c:pt>
                <c:pt idx="4">
                  <c:v>5959.6443933370265</c:v>
                </c:pt>
                <c:pt idx="5">
                  <c:v>83069.332324111601</c:v>
                </c:pt>
                <c:pt idx="6">
                  <c:v>1200.3752073453647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23002</v>
      </c>
      <c r="B6" s="415"/>
      <c r="C6" s="416"/>
    </row>
    <row r="7" spans="1:7" s="413" customFormat="1" ht="15.75" customHeight="1">
      <c r="A7" s="417" t="str">
        <f>txtMunicipality</f>
        <v>ASSE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0.1870158005022253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0.1870158005022253</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23002</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13132</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2446.7800000000002</v>
      </c>
    </row>
    <row r="15" spans="1:6">
      <c r="A15" s="348" t="s">
        <v>183</v>
      </c>
      <c r="B15" s="334">
        <v>890</v>
      </c>
    </row>
    <row r="16" spans="1:6">
      <c r="A16" s="348" t="s">
        <v>6</v>
      </c>
      <c r="B16" s="334">
        <v>296</v>
      </c>
    </row>
    <row r="17" spans="1:6">
      <c r="A17" s="348" t="s">
        <v>7</v>
      </c>
      <c r="B17" s="334">
        <v>446</v>
      </c>
    </row>
    <row r="18" spans="1:6">
      <c r="A18" s="348" t="s">
        <v>8</v>
      </c>
      <c r="B18" s="334">
        <v>523</v>
      </c>
    </row>
    <row r="19" spans="1:6">
      <c r="A19" s="348" t="s">
        <v>9</v>
      </c>
      <c r="B19" s="334">
        <v>466</v>
      </c>
    </row>
    <row r="20" spans="1:6">
      <c r="A20" s="348" t="s">
        <v>10</v>
      </c>
      <c r="B20" s="334">
        <v>444</v>
      </c>
    </row>
    <row r="21" spans="1:6">
      <c r="A21" s="348" t="s">
        <v>11</v>
      </c>
      <c r="B21" s="334">
        <v>656</v>
      </c>
    </row>
    <row r="22" spans="1:6">
      <c r="A22" s="348" t="s">
        <v>12</v>
      </c>
      <c r="B22" s="334">
        <v>4453</v>
      </c>
    </row>
    <row r="23" spans="1:6">
      <c r="A23" s="348" t="s">
        <v>13</v>
      </c>
      <c r="B23" s="334">
        <v>23</v>
      </c>
    </row>
    <row r="24" spans="1:6">
      <c r="A24" s="348" t="s">
        <v>14</v>
      </c>
      <c r="B24" s="334">
        <v>2</v>
      </c>
    </row>
    <row r="25" spans="1:6">
      <c r="A25" s="348" t="s">
        <v>15</v>
      </c>
      <c r="B25" s="334">
        <v>219</v>
      </c>
    </row>
    <row r="26" spans="1:6">
      <c r="A26" s="348" t="s">
        <v>16</v>
      </c>
      <c r="B26" s="334">
        <v>264</v>
      </c>
    </row>
    <row r="27" spans="1:6">
      <c r="A27" s="348" t="s">
        <v>17</v>
      </c>
      <c r="B27" s="334">
        <v>0</v>
      </c>
    </row>
    <row r="28" spans="1:6" s="356" customFormat="1">
      <c r="A28" s="355" t="s">
        <v>18</v>
      </c>
      <c r="B28" s="355">
        <v>63607</v>
      </c>
    </row>
    <row r="29" spans="1:6">
      <c r="A29" s="355" t="s">
        <v>713</v>
      </c>
      <c r="B29" s="355">
        <v>378</v>
      </c>
      <c r="C29" s="356"/>
      <c r="D29" s="356"/>
      <c r="E29" s="356"/>
      <c r="F29" s="356"/>
    </row>
    <row r="30" spans="1:6">
      <c r="A30" s="341" t="s">
        <v>714</v>
      </c>
      <c r="B30" s="341">
        <v>82</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4</v>
      </c>
      <c r="F38" s="334">
        <v>9245.2569999999996</v>
      </c>
    </row>
    <row r="39" spans="1:6">
      <c r="A39" s="348" t="s">
        <v>29</v>
      </c>
      <c r="B39" s="348" t="s">
        <v>30</v>
      </c>
      <c r="C39" s="334">
        <v>8070</v>
      </c>
      <c r="D39" s="334">
        <v>127236169.2</v>
      </c>
      <c r="E39" s="334">
        <v>13109</v>
      </c>
      <c r="F39" s="334">
        <v>45870254.490000002</v>
      </c>
    </row>
    <row r="40" spans="1:6">
      <c r="A40" s="348" t="s">
        <v>29</v>
      </c>
      <c r="B40" s="348" t="s">
        <v>28</v>
      </c>
      <c r="C40" s="334">
        <v>0</v>
      </c>
      <c r="D40" s="334">
        <v>0</v>
      </c>
      <c r="E40" s="334">
        <v>0</v>
      </c>
      <c r="F40" s="334">
        <v>0</v>
      </c>
    </row>
    <row r="41" spans="1:6">
      <c r="A41" s="348" t="s">
        <v>31</v>
      </c>
      <c r="B41" s="348" t="s">
        <v>32</v>
      </c>
      <c r="C41" s="334">
        <v>87</v>
      </c>
      <c r="D41" s="334">
        <v>2415091.84</v>
      </c>
      <c r="E41" s="334">
        <v>211</v>
      </c>
      <c r="F41" s="334">
        <v>1728828.564</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11</v>
      </c>
      <c r="F44" s="334">
        <v>177806.905</v>
      </c>
    </row>
    <row r="45" spans="1:6">
      <c r="A45" s="348" t="s">
        <v>31</v>
      </c>
      <c r="B45" s="348" t="s">
        <v>36</v>
      </c>
      <c r="C45" s="334">
        <v>5</v>
      </c>
      <c r="D45" s="334">
        <v>51598.514999999999</v>
      </c>
      <c r="E45" s="334">
        <v>4</v>
      </c>
      <c r="F45" s="334">
        <v>30871.789000000001</v>
      </c>
    </row>
    <row r="46" spans="1:6">
      <c r="A46" s="348" t="s">
        <v>31</v>
      </c>
      <c r="B46" s="348" t="s">
        <v>37</v>
      </c>
      <c r="C46" s="334">
        <v>0</v>
      </c>
      <c r="D46" s="334">
        <v>0</v>
      </c>
      <c r="E46" s="334">
        <v>0</v>
      </c>
      <c r="F46" s="334">
        <v>0</v>
      </c>
    </row>
    <row r="47" spans="1:6">
      <c r="A47" s="348" t="s">
        <v>31</v>
      </c>
      <c r="B47" s="348" t="s">
        <v>38</v>
      </c>
      <c r="C47" s="334">
        <v>3</v>
      </c>
      <c r="D47" s="334">
        <v>1263409.55</v>
      </c>
      <c r="E47" s="334">
        <v>6</v>
      </c>
      <c r="F47" s="334">
        <v>2855356.997</v>
      </c>
    </row>
    <row r="48" spans="1:6">
      <c r="A48" s="348" t="s">
        <v>31</v>
      </c>
      <c r="B48" s="348" t="s">
        <v>28</v>
      </c>
      <c r="C48" s="334">
        <v>48</v>
      </c>
      <c r="D48" s="334">
        <v>5855093.1349999998</v>
      </c>
      <c r="E48" s="334">
        <v>58</v>
      </c>
      <c r="F48" s="334">
        <v>3967948.9640000002</v>
      </c>
    </row>
    <row r="49" spans="1:6">
      <c r="A49" s="348" t="s">
        <v>31</v>
      </c>
      <c r="B49" s="348" t="s">
        <v>39</v>
      </c>
      <c r="C49" s="334">
        <v>0</v>
      </c>
      <c r="D49" s="334">
        <v>0</v>
      </c>
      <c r="E49" s="334">
        <v>0</v>
      </c>
      <c r="F49" s="334">
        <v>0</v>
      </c>
    </row>
    <row r="50" spans="1:6">
      <c r="A50" s="348" t="s">
        <v>31</v>
      </c>
      <c r="B50" s="348" t="s">
        <v>40</v>
      </c>
      <c r="C50" s="334">
        <v>5</v>
      </c>
      <c r="D50" s="334">
        <v>4982539.41</v>
      </c>
      <c r="E50" s="334">
        <v>5</v>
      </c>
      <c r="F50" s="334">
        <v>3988328.91</v>
      </c>
    </row>
    <row r="51" spans="1:6">
      <c r="A51" s="348" t="s">
        <v>41</v>
      </c>
      <c r="B51" s="348" t="s">
        <v>42</v>
      </c>
      <c r="C51" s="334">
        <v>9</v>
      </c>
      <c r="D51" s="334">
        <v>1196598.7590000001</v>
      </c>
      <c r="E51" s="334">
        <v>82</v>
      </c>
      <c r="F51" s="334">
        <v>2629931.3769999999</v>
      </c>
    </row>
    <row r="52" spans="1:6">
      <c r="A52" s="348" t="s">
        <v>41</v>
      </c>
      <c r="B52" s="348" t="s">
        <v>28</v>
      </c>
      <c r="C52" s="334">
        <v>8</v>
      </c>
      <c r="D52" s="334">
        <v>290795.96999999997</v>
      </c>
      <c r="E52" s="334">
        <v>11</v>
      </c>
      <c r="F52" s="334">
        <v>224548.57699999999</v>
      </c>
    </row>
    <row r="53" spans="1:6">
      <c r="A53" s="348" t="s">
        <v>43</v>
      </c>
      <c r="B53" s="348" t="s">
        <v>44</v>
      </c>
      <c r="C53" s="334">
        <v>218</v>
      </c>
      <c r="D53" s="334">
        <v>5358591.0460000001</v>
      </c>
      <c r="E53" s="334">
        <v>586</v>
      </c>
      <c r="F53" s="334">
        <v>2230391.267</v>
      </c>
    </row>
    <row r="54" spans="1:6">
      <c r="A54" s="348" t="s">
        <v>45</v>
      </c>
      <c r="B54" s="348" t="s">
        <v>46</v>
      </c>
      <c r="C54" s="334">
        <v>0</v>
      </c>
      <c r="D54" s="334">
        <v>0</v>
      </c>
      <c r="E54" s="334">
        <v>1</v>
      </c>
      <c r="F54" s="334">
        <v>2007392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52</v>
      </c>
      <c r="D57" s="334">
        <v>1771123.1259999999</v>
      </c>
      <c r="E57" s="334">
        <v>155</v>
      </c>
      <c r="F57" s="334">
        <v>3027998.5460000001</v>
      </c>
    </row>
    <row r="58" spans="1:6">
      <c r="A58" s="348" t="s">
        <v>48</v>
      </c>
      <c r="B58" s="348" t="s">
        <v>50</v>
      </c>
      <c r="C58" s="334">
        <v>48</v>
      </c>
      <c r="D58" s="334">
        <v>1801565.4269999999</v>
      </c>
      <c r="E58" s="334">
        <v>86</v>
      </c>
      <c r="F58" s="334">
        <v>902642.22900000005</v>
      </c>
    </row>
    <row r="59" spans="1:6">
      <c r="A59" s="348" t="s">
        <v>48</v>
      </c>
      <c r="B59" s="348" t="s">
        <v>51</v>
      </c>
      <c r="C59" s="334">
        <v>179</v>
      </c>
      <c r="D59" s="334">
        <v>23535939.649999999</v>
      </c>
      <c r="E59" s="334">
        <v>417</v>
      </c>
      <c r="F59" s="334">
        <v>44605952.060000002</v>
      </c>
    </row>
    <row r="60" spans="1:6">
      <c r="A60" s="348" t="s">
        <v>48</v>
      </c>
      <c r="B60" s="348" t="s">
        <v>52</v>
      </c>
      <c r="C60" s="334">
        <v>82</v>
      </c>
      <c r="D60" s="334">
        <v>3480616.0249999999</v>
      </c>
      <c r="E60" s="334">
        <v>119</v>
      </c>
      <c r="F60" s="334">
        <v>2245613.378</v>
      </c>
    </row>
    <row r="61" spans="1:6">
      <c r="A61" s="348" t="s">
        <v>48</v>
      </c>
      <c r="B61" s="348" t="s">
        <v>53</v>
      </c>
      <c r="C61" s="334">
        <v>326</v>
      </c>
      <c r="D61" s="334">
        <v>23046920.530000001</v>
      </c>
      <c r="E61" s="334">
        <v>861</v>
      </c>
      <c r="F61" s="334">
        <v>23734599.149999999</v>
      </c>
    </row>
    <row r="62" spans="1:6">
      <c r="A62" s="348" t="s">
        <v>48</v>
      </c>
      <c r="B62" s="348" t="s">
        <v>54</v>
      </c>
      <c r="C62" s="334">
        <v>16</v>
      </c>
      <c r="D62" s="334">
        <v>4125963.33</v>
      </c>
      <c r="E62" s="334">
        <v>22</v>
      </c>
      <c r="F62" s="334">
        <v>766456.549</v>
      </c>
    </row>
    <row r="63" spans="1:6">
      <c r="A63" s="348" t="s">
        <v>48</v>
      </c>
      <c r="B63" s="348" t="s">
        <v>28</v>
      </c>
      <c r="C63" s="334">
        <v>202</v>
      </c>
      <c r="D63" s="334">
        <v>33445515.870000001</v>
      </c>
      <c r="E63" s="334">
        <v>195</v>
      </c>
      <c r="F63" s="334">
        <v>21716717.5</v>
      </c>
    </row>
    <row r="64" spans="1:6">
      <c r="A64" s="348" t="s">
        <v>55</v>
      </c>
      <c r="B64" s="348" t="s">
        <v>56</v>
      </c>
      <c r="C64" s="334">
        <v>0</v>
      </c>
      <c r="D64" s="334">
        <v>0</v>
      </c>
      <c r="E64" s="334">
        <v>0</v>
      </c>
      <c r="F64" s="334">
        <v>0</v>
      </c>
    </row>
    <row r="65" spans="1:6">
      <c r="A65" s="348" t="s">
        <v>55</v>
      </c>
      <c r="B65" s="348" t="s">
        <v>28</v>
      </c>
      <c r="C65" s="334">
        <v>8</v>
      </c>
      <c r="D65" s="334">
        <v>196086.655</v>
      </c>
      <c r="E65" s="334">
        <v>3</v>
      </c>
      <c r="F65" s="334">
        <v>26588.79</v>
      </c>
    </row>
    <row r="66" spans="1:6">
      <c r="A66" s="348" t="s">
        <v>55</v>
      </c>
      <c r="B66" s="348" t="s">
        <v>57</v>
      </c>
      <c r="C66" s="334">
        <v>4</v>
      </c>
      <c r="D66" s="334">
        <v>190330.158</v>
      </c>
      <c r="E66" s="334">
        <v>32</v>
      </c>
      <c r="F66" s="334">
        <v>807220.88500000001</v>
      </c>
    </row>
    <row r="67" spans="1:6">
      <c r="A67" s="355" t="s">
        <v>55</v>
      </c>
      <c r="B67" s="355" t="s">
        <v>58</v>
      </c>
      <c r="C67" s="334">
        <v>0</v>
      </c>
      <c r="D67" s="334">
        <v>0</v>
      </c>
      <c r="E67" s="334">
        <v>0</v>
      </c>
      <c r="F67" s="334">
        <v>0</v>
      </c>
    </row>
    <row r="68" spans="1:6">
      <c r="A68" s="341" t="s">
        <v>55</v>
      </c>
      <c r="B68" s="341" t="s">
        <v>59</v>
      </c>
      <c r="C68" s="334">
        <v>15</v>
      </c>
      <c r="D68" s="334">
        <v>773241.103</v>
      </c>
      <c r="E68" s="334">
        <v>45</v>
      </c>
      <c r="F68" s="334">
        <v>1895927.8019999999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147522268</v>
      </c>
      <c r="E73" s="476"/>
    </row>
    <row r="74" spans="1:6">
      <c r="A74" s="348" t="s">
        <v>63</v>
      </c>
      <c r="B74" s="348" t="s">
        <v>651</v>
      </c>
      <c r="C74" s="1307" t="s">
        <v>653</v>
      </c>
      <c r="D74" s="476">
        <v>12407686</v>
      </c>
      <c r="E74" s="476"/>
    </row>
    <row r="75" spans="1:6">
      <c r="A75" s="348" t="s">
        <v>64</v>
      </c>
      <c r="B75" s="348" t="s">
        <v>650</v>
      </c>
      <c r="C75" s="1307" t="s">
        <v>654</v>
      </c>
      <c r="D75" s="476">
        <v>62461986</v>
      </c>
      <c r="E75" s="476"/>
    </row>
    <row r="76" spans="1:6">
      <c r="A76" s="348" t="s">
        <v>64</v>
      </c>
      <c r="B76" s="348" t="s">
        <v>651</v>
      </c>
      <c r="C76" s="1307" t="s">
        <v>655</v>
      </c>
      <c r="D76" s="476">
        <v>3446452</v>
      </c>
      <c r="E76" s="476"/>
    </row>
    <row r="77" spans="1:6">
      <c r="A77" s="348" t="s">
        <v>65</v>
      </c>
      <c r="B77" s="348" t="s">
        <v>650</v>
      </c>
      <c r="C77" s="1307" t="s">
        <v>656</v>
      </c>
      <c r="D77" s="476">
        <v>147185868</v>
      </c>
      <c r="E77" s="476"/>
    </row>
    <row r="78" spans="1:6">
      <c r="A78" s="341" t="s">
        <v>65</v>
      </c>
      <c r="B78" s="341" t="s">
        <v>651</v>
      </c>
      <c r="C78" s="341" t="s">
        <v>657</v>
      </c>
      <c r="D78" s="1308">
        <v>17466098</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1318406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14038.793106582356</v>
      </c>
    </row>
    <row r="91" spans="1:6">
      <c r="A91" s="348" t="s">
        <v>67</v>
      </c>
      <c r="B91" s="334">
        <v>4523.2982028297602</v>
      </c>
    </row>
    <row r="92" spans="1:6">
      <c r="A92" s="341" t="s">
        <v>68</v>
      </c>
      <c r="B92" s="342">
        <v>7140.5806914637869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4799</v>
      </c>
    </row>
    <row r="98" spans="1:6">
      <c r="A98" s="348" t="s">
        <v>71</v>
      </c>
      <c r="B98" s="334">
        <v>4</v>
      </c>
    </row>
    <row r="99" spans="1:6">
      <c r="A99" s="348" t="s">
        <v>72</v>
      </c>
      <c r="B99" s="334">
        <v>99</v>
      </c>
    </row>
    <row r="100" spans="1:6">
      <c r="A100" s="348" t="s">
        <v>73</v>
      </c>
      <c r="B100" s="334">
        <v>830</v>
      </c>
    </row>
    <row r="101" spans="1:6">
      <c r="A101" s="348" t="s">
        <v>74</v>
      </c>
      <c r="B101" s="334">
        <v>75</v>
      </c>
    </row>
    <row r="102" spans="1:6">
      <c r="A102" s="348" t="s">
        <v>75</v>
      </c>
      <c r="B102" s="334">
        <v>177</v>
      </c>
    </row>
    <row r="103" spans="1:6">
      <c r="A103" s="348" t="s">
        <v>76</v>
      </c>
      <c r="B103" s="334">
        <v>217</v>
      </c>
    </row>
    <row r="104" spans="1:6">
      <c r="A104" s="348" t="s">
        <v>77</v>
      </c>
      <c r="B104" s="334">
        <v>4999</v>
      </c>
    </row>
    <row r="105" spans="1:6">
      <c r="A105" s="341" t="s">
        <v>78</v>
      </c>
      <c r="B105" s="341">
        <v>15</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48</v>
      </c>
      <c r="C123" s="334">
        <v>33</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117</v>
      </c>
    </row>
    <row r="130" spans="1:6">
      <c r="A130" s="348" t="s">
        <v>294</v>
      </c>
      <c r="B130" s="334">
        <v>2</v>
      </c>
    </row>
    <row r="131" spans="1:6">
      <c r="A131" s="348" t="s">
        <v>295</v>
      </c>
      <c r="B131" s="334">
        <v>1</v>
      </c>
    </row>
    <row r="132" spans="1:6">
      <c r="A132" s="341" t="s">
        <v>296</v>
      </c>
      <c r="B132" s="342">
        <v>48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167428.90067386033</v>
      </c>
      <c r="C3" s="43" t="s">
        <v>169</v>
      </c>
      <c r="D3" s="43"/>
      <c r="E3" s="154"/>
      <c r="F3" s="43"/>
      <c r="G3" s="43"/>
      <c r="H3" s="43"/>
      <c r="I3" s="43"/>
      <c r="J3" s="43"/>
      <c r="K3" s="96"/>
    </row>
    <row r="4" spans="1:11">
      <c r="A4" s="383" t="s">
        <v>170</v>
      </c>
      <c r="B4" s="49">
        <f>IF(ISERROR('SEAP template'!B78),0,'SEAP template'!B78)</f>
        <v>25746.322000875902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0.1870158005022253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2007.3920000000001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2007.3920000000001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0.1870158005022253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375.41402180176306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45870.254489999999</v>
      </c>
      <c r="C5" s="17">
        <f>IF(ISERROR('Eigen informatie GS &amp; warmtenet'!B59),0,'Eigen informatie GS &amp; warmtenet'!B59)</f>
        <v>0</v>
      </c>
      <c r="D5" s="30">
        <f>(SUM(HH_hh_gas_kWh,HH_rest_gas_kWh)/1000)*0.902</f>
        <v>114767.02461840001</v>
      </c>
      <c r="E5" s="17">
        <f>B46*B57</f>
        <v>11236.487879100388</v>
      </c>
      <c r="F5" s="17">
        <f>B51*B62</f>
        <v>42729.674710648687</v>
      </c>
      <c r="G5" s="18"/>
      <c r="H5" s="17"/>
      <c r="I5" s="17"/>
      <c r="J5" s="17">
        <f>B50*B61+C50*C61</f>
        <v>0</v>
      </c>
      <c r="K5" s="17"/>
      <c r="L5" s="17"/>
      <c r="M5" s="17"/>
      <c r="N5" s="17">
        <f>B48*B59+C48*C59</f>
        <v>14731.169553192243</v>
      </c>
      <c r="O5" s="17">
        <f>B69*B70*B71</f>
        <v>297.59373290805479</v>
      </c>
      <c r="P5" s="17">
        <f>B77*B78*B79/1000-B77*B78*B79/1000/B80</f>
        <v>1032.3280121531322</v>
      </c>
    </row>
    <row r="6" spans="1:16">
      <c r="A6" s="16" t="s">
        <v>615</v>
      </c>
      <c r="B6" s="809">
        <f>kWh_PV_kleiner_dan_10kW</f>
        <v>4523.2982028297602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50393.552692829762</v>
      </c>
      <c r="C8" s="21">
        <f>C5</f>
        <v>0</v>
      </c>
      <c r="D8" s="21">
        <f>D5</f>
        <v>114767.02461840001</v>
      </c>
      <c r="E8" s="21">
        <f>E5</f>
        <v>11236.487879100388</v>
      </c>
      <c r="F8" s="21">
        <f>F5</f>
        <v>42729.674710648687</v>
      </c>
      <c r="G8" s="21"/>
      <c r="H8" s="21"/>
      <c r="I8" s="21"/>
      <c r="J8" s="21">
        <f>J5</f>
        <v>0</v>
      </c>
      <c r="K8" s="21"/>
      <c r="L8" s="21">
        <f>L5</f>
        <v>0</v>
      </c>
      <c r="M8" s="21">
        <f>M5</f>
        <v>0</v>
      </c>
      <c r="N8" s="21">
        <f>N5</f>
        <v>14731.169553192243</v>
      </c>
      <c r="O8" s="21">
        <f>O5</f>
        <v>297.59373290805479</v>
      </c>
      <c r="P8" s="21">
        <f>P5</f>
        <v>1032.3280121531322</v>
      </c>
    </row>
    <row r="9" spans="1:16">
      <c r="B9" s="19"/>
      <c r="C9" s="19"/>
      <c r="D9" s="258"/>
      <c r="E9" s="19"/>
      <c r="F9" s="19"/>
      <c r="G9" s="19"/>
      <c r="H9" s="19"/>
      <c r="I9" s="19"/>
      <c r="J9" s="19"/>
      <c r="K9" s="19"/>
      <c r="L9" s="19"/>
      <c r="M9" s="19"/>
      <c r="N9" s="19"/>
      <c r="O9" s="19"/>
      <c r="P9" s="19"/>
    </row>
    <row r="10" spans="1:16">
      <c r="A10" s="24" t="s">
        <v>213</v>
      </c>
      <c r="B10" s="25">
        <f ca="1">'EF ele_warmte'!B12</f>
        <v>0.1870158005022253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9424.390597000629</v>
      </c>
      <c r="C12" s="23">
        <f ca="1">C10*C8</f>
        <v>0</v>
      </c>
      <c r="D12" s="23">
        <f>D8*D10</f>
        <v>23182.938972916803</v>
      </c>
      <c r="E12" s="23">
        <f>E10*E8</f>
        <v>2550.6827485557883</v>
      </c>
      <c r="F12" s="23">
        <f>F10*F8</f>
        <v>11408.8231477432</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4799</v>
      </c>
      <c r="C18" s="166" t="s">
        <v>110</v>
      </c>
      <c r="D18" s="228"/>
      <c r="E18" s="15"/>
    </row>
    <row r="19" spans="1:7">
      <c r="A19" s="171" t="s">
        <v>71</v>
      </c>
      <c r="B19" s="37">
        <f>aantalw2001_ander</f>
        <v>4</v>
      </c>
      <c r="C19" s="166" t="s">
        <v>110</v>
      </c>
      <c r="D19" s="229"/>
      <c r="E19" s="15"/>
    </row>
    <row r="20" spans="1:7">
      <c r="A20" s="171" t="s">
        <v>72</v>
      </c>
      <c r="B20" s="37">
        <f>aantalw2001_propaan</f>
        <v>99</v>
      </c>
      <c r="C20" s="167">
        <f>IF(ISERROR(B20/SUM($B$20,$B$21,$B$22)*100),0,B20/SUM($B$20,$B$21,$B$22)*100)</f>
        <v>9.860557768924302</v>
      </c>
      <c r="D20" s="229"/>
      <c r="E20" s="15"/>
    </row>
    <row r="21" spans="1:7">
      <c r="A21" s="171" t="s">
        <v>73</v>
      </c>
      <c r="B21" s="37">
        <f>aantalw2001_elektriciteit</f>
        <v>830</v>
      </c>
      <c r="C21" s="167">
        <f>IF(ISERROR(B21/SUM($B$20,$B$21,$B$22)*100),0,B21/SUM($B$20,$B$21,$B$22)*100)</f>
        <v>82.669322709163353</v>
      </c>
      <c r="D21" s="229"/>
      <c r="E21" s="15"/>
    </row>
    <row r="22" spans="1:7">
      <c r="A22" s="171" t="s">
        <v>74</v>
      </c>
      <c r="B22" s="37">
        <f>aantalw2001_hout</f>
        <v>75</v>
      </c>
      <c r="C22" s="167">
        <f>IF(ISERROR(B22/SUM($B$20,$B$21,$B$22)*100),0,B22/SUM($B$20,$B$21,$B$22)*100)</f>
        <v>7.4701195219123511</v>
      </c>
      <c r="D22" s="229"/>
      <c r="E22" s="15"/>
    </row>
    <row r="23" spans="1:7">
      <c r="A23" s="171" t="s">
        <v>75</v>
      </c>
      <c r="B23" s="37">
        <f>aantalw2001_niet_gespec</f>
        <v>177</v>
      </c>
      <c r="C23" s="166" t="s">
        <v>110</v>
      </c>
      <c r="D23" s="228"/>
      <c r="E23" s="15"/>
    </row>
    <row r="24" spans="1:7">
      <c r="A24" s="171" t="s">
        <v>76</v>
      </c>
      <c r="B24" s="37">
        <f>aantalw2001_steenkool</f>
        <v>217</v>
      </c>
      <c r="C24" s="166" t="s">
        <v>110</v>
      </c>
      <c r="D24" s="229"/>
      <c r="E24" s="15"/>
    </row>
    <row r="25" spans="1:7">
      <c r="A25" s="171" t="s">
        <v>77</v>
      </c>
      <c r="B25" s="37">
        <f>aantalw2001_stookolie</f>
        <v>4999</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837</v>
      </c>
      <c r="B28" s="37">
        <f>aantalHuishoudens2011</f>
        <v>13132</v>
      </c>
      <c r="C28" s="36"/>
      <c r="D28" s="228"/>
    </row>
    <row r="29" spans="1:7" s="15" customFormat="1">
      <c r="A29" s="230" t="s">
        <v>838</v>
      </c>
      <c r="B29" s="37">
        <f>SUM(HH_hh_gas_aantal,HH_rest_gas_aantal)</f>
        <v>8070</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8070</v>
      </c>
      <c r="C32" s="167">
        <f>IF(ISERROR(B32/SUM($B$32,$B$34,$B$35,$B$36,$B$38,$B$39)*100),0,B32/SUM($B$32,$B$34,$B$35,$B$36,$B$38,$B$39)*100)</f>
        <v>61.914991560533984</v>
      </c>
      <c r="D32" s="233"/>
      <c r="G32" s="15"/>
    </row>
    <row r="33" spans="1:7">
      <c r="A33" s="171" t="s">
        <v>71</v>
      </c>
      <c r="B33" s="34" t="s">
        <v>110</v>
      </c>
      <c r="C33" s="167"/>
      <c r="D33" s="233"/>
      <c r="G33" s="15"/>
    </row>
    <row r="34" spans="1:7">
      <c r="A34" s="171" t="s">
        <v>72</v>
      </c>
      <c r="B34" s="33">
        <f>IF((($B$28-$B$32-$B$39-$B$77-$B$38)*C20/100)&lt;0,0,($B$28-$B$32-$B$39-$B$77-$B$38)*C20/100)</f>
        <v>286.83376494023901</v>
      </c>
      <c r="C34" s="167">
        <f>IF(ISERROR(B34/SUM($B$32,$B$34,$B$35,$B$36,$B$38,$B$39)*100),0,B34/SUM($B$32,$B$34,$B$35,$B$36,$B$38,$B$39)*100)</f>
        <v>2.2006580093619688</v>
      </c>
      <c r="D34" s="233"/>
      <c r="G34" s="15"/>
    </row>
    <row r="35" spans="1:7">
      <c r="A35" s="171" t="s">
        <v>73</v>
      </c>
      <c r="B35" s="33">
        <f>IF((($B$28-$B$32-$B$39-$B$77-$B$38)*C21/100)&lt;0,0,($B$28-$B$32-$B$39-$B$77-$B$38)*C21/100)</f>
        <v>2404.767928286853</v>
      </c>
      <c r="C35" s="167">
        <f>IF(ISERROR(B35/SUM($B$32,$B$34,$B$35,$B$36,$B$38,$B$39)*100),0,B35/SUM($B$32,$B$34,$B$35,$B$36,$B$38,$B$39)*100)</f>
        <v>18.44996108859025</v>
      </c>
      <c r="D35" s="233"/>
      <c r="G35" s="15"/>
    </row>
    <row r="36" spans="1:7">
      <c r="A36" s="171" t="s">
        <v>74</v>
      </c>
      <c r="B36" s="33">
        <f>IF((($B$28-$B$32-$B$39-$B$77-$B$38)*C22/100)&lt;0,0,($B$28-$B$32-$B$39-$B$77-$B$38)*C22/100)</f>
        <v>217.2983067729084</v>
      </c>
      <c r="C36" s="167">
        <f>IF(ISERROR(B36/SUM($B$32,$B$34,$B$35,$B$36,$B$38,$B$39)*100),0,B36/SUM($B$32,$B$34,$B$35,$B$36,$B$38,$B$39)*100)</f>
        <v>1.6671651586075527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2055.1</v>
      </c>
      <c r="C39" s="167">
        <f>IF(ISERROR(B39/SUM($B$32,$B$34,$B$35,$B$36,$B$38,$B$39)*100),0,B39/SUM($B$32,$B$34,$B$35,$B$36,$B$38,$B$39)*100)</f>
        <v>15.767224182906245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8070</v>
      </c>
      <c r="C44" s="34" t="s">
        <v>110</v>
      </c>
      <c r="D44" s="174"/>
    </row>
    <row r="45" spans="1:7">
      <c r="A45" s="171" t="s">
        <v>71</v>
      </c>
      <c r="B45" s="33" t="str">
        <f t="shared" si="0"/>
        <v>-</v>
      </c>
      <c r="C45" s="34" t="s">
        <v>110</v>
      </c>
      <c r="D45" s="174"/>
    </row>
    <row r="46" spans="1:7">
      <c r="A46" s="171" t="s">
        <v>72</v>
      </c>
      <c r="B46" s="33">
        <f t="shared" si="0"/>
        <v>286.83376494023901</v>
      </c>
      <c r="C46" s="34" t="s">
        <v>110</v>
      </c>
      <c r="D46" s="174"/>
    </row>
    <row r="47" spans="1:7">
      <c r="A47" s="171" t="s">
        <v>73</v>
      </c>
      <c r="B47" s="33">
        <f t="shared" si="0"/>
        <v>2404.767928286853</v>
      </c>
      <c r="C47" s="34" t="s">
        <v>110</v>
      </c>
      <c r="D47" s="174"/>
    </row>
    <row r="48" spans="1:7">
      <c r="A48" s="171" t="s">
        <v>74</v>
      </c>
      <c r="B48" s="33">
        <f t="shared" si="0"/>
        <v>217.2983067729084</v>
      </c>
      <c r="C48" s="33">
        <f>B48*10</f>
        <v>2172.9830677290838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2055.1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150</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98</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96999.979412000001</v>
      </c>
      <c r="C5" s="17">
        <f>IF(ISERROR('Eigen informatie GS &amp; warmtenet'!B60),0,'Eigen informatie GS &amp; warmtenet'!B60)</f>
        <v>0</v>
      </c>
      <c r="D5" s="30">
        <f>SUM(D6:D12)</f>
        <v>82269.294850116014</v>
      </c>
      <c r="E5" s="17">
        <f>SUM(E6:E12)</f>
        <v>1718.42150000838</v>
      </c>
      <c r="F5" s="17">
        <f>SUM(F6:F12)</f>
        <v>10560.109833311602</v>
      </c>
      <c r="G5" s="18"/>
      <c r="H5" s="17"/>
      <c r="I5" s="17"/>
      <c r="J5" s="17">
        <f>SUM(J6:J12)</f>
        <v>9.3022408812136748E-2</v>
      </c>
      <c r="K5" s="17"/>
      <c r="L5" s="17"/>
      <c r="M5" s="17"/>
      <c r="N5" s="17">
        <f>SUM(N6:N12)</f>
        <v>3687.0508208533547</v>
      </c>
      <c r="O5" s="17">
        <f>B38*B39*B40</f>
        <v>9.7945215316823084</v>
      </c>
      <c r="P5" s="17">
        <f>B46*B47*B48/1000-B46*B47*B48/1000/B49</f>
        <v>105.07827661299004</v>
      </c>
      <c r="R5" s="32"/>
    </row>
    <row r="6" spans="1:18">
      <c r="A6" s="32" t="s">
        <v>53</v>
      </c>
      <c r="B6" s="37">
        <f>B26</f>
        <v>23734.599149999998</v>
      </c>
      <c r="C6" s="33"/>
      <c r="D6" s="37">
        <f>IF(ISERROR(TER_kantoor_gas_kWh/1000),0,TER_kantoor_gas_kWh/1000)*0.902</f>
        <v>20788.32231806</v>
      </c>
      <c r="E6" s="33">
        <f>$C$26*'E Balans VL '!I12/100/3.6*1000000</f>
        <v>190.9847094480354</v>
      </c>
      <c r="F6" s="33">
        <f>$C$26*('E Balans VL '!L12+'E Balans VL '!N12)/100/3.6*1000000</f>
        <v>2901.8044260768893</v>
      </c>
      <c r="G6" s="34"/>
      <c r="H6" s="33"/>
      <c r="I6" s="33"/>
      <c r="J6" s="33">
        <f>$C$26*('E Balans VL '!D12+'E Balans VL '!E12)/100/3.6*1000000</f>
        <v>0</v>
      </c>
      <c r="K6" s="33"/>
      <c r="L6" s="33"/>
      <c r="M6" s="33"/>
      <c r="N6" s="33">
        <f>$C$26*'E Balans VL '!Y12/100/3.6*1000000</f>
        <v>12.756178240621614</v>
      </c>
      <c r="O6" s="33"/>
      <c r="P6" s="33"/>
      <c r="R6" s="32"/>
    </row>
    <row r="7" spans="1:18">
      <c r="A7" s="32" t="s">
        <v>52</v>
      </c>
      <c r="B7" s="37">
        <f t="shared" ref="B7:B12" si="0">B27</f>
        <v>2245.613378</v>
      </c>
      <c r="C7" s="33"/>
      <c r="D7" s="37">
        <f>IF(ISERROR(TER_horeca_gas_kWh/1000),0,TER_horeca_gas_kWh/1000)*0.902</f>
        <v>3139.5156545499999</v>
      </c>
      <c r="E7" s="33">
        <f>$C$27*'E Balans VL '!I9/100/3.6*1000000</f>
        <v>24.112373417312575</v>
      </c>
      <c r="F7" s="33">
        <f>$C$27*('E Balans VL '!L9+'E Balans VL '!N9)/100/3.6*1000000</f>
        <v>270.09283618466162</v>
      </c>
      <c r="G7" s="34"/>
      <c r="H7" s="33"/>
      <c r="I7" s="33"/>
      <c r="J7" s="33">
        <f>$C$27*('E Balans VL '!D9+'E Balans VL '!E9)/100/3.6*1000000</f>
        <v>0</v>
      </c>
      <c r="K7" s="33"/>
      <c r="L7" s="33"/>
      <c r="M7" s="33"/>
      <c r="N7" s="33">
        <f>$C$27*'E Balans VL '!Y9/100/3.6*1000000</f>
        <v>0.33666295866134471</v>
      </c>
      <c r="O7" s="33"/>
      <c r="P7" s="33"/>
      <c r="R7" s="32"/>
    </row>
    <row r="8" spans="1:18">
      <c r="A8" s="6" t="s">
        <v>51</v>
      </c>
      <c r="B8" s="37">
        <f t="shared" si="0"/>
        <v>44605.952060000003</v>
      </c>
      <c r="C8" s="33"/>
      <c r="D8" s="37">
        <f>IF(ISERROR(TER_handel_gas_kWh/1000),0,TER_handel_gas_kWh/1000)*0.902</f>
        <v>21229.417564300002</v>
      </c>
      <c r="E8" s="33">
        <f>$C$28*'E Balans VL '!I13/100/3.6*1000000</f>
        <v>1197.0871934929069</v>
      </c>
      <c r="F8" s="33">
        <f>$C$28*('E Balans VL '!L13+'E Balans VL '!N13)/100/3.6*1000000</f>
        <v>4256.7826174151342</v>
      </c>
      <c r="G8" s="34"/>
      <c r="H8" s="33"/>
      <c r="I8" s="33"/>
      <c r="J8" s="33">
        <f>$C$28*('E Balans VL '!D13+'E Balans VL '!E13)/100/3.6*1000000</f>
        <v>0</v>
      </c>
      <c r="K8" s="33"/>
      <c r="L8" s="33"/>
      <c r="M8" s="33"/>
      <c r="N8" s="33">
        <f>$C$28*'E Balans VL '!Y13/100/3.6*1000000</f>
        <v>17.682306583453659</v>
      </c>
      <c r="O8" s="33"/>
      <c r="P8" s="33"/>
      <c r="R8" s="32"/>
    </row>
    <row r="9" spans="1:18">
      <c r="A9" s="32" t="s">
        <v>50</v>
      </c>
      <c r="B9" s="37">
        <f t="shared" si="0"/>
        <v>902.64222900000004</v>
      </c>
      <c r="C9" s="33"/>
      <c r="D9" s="37">
        <f>IF(ISERROR(TER_gezond_gas_kWh/1000),0,TER_gezond_gas_kWh/1000)*0.902</f>
        <v>1625.012015154</v>
      </c>
      <c r="E9" s="33">
        <f>$C$29*'E Balans VL '!I10/100/3.6*1000000</f>
        <v>1.6918454502185845</v>
      </c>
      <c r="F9" s="33">
        <f>$C$29*('E Balans VL '!L10+'E Balans VL '!N10)/100/3.6*1000000</f>
        <v>74.205427199530405</v>
      </c>
      <c r="G9" s="34"/>
      <c r="H9" s="33"/>
      <c r="I9" s="33"/>
      <c r="J9" s="33">
        <f>$C$29*('E Balans VL '!D10+'E Balans VL '!E10)/100/3.6*1000000</f>
        <v>0</v>
      </c>
      <c r="K9" s="33"/>
      <c r="L9" s="33"/>
      <c r="M9" s="33"/>
      <c r="N9" s="33">
        <f>$C$29*'E Balans VL '!Y10/100/3.6*1000000</f>
        <v>7.0232300094913818</v>
      </c>
      <c r="O9" s="33"/>
      <c r="P9" s="33"/>
      <c r="R9" s="32"/>
    </row>
    <row r="10" spans="1:18">
      <c r="A10" s="32" t="s">
        <v>49</v>
      </c>
      <c r="B10" s="37">
        <f t="shared" si="0"/>
        <v>3027.9985460000003</v>
      </c>
      <c r="C10" s="33"/>
      <c r="D10" s="37">
        <f>IF(ISERROR(TER_ander_gas_kWh/1000),0,TER_ander_gas_kWh/1000)*0.902</f>
        <v>1597.553059652</v>
      </c>
      <c r="E10" s="33">
        <f>$C$30*'E Balans VL '!I14/100/3.6*1000000</f>
        <v>4.6676904408941882</v>
      </c>
      <c r="F10" s="33">
        <f>$C$30*('E Balans VL '!L14+'E Balans VL '!N14)/100/3.6*1000000</f>
        <v>470.09761019145685</v>
      </c>
      <c r="G10" s="34"/>
      <c r="H10" s="33"/>
      <c r="I10" s="33"/>
      <c r="J10" s="33">
        <f>$C$30*('E Balans VL '!D14+'E Balans VL '!E14)/100/3.6*1000000</f>
        <v>5.1403468720710478E-2</v>
      </c>
      <c r="K10" s="33"/>
      <c r="L10" s="33"/>
      <c r="M10" s="33"/>
      <c r="N10" s="33">
        <f>$C$30*'E Balans VL '!Y14/100/3.6*1000000</f>
        <v>2003.2267914086694</v>
      </c>
      <c r="O10" s="33"/>
      <c r="P10" s="33"/>
      <c r="R10" s="32"/>
    </row>
    <row r="11" spans="1:18">
      <c r="A11" s="32" t="s">
        <v>54</v>
      </c>
      <c r="B11" s="37">
        <f t="shared" si="0"/>
        <v>766.456549</v>
      </c>
      <c r="C11" s="33"/>
      <c r="D11" s="37">
        <f>IF(ISERROR(TER_onderwijs_gas_kWh/1000),0,TER_onderwijs_gas_kWh/1000)*0.902</f>
        <v>3721.6189236600007</v>
      </c>
      <c r="E11" s="33">
        <f>$C$31*'E Balans VL '!I11/100/3.6*1000000</f>
        <v>19.549876940983381</v>
      </c>
      <c r="F11" s="33">
        <f>$C$31*('E Balans VL '!L11+'E Balans VL '!N11)/100/3.6*1000000</f>
        <v>92.173614181014159</v>
      </c>
      <c r="G11" s="34"/>
      <c r="H11" s="33"/>
      <c r="I11" s="33"/>
      <c r="J11" s="33">
        <f>$C$31*('E Balans VL '!D11+'E Balans VL '!E11)/100/3.6*1000000</f>
        <v>0</v>
      </c>
      <c r="K11" s="33"/>
      <c r="L11" s="33"/>
      <c r="M11" s="33"/>
      <c r="N11" s="33">
        <f>$C$31*'E Balans VL '!Y11/100/3.6*1000000</f>
        <v>1.7045806632750578</v>
      </c>
      <c r="O11" s="33"/>
      <c r="P11" s="33"/>
      <c r="R11" s="32"/>
    </row>
    <row r="12" spans="1:18">
      <c r="A12" s="32" t="s">
        <v>259</v>
      </c>
      <c r="B12" s="37">
        <f t="shared" si="0"/>
        <v>21716.717499999999</v>
      </c>
      <c r="C12" s="33"/>
      <c r="D12" s="37">
        <f>IF(ISERROR(TER_rest_gas_kWh/1000),0,TER_rest_gas_kWh/1000)*0.902</f>
        <v>30167.855314740002</v>
      </c>
      <c r="E12" s="33">
        <f>$C$32*'E Balans VL '!I8/100/3.6*1000000</f>
        <v>280.32781081802898</v>
      </c>
      <c r="F12" s="33">
        <f>$C$32*('E Balans VL '!L8+'E Balans VL '!N8)/100/3.6*1000000</f>
        <v>2494.9533020629151</v>
      </c>
      <c r="G12" s="34"/>
      <c r="H12" s="33"/>
      <c r="I12" s="33"/>
      <c r="J12" s="33">
        <f>$C$32*('E Balans VL '!D8+'E Balans VL '!E8)/100/3.6*1000000</f>
        <v>4.1618940091426269E-2</v>
      </c>
      <c r="K12" s="33"/>
      <c r="L12" s="33"/>
      <c r="M12" s="33"/>
      <c r="N12" s="33">
        <f>$C$32*'E Balans VL '!Y8/100/3.6*1000000</f>
        <v>1644.3210709891821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96999.979412000001</v>
      </c>
      <c r="C16" s="21">
        <f t="shared" ca="1" si="1"/>
        <v>0</v>
      </c>
      <c r="D16" s="21">
        <f t="shared" ca="1" si="1"/>
        <v>82269.294850116014</v>
      </c>
      <c r="E16" s="21">
        <f t="shared" si="1"/>
        <v>1718.42150000838</v>
      </c>
      <c r="F16" s="21">
        <f t="shared" ca="1" si="1"/>
        <v>10560.109833311602</v>
      </c>
      <c r="G16" s="21">
        <f t="shared" si="1"/>
        <v>0</v>
      </c>
      <c r="H16" s="21">
        <f t="shared" si="1"/>
        <v>0</v>
      </c>
      <c r="I16" s="21">
        <f t="shared" si="1"/>
        <v>0</v>
      </c>
      <c r="J16" s="21">
        <f t="shared" si="1"/>
        <v>9.3022408812136748E-2</v>
      </c>
      <c r="K16" s="21">
        <f t="shared" si="1"/>
        <v>0</v>
      </c>
      <c r="L16" s="21">
        <f t="shared" ca="1" si="1"/>
        <v>0</v>
      </c>
      <c r="M16" s="21">
        <f t="shared" si="1"/>
        <v>0</v>
      </c>
      <c r="N16" s="21">
        <f t="shared" ca="1" si="1"/>
        <v>3687.0508208533547</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0.1870158005022253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18140.528798434552</v>
      </c>
      <c r="C20" s="23">
        <f t="shared" ref="C20:P20" ca="1" si="2">C16*C18</f>
        <v>0</v>
      </c>
      <c r="D20" s="23">
        <f t="shared" ca="1" si="2"/>
        <v>16618.397559723435</v>
      </c>
      <c r="E20" s="23">
        <f t="shared" si="2"/>
        <v>390.08168050190227</v>
      </c>
      <c r="F20" s="23">
        <f t="shared" ca="1" si="2"/>
        <v>2819.549325494198</v>
      </c>
      <c r="G20" s="23">
        <f t="shared" si="2"/>
        <v>0</v>
      </c>
      <c r="H20" s="23">
        <f t="shared" si="2"/>
        <v>0</v>
      </c>
      <c r="I20" s="23">
        <f t="shared" si="2"/>
        <v>0</v>
      </c>
      <c r="J20" s="23">
        <f t="shared" si="2"/>
        <v>3.2929932719496409E-2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23734.599149999998</v>
      </c>
      <c r="C26" s="39">
        <f>IF(ISERROR(B26*3.6/1000000/'E Balans VL '!Z12*100),0,B26*3.6/1000000/'E Balans VL '!Z12*100)</f>
        <v>0.50350780630260228</v>
      </c>
      <c r="D26" s="237" t="s">
        <v>716</v>
      </c>
      <c r="F26" s="6"/>
    </row>
    <row r="27" spans="1:18">
      <c r="A27" s="231" t="s">
        <v>52</v>
      </c>
      <c r="B27" s="33">
        <f>IF(ISERROR(TER_horeca_ele_kWh/1000),0,TER_horeca_ele_kWh/1000)</f>
        <v>2245.613378</v>
      </c>
      <c r="C27" s="39">
        <f>IF(ISERROR(B27*3.6/1000000/'E Balans VL '!Z9*100),0,B27*3.6/1000000/'E Balans VL '!Z9*100)</f>
        <v>0.16911458014423481</v>
      </c>
      <c r="D27" s="237" t="s">
        <v>716</v>
      </c>
      <c r="F27" s="6"/>
    </row>
    <row r="28" spans="1:18">
      <c r="A28" s="171" t="s">
        <v>51</v>
      </c>
      <c r="B28" s="33">
        <f>IF(ISERROR(TER_handel_ele_kWh/1000),0,TER_handel_ele_kWh/1000)</f>
        <v>44605.952060000003</v>
      </c>
      <c r="C28" s="39">
        <f>IF(ISERROR(B28*3.6/1000000/'E Balans VL '!Z13*100),0,B28*3.6/1000000/'E Balans VL '!Z13*100)</f>
        <v>1.2947527370822105</v>
      </c>
      <c r="D28" s="237" t="s">
        <v>716</v>
      </c>
      <c r="F28" s="6"/>
    </row>
    <row r="29" spans="1:18">
      <c r="A29" s="231" t="s">
        <v>50</v>
      </c>
      <c r="B29" s="33">
        <f>IF(ISERROR(TER_gezond_ele_kWh/1000),0,TER_gezond_ele_kWh/1000)</f>
        <v>902.64222900000004</v>
      </c>
      <c r="C29" s="39">
        <f>IF(ISERROR(B29*3.6/1000000/'E Balans VL '!Z10*100),0,B29*3.6/1000000/'E Balans VL '!Z10*100)</f>
        <v>9.1032545239350726E-2</v>
      </c>
      <c r="D29" s="237" t="s">
        <v>716</v>
      </c>
      <c r="F29" s="6"/>
    </row>
    <row r="30" spans="1:18">
      <c r="A30" s="231" t="s">
        <v>49</v>
      </c>
      <c r="B30" s="33">
        <f>IF(ISERROR(TER_ander_ele_kWh/1000),0,TER_ander_ele_kWh/1000)</f>
        <v>3027.9985460000003</v>
      </c>
      <c r="C30" s="39">
        <f>IF(ISERROR(B30*3.6/1000000/'E Balans VL '!Z14*100),0,B30*3.6/1000000/'E Balans VL '!Z14*100)</f>
        <v>0.21972260398676965</v>
      </c>
      <c r="D30" s="237" t="s">
        <v>716</v>
      </c>
      <c r="F30" s="6"/>
    </row>
    <row r="31" spans="1:18">
      <c r="A31" s="231" t="s">
        <v>54</v>
      </c>
      <c r="B31" s="33">
        <f>IF(ISERROR(TER_onderwijs_ele_kWh/1000),0,TER_onderwijs_ele_kWh/1000)</f>
        <v>766.456549</v>
      </c>
      <c r="C31" s="39">
        <f>IF(ISERROR(B31*3.6/1000000/'E Balans VL '!Z11*100),0,B31*3.6/1000000/'E Balans VL '!Z11*100)</f>
        <v>0.21847132802899888</v>
      </c>
      <c r="D31" s="237" t="s">
        <v>716</v>
      </c>
    </row>
    <row r="32" spans="1:18">
      <c r="A32" s="231" t="s">
        <v>259</v>
      </c>
      <c r="B32" s="33">
        <f>IF(ISERROR(TER_rest_ele_kWh/1000),0,TER_rest_ele_kWh/1000)</f>
        <v>21716.717499999999</v>
      </c>
      <c r="C32" s="39">
        <f>IF(ISERROR(B32*3.6/1000000/'E Balans VL '!Z8*100),0,B32*3.6/1000000/'E Balans VL '!Z8*100)</f>
        <v>0.17789892627174347</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12749.142129</v>
      </c>
      <c r="C5" s="17">
        <f>IF(ISERROR('Eigen informatie GS &amp; warmtenet'!B61),0,'Eigen informatie GS &amp; warmtenet'!B61)</f>
        <v>0</v>
      </c>
      <c r="D5" s="30">
        <f>SUM(D6:D15)</f>
        <v>13140.094669900001</v>
      </c>
      <c r="E5" s="17">
        <f>SUM(E6:E15)</f>
        <v>680.51322268251931</v>
      </c>
      <c r="F5" s="17">
        <f>SUM(F6:F15)</f>
        <v>2413.1842028827823</v>
      </c>
      <c r="G5" s="18"/>
      <c r="H5" s="17"/>
      <c r="I5" s="17"/>
      <c r="J5" s="17">
        <f>SUM(J6:J15)</f>
        <v>345.360354031106</v>
      </c>
      <c r="K5" s="17"/>
      <c r="L5" s="17"/>
      <c r="M5" s="17"/>
      <c r="N5" s="17">
        <f>SUM(N6:N15)</f>
        <v>495.68975145315051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177.806905</v>
      </c>
      <c r="C8" s="33"/>
      <c r="D8" s="37">
        <f>IF( ISERROR(IND_metaal_Gas_kWH/1000),0,IND_metaal_Gas_kWH/1000)*0.902</f>
        <v>0</v>
      </c>
      <c r="E8" s="33">
        <f>C30*'E Balans VL '!I18/100/3.6*1000000</f>
        <v>1.28275202302564</v>
      </c>
      <c r="F8" s="33">
        <f>C30*'E Balans VL '!L18/100/3.6*1000000+C30*'E Balans VL '!N18/100/3.6*1000000</f>
        <v>16.817254683333502</v>
      </c>
      <c r="G8" s="34"/>
      <c r="H8" s="33"/>
      <c r="I8" s="33"/>
      <c r="J8" s="40">
        <f>C30*'E Balans VL '!D18/100/3.6*1000000+C30*'E Balans VL '!E18/100/3.6*1000000</f>
        <v>0.17883921832015154</v>
      </c>
      <c r="K8" s="33"/>
      <c r="L8" s="33"/>
      <c r="M8" s="33"/>
      <c r="N8" s="33">
        <f>C30*'E Balans VL '!Y18/100/3.6*1000000</f>
        <v>2.2479497098266843</v>
      </c>
      <c r="O8" s="33"/>
      <c r="P8" s="33"/>
      <c r="R8" s="32"/>
    </row>
    <row r="9" spans="1:18">
      <c r="A9" s="6" t="s">
        <v>32</v>
      </c>
      <c r="B9" s="37">
        <f t="shared" si="0"/>
        <v>1728.8285639999999</v>
      </c>
      <c r="C9" s="33"/>
      <c r="D9" s="37">
        <f>IF( ISERROR(IND_andere_gas_kWh/1000),0,IND_andere_gas_kWh/1000)*0.902</f>
        <v>2178.4128396800002</v>
      </c>
      <c r="E9" s="33">
        <f>C31*'E Balans VL '!I19/100/3.6*1000000</f>
        <v>479.0815124184918</v>
      </c>
      <c r="F9" s="33">
        <f>C31*'E Balans VL '!L19/100/3.6*1000000+C31*'E Balans VL '!N19/100/3.6*1000000</f>
        <v>1432.8568498705197</v>
      </c>
      <c r="G9" s="34"/>
      <c r="H9" s="33"/>
      <c r="I9" s="33"/>
      <c r="J9" s="40">
        <f>C31*'E Balans VL '!D19/100/3.6*1000000+C31*'E Balans VL '!E19/100/3.6*1000000</f>
        <v>0</v>
      </c>
      <c r="K9" s="33"/>
      <c r="L9" s="33"/>
      <c r="M9" s="33"/>
      <c r="N9" s="33">
        <f>C31*'E Balans VL '!Y19/100/3.6*1000000</f>
        <v>125.49180788384791</v>
      </c>
      <c r="O9" s="33"/>
      <c r="P9" s="33"/>
      <c r="R9" s="32"/>
    </row>
    <row r="10" spans="1:18">
      <c r="A10" s="6" t="s">
        <v>40</v>
      </c>
      <c r="B10" s="37">
        <f t="shared" si="0"/>
        <v>3988.3289100000002</v>
      </c>
      <c r="C10" s="33"/>
      <c r="D10" s="37">
        <f>IF( ISERROR(IND_voed_gas_kWh/1000),0,IND_voed_gas_kWh/1000)*0.902</f>
        <v>4494.2505478200001</v>
      </c>
      <c r="E10" s="33">
        <f>C32*'E Balans VL '!I20/100/3.6*1000000</f>
        <v>7.0606931043140397</v>
      </c>
      <c r="F10" s="33">
        <f>C32*'E Balans VL '!L20/100/3.6*1000000+C32*'E Balans VL '!N20/100/3.6*1000000</f>
        <v>215.4051093820504</v>
      </c>
      <c r="G10" s="34"/>
      <c r="H10" s="33"/>
      <c r="I10" s="33"/>
      <c r="J10" s="40">
        <f>C32*'E Balans VL '!D20/100/3.6*1000000+C32*'E Balans VL '!E20/100/3.6*1000000</f>
        <v>0</v>
      </c>
      <c r="K10" s="33"/>
      <c r="L10" s="33"/>
      <c r="M10" s="33"/>
      <c r="N10" s="33">
        <f>C32*'E Balans VL '!Y20/100/3.6*1000000</f>
        <v>231.752368918435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30.871789</v>
      </c>
      <c r="C12" s="33"/>
      <c r="D12" s="37">
        <f>IF( ISERROR(IND_min_gas_kWh/1000),0,IND_min_gas_kWh/1000)*0.902</f>
        <v>46.541860530000001</v>
      </c>
      <c r="E12" s="33">
        <f>C34*'E Balans VL '!I22/100/3.6*1000000</f>
        <v>1.3594834668394458</v>
      </c>
      <c r="F12" s="33">
        <f>C34*'E Balans VL '!L22/100/3.6*1000000+C34*'E Balans VL '!N22/100/3.6*1000000</f>
        <v>12.072116273474045</v>
      </c>
      <c r="G12" s="34"/>
      <c r="H12" s="33"/>
      <c r="I12" s="33"/>
      <c r="J12" s="40">
        <f>C34*'E Balans VL '!D22/100/3.6*1000000+C34*'E Balans VL '!E22/100/3.6*1000000</f>
        <v>9.3737721990893672E-3</v>
      </c>
      <c r="K12" s="33"/>
      <c r="L12" s="33"/>
      <c r="M12" s="33"/>
      <c r="N12" s="33">
        <f>C34*'E Balans VL '!Y22/100/3.6*1000000</f>
        <v>7.6367450265648786</v>
      </c>
      <c r="O12" s="33"/>
      <c r="P12" s="33"/>
      <c r="R12" s="32"/>
    </row>
    <row r="13" spans="1:18">
      <c r="A13" s="6" t="s">
        <v>38</v>
      </c>
      <c r="B13" s="37">
        <f t="shared" si="0"/>
        <v>2855.3569969999999</v>
      </c>
      <c r="C13" s="33"/>
      <c r="D13" s="37">
        <f>IF( ISERROR(IND_papier_gas_kWh/1000),0,IND_papier_gas_kWh/1000)*0.902</f>
        <v>1139.5954141000002</v>
      </c>
      <c r="E13" s="33">
        <f>C35*'E Balans VL '!I23/100/3.6*1000000</f>
        <v>4.2012106155754134</v>
      </c>
      <c r="F13" s="33">
        <f>C35*'E Balans VL '!L23/100/3.6*1000000+C35*'E Balans VL '!N23/100/3.6*1000000</f>
        <v>30.573182612471609</v>
      </c>
      <c r="G13" s="34"/>
      <c r="H13" s="33"/>
      <c r="I13" s="33"/>
      <c r="J13" s="40">
        <f>C35*'E Balans VL '!D23/100/3.6*1000000+C35*'E Balans VL '!E23/100/3.6*1000000</f>
        <v>312.39206747594449</v>
      </c>
      <c r="K13" s="33"/>
      <c r="L13" s="33"/>
      <c r="M13" s="33"/>
      <c r="N13" s="33">
        <f>C35*'E Balans VL '!Y23/100/3.6*1000000</f>
        <v>-25.867087729689977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3967.9489640000002</v>
      </c>
      <c r="C15" s="33"/>
      <c r="D15" s="37">
        <f>IF( ISERROR(IND_rest_gas_kWh/1000),0,IND_rest_gas_kWh/1000)*0.902</f>
        <v>5281.2940077700005</v>
      </c>
      <c r="E15" s="33">
        <f>C37*'E Balans VL '!I15/100/3.6*1000000</f>
        <v>187.52757105427301</v>
      </c>
      <c r="F15" s="33">
        <f>C37*'E Balans VL '!L15/100/3.6*1000000+C37*'E Balans VL '!N15/100/3.6*1000000</f>
        <v>705.45969006093355</v>
      </c>
      <c r="G15" s="34"/>
      <c r="H15" s="33"/>
      <c r="I15" s="33"/>
      <c r="J15" s="40">
        <f>C37*'E Balans VL '!D15/100/3.6*1000000+C37*'E Balans VL '!E15/100/3.6*1000000</f>
        <v>32.780073564642279</v>
      </c>
      <c r="K15" s="33"/>
      <c r="L15" s="33"/>
      <c r="M15" s="33"/>
      <c r="N15" s="33">
        <f>C37*'E Balans VL '!Y15/100/3.6*1000000</f>
        <v>154.42796764416596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12749.142129</v>
      </c>
      <c r="C18" s="21">
        <f>C5+C16</f>
        <v>0</v>
      </c>
      <c r="D18" s="21">
        <f>MAX((D5+D16),0)</f>
        <v>13140.094669900001</v>
      </c>
      <c r="E18" s="21">
        <f>MAX((E5+E16),0)</f>
        <v>680.51322268251931</v>
      </c>
      <c r="F18" s="21">
        <f>MAX((F5+F16),0)</f>
        <v>2413.1842028827823</v>
      </c>
      <c r="G18" s="21"/>
      <c r="H18" s="21"/>
      <c r="I18" s="21"/>
      <c r="J18" s="21">
        <f>MAX((J5+J16),0)</f>
        <v>345.360354031106</v>
      </c>
      <c r="K18" s="21"/>
      <c r="L18" s="21">
        <f>MAX((L5+L16),0)</f>
        <v>0</v>
      </c>
      <c r="M18" s="21"/>
      <c r="N18" s="21">
        <f>MAX((N5+N16),0)</f>
        <v>495.68975145315051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0.1870158005022253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2384.2910209715801</v>
      </c>
      <c r="C22" s="23">
        <f ca="1">C18*C20</f>
        <v>0</v>
      </c>
      <c r="D22" s="23">
        <f>D18*D20</f>
        <v>2654.2991233198004</v>
      </c>
      <c r="E22" s="23">
        <f>E18*E20</f>
        <v>154.47650154893188</v>
      </c>
      <c r="F22" s="23">
        <f>F18*F20</f>
        <v>644.32018216970289</v>
      </c>
      <c r="G22" s="23"/>
      <c r="H22" s="23"/>
      <c r="I22" s="23"/>
      <c r="J22" s="23">
        <f>J18*J20</f>
        <v>122.25756532701152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177.806905</v>
      </c>
      <c r="C30" s="39">
        <f>IF(ISERROR(B30*3.6/1000000/'E Balans VL '!Z18*100),0,B30*3.6/1000000/'E Balans VL '!Z18*100)</f>
        <v>1.0264515185060465E-2</v>
      </c>
      <c r="D30" s="237" t="s">
        <v>716</v>
      </c>
    </row>
    <row r="31" spans="1:18">
      <c r="A31" s="6" t="s">
        <v>32</v>
      </c>
      <c r="B31" s="37">
        <f>IF( ISERROR(IND_ander_ele_kWh/1000),0,IND_ander_ele_kWh/1000)</f>
        <v>1728.8285639999999</v>
      </c>
      <c r="C31" s="39">
        <f>IF(ISERROR(B31*3.6/1000000/'E Balans VL '!Z19*100),0,B31*3.6/1000000/'E Balans VL '!Z19*100)</f>
        <v>8.695447298839365E-2</v>
      </c>
      <c r="D31" s="237" t="s">
        <v>716</v>
      </c>
    </row>
    <row r="32" spans="1:18">
      <c r="A32" s="171" t="s">
        <v>40</v>
      </c>
      <c r="B32" s="37">
        <f>IF( ISERROR(IND_voed_ele_kWh/1000),0,IND_voed_ele_kWh/1000)</f>
        <v>3988.3289100000002</v>
      </c>
      <c r="C32" s="39">
        <f>IF(ISERROR(B32*3.6/1000000/'E Balans VL '!Z20*100),0,B32*3.6/1000000/'E Balans VL '!Z20*100)</f>
        <v>0.13283503638951363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30.871789</v>
      </c>
      <c r="C34" s="39">
        <f>IF(ISERROR(B34*3.6/1000000/'E Balans VL '!Z22*100),0,B34*3.6/1000000/'E Balans VL '!Z22*100)</f>
        <v>5.7586313851057912E-3</v>
      </c>
      <c r="D34" s="237" t="s">
        <v>716</v>
      </c>
    </row>
    <row r="35" spans="1:5">
      <c r="A35" s="171" t="s">
        <v>38</v>
      </c>
      <c r="B35" s="37">
        <f>IF( ISERROR(IND_papier_ele_kWh/1000),0,IND_papier_ele_kWh/1000)</f>
        <v>2855.3569969999999</v>
      </c>
      <c r="C35" s="39">
        <f>IF(ISERROR(B35*3.6/1000000/'E Balans VL '!Z22*100),0,B35*3.6/1000000/'E Balans VL '!Z22*100)</f>
        <v>0.53262052350142797</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3967.9489640000002</v>
      </c>
      <c r="C37" s="39">
        <f>IF(ISERROR(B37*3.6/1000000/'E Balans VL '!Z15*100),0,B37*3.6/1000000/'E Balans VL '!Z15*100)</f>
        <v>3.0960852796209627E-2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2854.4799539999999</v>
      </c>
      <c r="C5" s="17">
        <f>'Eigen informatie GS &amp; warmtenet'!B62</f>
        <v>0</v>
      </c>
      <c r="D5" s="30">
        <f>IF(ISERROR(SUM(LB_lb_gas_kWh,LB_rest_gas_kWh)/1000),0,SUM(LB_lb_gas_kWh,LB_rest_gas_kWh)/1000)*0.902</f>
        <v>1341.6300455580001</v>
      </c>
      <c r="E5" s="17">
        <f>B17*'E Balans VL '!I25/3.6*1000000/100</f>
        <v>89.087378072976279</v>
      </c>
      <c r="F5" s="17">
        <f>B17*('E Balans VL '!L25/3.6*1000000+'E Balans VL '!N25/3.6*1000000)/100</f>
        <v>10088.048368195203</v>
      </c>
      <c r="G5" s="18"/>
      <c r="H5" s="17"/>
      <c r="I5" s="17"/>
      <c r="J5" s="17">
        <f>('E Balans VL '!D25+'E Balans VL '!E25)/3.6*1000000*landbouw!B17/100</f>
        <v>786.42902297199316</v>
      </c>
      <c r="K5" s="17"/>
      <c r="L5" s="17">
        <f>L6*(-1)</f>
        <v>0</v>
      </c>
      <c r="M5" s="17"/>
      <c r="N5" s="17">
        <f>N6*(-1)</f>
        <v>93.535714285714278</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-93.535714285714278</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2854.4799539999999</v>
      </c>
      <c r="C8" s="21">
        <f>C5+C6</f>
        <v>62.357142857142847</v>
      </c>
      <c r="D8" s="21">
        <f>MAX((D5+D6),0)</f>
        <v>1341.6300455580001</v>
      </c>
      <c r="E8" s="21">
        <f>MAX((E5+E6),0)</f>
        <v>89.087378072976279</v>
      </c>
      <c r="F8" s="21">
        <f>MAX((F5+F6),0)</f>
        <v>10088.048368195203</v>
      </c>
      <c r="G8" s="21"/>
      <c r="H8" s="21"/>
      <c r="I8" s="21"/>
      <c r="J8" s="21">
        <f>MAX((J5+J6),0)</f>
        <v>786.42902297199316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0.1870158005022253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533.83285361486526</v>
      </c>
      <c r="C12" s="23">
        <f ca="1">C8*C10</f>
        <v>0</v>
      </c>
      <c r="D12" s="23">
        <f>D8*D10</f>
        <v>271.00926920271604</v>
      </c>
      <c r="E12" s="23">
        <f>E8*E10</f>
        <v>20.222834822565616</v>
      </c>
      <c r="F12" s="23">
        <f>F8*F10</f>
        <v>2693.5089143081191</v>
      </c>
      <c r="G12" s="23"/>
      <c r="H12" s="23"/>
      <c r="I12" s="23"/>
      <c r="J12" s="23">
        <f>J8*J10</f>
        <v>278.39587413208557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0.42433890801269597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169.52769252649441</v>
      </c>
      <c r="C26" s="247">
        <f>B26*'GWP N2O_CH4'!B5</f>
        <v>3560.0815430563825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48.627666290702145</v>
      </c>
      <c r="C27" s="247">
        <f>B27*'GWP N2O_CH4'!B5</f>
        <v>1021.1809921047451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3.0145838173572068</v>
      </c>
      <c r="C28" s="247">
        <f>B28*'GWP N2O_CH4'!B4</f>
        <v>934.52098338073415</v>
      </c>
      <c r="D28" s="50"/>
    </row>
    <row r="29" spans="1:4">
      <c r="A29" s="41" t="s">
        <v>276</v>
      </c>
      <c r="B29" s="247">
        <f>B34*'ha_N2O bodem landbouw'!B4</f>
        <v>16.520312659382405</v>
      </c>
      <c r="C29" s="247">
        <f>B29*'GWP N2O_CH4'!B4</f>
        <v>5121.2969244085452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3.6226071246610475E-3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6.9826758850999988E-4</v>
      </c>
      <c r="C5" s="463" t="s">
        <v>210</v>
      </c>
      <c r="D5" s="448">
        <f>SUM(D6:D11)</f>
        <v>2.799599201537376E-3</v>
      </c>
      <c r="E5" s="448">
        <f>SUM(E6:E11)</f>
        <v>2.3640892398769497E-3</v>
      </c>
      <c r="F5" s="461" t="s">
        <v>210</v>
      </c>
      <c r="G5" s="448">
        <f>SUM(G6:G11)</f>
        <v>0.91769857666606947</v>
      </c>
      <c r="H5" s="448">
        <f>SUM(H6:H11)</f>
        <v>0.2120133414809986</v>
      </c>
      <c r="I5" s="463" t="s">
        <v>210</v>
      </c>
      <c r="J5" s="463" t="s">
        <v>210</v>
      </c>
      <c r="K5" s="463" t="s">
        <v>210</v>
      </c>
      <c r="L5" s="463" t="s">
        <v>210</v>
      </c>
      <c r="M5" s="448">
        <f>SUM(M6:M11)</f>
        <v>6.6849506687088903E-2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2.8840603393999996E-4</v>
      </c>
      <c r="C6" s="449"/>
      <c r="D6" s="917">
        <f>vkm_2011_GW_PW*SUMIFS(TableVerdeelsleutelVkm[CNG],TableVerdeelsleutelVkm[Voertuigtype],"Lichte voertuigen")*SUMIFS(TableECFTransport[EnergieConsumptieFactor (PJ per km)],TableECFTransport[Index],CONCATENATE($A6,"_CNG_CNG"))</f>
        <v>1.002836904924624E-3</v>
      </c>
      <c r="E6" s="917">
        <f>vkm_2011_GW_PW*SUMIFS(TableVerdeelsleutelVkm[LPG],TableVerdeelsleutelVkm[Voertuigtype],"Lichte voertuigen")*SUMIFS(TableECFTransport[EnergieConsumptieFactor (PJ per km)],TableECFTransport[Index],CONCATENATE($A6,"_LPG_LPG"))</f>
        <v>7.900702585007999E-4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0.21506631085906178</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7.5258924432010321E-2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1.7348757603809134E-2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0.1173785845852464</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2.9571447965243678E-5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6.7684159034208935E-3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1.2211318262999999E-4</v>
      </c>
      <c r="C8" s="449"/>
      <c r="D8" s="451">
        <f>vkm_2011_NGW_PW*SUMIFS(TableVerdeelsleutelVkm[CNG],TableVerdeelsleutelVkm[Voertuigtype],"Lichte voertuigen")*SUMIFS(TableECFTransport[EnergieConsumptieFactor (PJ per km)],TableECFTransport[Index],CONCATENATE($A8,"_CNG_CNG"))</f>
        <v>7.5144767333328011E-4</v>
      </c>
      <c r="E8" s="451">
        <f>vkm_2011_NGW_PW*SUMIFS(TableVerdeelsleutelVkm[LPG],TableVerdeelsleutelVkm[Voertuigtype],"Lichte voertuigen")*SUMIFS(TableECFTransport[EnergieConsumptieFactor (PJ per km)],TableECFTransport[Index],CONCATENATE($A8,"_LPG_LPG"))</f>
        <v>5.4883629393584997E-4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0.13863829435680874</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5.4949942550606326E-2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1.1606914771289754E-2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4.1711371002346821E-2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9.9152867244651722E-6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2.4051689467599509E-3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2.8774837194000001E-4</v>
      </c>
      <c r="C10" s="449"/>
      <c r="D10" s="451">
        <f>vkm_2011_SW_PW*SUMIFS(TableVerdeelsleutelVkm[CNG],TableVerdeelsleutelVkm[Voertuigtype],"Lichte voertuigen")*SUMIFS(TableECFTransport[EnergieConsumptieFactor (PJ per km)],TableECFTransport[Index],CONCATENATE($A10,"_CNG_CNG"))</f>
        <v>1.045314623279472E-3</v>
      </c>
      <c r="E10" s="451">
        <f>vkm_2011_SW_PW*SUMIFS(TableVerdeelsleutelVkm[LPG],TableVerdeelsleutelVkm[Voertuigtype],"Lichte voertuigen")*SUMIFS(TableECFTransport[EnergieConsumptieFactor (PJ per km)],TableECFTransport[Index],CONCATENATE($A10,"_LPG_LPG"))</f>
        <v>1.0251826874402999E-3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0.24789464540378461</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8.1722145772056845E-2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1.9666382441545886E-2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0.15700937045882116</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4.28419916354095E-5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9.053867020263286E-3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193.96321903055554</v>
      </c>
      <c r="C14" s="21"/>
      <c r="D14" s="21">
        <f t="shared" ref="D14:M14" si="0">((D5)*10^9/3600)+D12</f>
        <v>777.66644487149324</v>
      </c>
      <c r="E14" s="21">
        <f t="shared" si="0"/>
        <v>656.69145552137491</v>
      </c>
      <c r="F14" s="21"/>
      <c r="G14" s="21">
        <f t="shared" si="0"/>
        <v>254916.27129613041</v>
      </c>
      <c r="H14" s="21">
        <f t="shared" si="0"/>
        <v>58892.594855832947</v>
      </c>
      <c r="I14" s="21"/>
      <c r="J14" s="21"/>
      <c r="K14" s="21"/>
      <c r="L14" s="21"/>
      <c r="M14" s="21">
        <f t="shared" si="0"/>
        <v>18569.307413080249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0.1870158005022253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36.274186674987803</v>
      </c>
      <c r="C18" s="23"/>
      <c r="D18" s="23">
        <f t="shared" ref="D18:M18" si="1">D14*D16</f>
        <v>157.08862186404164</v>
      </c>
      <c r="E18" s="23">
        <f t="shared" si="1"/>
        <v>149.06896040335212</v>
      </c>
      <c r="F18" s="23"/>
      <c r="G18" s="23">
        <f t="shared" si="1"/>
        <v>68062.644436066825</v>
      </c>
      <c r="H18" s="23">
        <f t="shared" si="1"/>
        <v>14664.256119102403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1.6184834256341995E-2</v>
      </c>
      <c r="H50" s="321">
        <f t="shared" si="2"/>
        <v>0</v>
      </c>
      <c r="I50" s="321">
        <f t="shared" si="2"/>
        <v>0</v>
      </c>
      <c r="J50" s="321">
        <f t="shared" si="2"/>
        <v>0</v>
      </c>
      <c r="K50" s="321">
        <f t="shared" si="2"/>
        <v>0</v>
      </c>
      <c r="L50" s="321">
        <f t="shared" si="2"/>
        <v>0</v>
      </c>
      <c r="M50" s="321">
        <f t="shared" si="2"/>
        <v>8.9955487872102357E-4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1.6184834256341995E-2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8.9955487872102357E-4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4495.7872934283323</v>
      </c>
      <c r="H54" s="21">
        <f t="shared" si="3"/>
        <v>0</v>
      </c>
      <c r="I54" s="21">
        <f t="shared" si="3"/>
        <v>0</v>
      </c>
      <c r="J54" s="21">
        <f t="shared" si="3"/>
        <v>0</v>
      </c>
      <c r="K54" s="21">
        <f t="shared" si="3"/>
        <v>0</v>
      </c>
      <c r="L54" s="21">
        <f t="shared" si="3"/>
        <v>0</v>
      </c>
      <c r="M54" s="21">
        <f t="shared" si="3"/>
        <v>249.87635520028431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0.1870158005022253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1200.3752073453647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99007.371412000008</v>
      </c>
      <c r="D10" s="712">
        <f ca="1">tertiair!C16</f>
        <v>0</v>
      </c>
      <c r="E10" s="712">
        <f ca="1">tertiair!D16</f>
        <v>82269.294850116014</v>
      </c>
      <c r="F10" s="712">
        <f>tertiair!E16</f>
        <v>1718.42150000838</v>
      </c>
      <c r="G10" s="712">
        <f ca="1">tertiair!F16</f>
        <v>10560.109833311602</v>
      </c>
      <c r="H10" s="712">
        <f>tertiair!G16</f>
        <v>0</v>
      </c>
      <c r="I10" s="712">
        <f>tertiair!H16</f>
        <v>0</v>
      </c>
      <c r="J10" s="712">
        <f>tertiair!I16</f>
        <v>0</v>
      </c>
      <c r="K10" s="712">
        <f>tertiair!J16</f>
        <v>9.3022408812136748E-2</v>
      </c>
      <c r="L10" s="712">
        <f>tertiair!K16</f>
        <v>0</v>
      </c>
      <c r="M10" s="712">
        <f ca="1">tertiair!L16</f>
        <v>0</v>
      </c>
      <c r="N10" s="712">
        <f>tertiair!M16</f>
        <v>0</v>
      </c>
      <c r="O10" s="712">
        <f ca="1">tertiair!N16</f>
        <v>3687.0508208533547</v>
      </c>
      <c r="P10" s="712">
        <f>tertiair!O16</f>
        <v>9.7945215316823084</v>
      </c>
      <c r="Q10" s="713">
        <f>tertiair!P16</f>
        <v>105.07827661299004</v>
      </c>
      <c r="R10" s="715">
        <f ca="1">SUM(C10:Q10)</f>
        <v>197357.21423684285</v>
      </c>
      <c r="S10" s="67"/>
    </row>
    <row r="11" spans="1:19" s="474" customFormat="1">
      <c r="A11" s="834" t="s">
        <v>224</v>
      </c>
      <c r="B11" s="839"/>
      <c r="C11" s="712">
        <f>huishoudens!B8</f>
        <v>50393.552692829762</v>
      </c>
      <c r="D11" s="712">
        <f>huishoudens!C8</f>
        <v>0</v>
      </c>
      <c r="E11" s="712">
        <f>huishoudens!D8</f>
        <v>114767.02461840001</v>
      </c>
      <c r="F11" s="712">
        <f>huishoudens!E8</f>
        <v>11236.487879100388</v>
      </c>
      <c r="G11" s="712">
        <f>huishoudens!F8</f>
        <v>42729.674710648687</v>
      </c>
      <c r="H11" s="712">
        <f>huishoudens!G8</f>
        <v>0</v>
      </c>
      <c r="I11" s="712">
        <f>huishoudens!H8</f>
        <v>0</v>
      </c>
      <c r="J11" s="712">
        <f>huishoudens!I8</f>
        <v>0</v>
      </c>
      <c r="K11" s="712">
        <f>huishoudens!J8</f>
        <v>0</v>
      </c>
      <c r="L11" s="712">
        <f>huishoudens!K8</f>
        <v>0</v>
      </c>
      <c r="M11" s="712">
        <f>huishoudens!L8</f>
        <v>0</v>
      </c>
      <c r="N11" s="712">
        <f>huishoudens!M8</f>
        <v>0</v>
      </c>
      <c r="O11" s="712">
        <f>huishoudens!N8</f>
        <v>14731.169553192243</v>
      </c>
      <c r="P11" s="712">
        <f>huishoudens!O8</f>
        <v>297.59373290805479</v>
      </c>
      <c r="Q11" s="713">
        <f>huishoudens!P8</f>
        <v>1032.3280121531322</v>
      </c>
      <c r="R11" s="715">
        <f>SUM(C11:Q11)</f>
        <v>235187.83119923229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12749.142129</v>
      </c>
      <c r="D13" s="712">
        <f>industrie!C18</f>
        <v>0</v>
      </c>
      <c r="E13" s="712">
        <f>industrie!D18</f>
        <v>13140.094669900001</v>
      </c>
      <c r="F13" s="712">
        <f>industrie!E18</f>
        <v>680.51322268251931</v>
      </c>
      <c r="G13" s="712">
        <f>industrie!F18</f>
        <v>2413.1842028827823</v>
      </c>
      <c r="H13" s="712">
        <f>industrie!G18</f>
        <v>0</v>
      </c>
      <c r="I13" s="712">
        <f>industrie!H18</f>
        <v>0</v>
      </c>
      <c r="J13" s="712">
        <f>industrie!I18</f>
        <v>0</v>
      </c>
      <c r="K13" s="712">
        <f>industrie!J18</f>
        <v>345.360354031106</v>
      </c>
      <c r="L13" s="712">
        <f>industrie!K18</f>
        <v>0</v>
      </c>
      <c r="M13" s="712">
        <f>industrie!L18</f>
        <v>0</v>
      </c>
      <c r="N13" s="712">
        <f>industrie!M18</f>
        <v>0</v>
      </c>
      <c r="O13" s="712">
        <f>industrie!N18</f>
        <v>495.68975145315051</v>
      </c>
      <c r="P13" s="712">
        <f>industrie!O18</f>
        <v>0</v>
      </c>
      <c r="Q13" s="713">
        <f>industrie!P18</f>
        <v>0</v>
      </c>
      <c r="R13" s="715">
        <f>SUM(C13:Q13)</f>
        <v>29823.984329949559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162150.06623382977</v>
      </c>
      <c r="D16" s="748">
        <f t="shared" ref="D16:R16" ca="1" si="0">SUM(D9:D15)</f>
        <v>0</v>
      </c>
      <c r="E16" s="748">
        <f t="shared" ca="1" si="0"/>
        <v>210176.41413841603</v>
      </c>
      <c r="F16" s="748">
        <f t="shared" si="0"/>
        <v>13635.422601791288</v>
      </c>
      <c r="G16" s="748">
        <f t="shared" ca="1" si="0"/>
        <v>55702.968746843071</v>
      </c>
      <c r="H16" s="748">
        <f t="shared" si="0"/>
        <v>0</v>
      </c>
      <c r="I16" s="748">
        <f t="shared" si="0"/>
        <v>0</v>
      </c>
      <c r="J16" s="748">
        <f t="shared" si="0"/>
        <v>0</v>
      </c>
      <c r="K16" s="748">
        <f t="shared" si="0"/>
        <v>345.45337643991815</v>
      </c>
      <c r="L16" s="748">
        <f t="shared" si="0"/>
        <v>0</v>
      </c>
      <c r="M16" s="748">
        <f t="shared" ca="1" si="0"/>
        <v>0</v>
      </c>
      <c r="N16" s="748">
        <f t="shared" si="0"/>
        <v>0</v>
      </c>
      <c r="O16" s="748">
        <f t="shared" ca="1" si="0"/>
        <v>18913.910125498751</v>
      </c>
      <c r="P16" s="748">
        <f t="shared" si="0"/>
        <v>307.38825443973712</v>
      </c>
      <c r="Q16" s="748">
        <f t="shared" si="0"/>
        <v>1137.4062887661223</v>
      </c>
      <c r="R16" s="748">
        <f t="shared" ca="1" si="0"/>
        <v>462369.02976602467</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4495.7872934283323</v>
      </c>
      <c r="I19" s="712">
        <f>transport!H54</f>
        <v>0</v>
      </c>
      <c r="J19" s="712">
        <f>transport!I54</f>
        <v>0</v>
      </c>
      <c r="K19" s="712">
        <f>transport!J54</f>
        <v>0</v>
      </c>
      <c r="L19" s="712">
        <f>transport!K54</f>
        <v>0</v>
      </c>
      <c r="M19" s="712">
        <f>transport!L54</f>
        <v>0</v>
      </c>
      <c r="N19" s="712">
        <f>transport!M54</f>
        <v>249.87635520028431</v>
      </c>
      <c r="O19" s="712">
        <f>transport!N54</f>
        <v>0</v>
      </c>
      <c r="P19" s="712">
        <f>transport!O54</f>
        <v>0</v>
      </c>
      <c r="Q19" s="713">
        <f>transport!P54</f>
        <v>0</v>
      </c>
      <c r="R19" s="715">
        <f>SUM(C19:Q19)</f>
        <v>4745.663648628617</v>
      </c>
      <c r="S19" s="67"/>
    </row>
    <row r="20" spans="1:19" s="474" customFormat="1">
      <c r="A20" s="834" t="s">
        <v>306</v>
      </c>
      <c r="B20" s="839"/>
      <c r="C20" s="712">
        <f>transport!B14</f>
        <v>193.96321903055554</v>
      </c>
      <c r="D20" s="712">
        <f>transport!C14</f>
        <v>0</v>
      </c>
      <c r="E20" s="712">
        <f>transport!D14</f>
        <v>777.66644487149324</v>
      </c>
      <c r="F20" s="712">
        <f>transport!E14</f>
        <v>656.69145552137491</v>
      </c>
      <c r="G20" s="712">
        <f>transport!F14</f>
        <v>0</v>
      </c>
      <c r="H20" s="712">
        <f>transport!G14</f>
        <v>254916.27129613041</v>
      </c>
      <c r="I20" s="712">
        <f>transport!H14</f>
        <v>58892.594855832947</v>
      </c>
      <c r="J20" s="712">
        <f>transport!I14</f>
        <v>0</v>
      </c>
      <c r="K20" s="712">
        <f>transport!J14</f>
        <v>0</v>
      </c>
      <c r="L20" s="712">
        <f>transport!K14</f>
        <v>0</v>
      </c>
      <c r="M20" s="712">
        <f>transport!L14</f>
        <v>0</v>
      </c>
      <c r="N20" s="712">
        <f>transport!M14</f>
        <v>18569.307413080249</v>
      </c>
      <c r="O20" s="712">
        <f>transport!N14</f>
        <v>0</v>
      </c>
      <c r="P20" s="712">
        <f>transport!O14</f>
        <v>0</v>
      </c>
      <c r="Q20" s="713">
        <f>transport!P14</f>
        <v>0</v>
      </c>
      <c r="R20" s="715">
        <f>SUM(C20:Q20)</f>
        <v>334006.49468446703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193.96321903055554</v>
      </c>
      <c r="D22" s="837">
        <f t="shared" ref="D22:R22" si="1">SUM(D18:D21)</f>
        <v>0</v>
      </c>
      <c r="E22" s="837">
        <f t="shared" si="1"/>
        <v>777.66644487149324</v>
      </c>
      <c r="F22" s="837">
        <f t="shared" si="1"/>
        <v>656.69145552137491</v>
      </c>
      <c r="G22" s="837">
        <f t="shared" si="1"/>
        <v>0</v>
      </c>
      <c r="H22" s="837">
        <f t="shared" si="1"/>
        <v>259412.05858955873</v>
      </c>
      <c r="I22" s="837">
        <f t="shared" si="1"/>
        <v>58892.594855832947</v>
      </c>
      <c r="J22" s="837">
        <f t="shared" si="1"/>
        <v>0</v>
      </c>
      <c r="K22" s="837">
        <f t="shared" si="1"/>
        <v>0</v>
      </c>
      <c r="L22" s="837">
        <f t="shared" si="1"/>
        <v>0</v>
      </c>
      <c r="M22" s="837">
        <f t="shared" si="1"/>
        <v>0</v>
      </c>
      <c r="N22" s="837">
        <f t="shared" si="1"/>
        <v>18819.183768280534</v>
      </c>
      <c r="O22" s="837">
        <f t="shared" si="1"/>
        <v>0</v>
      </c>
      <c r="P22" s="837">
        <f t="shared" si="1"/>
        <v>0</v>
      </c>
      <c r="Q22" s="837">
        <f t="shared" si="1"/>
        <v>0</v>
      </c>
      <c r="R22" s="837">
        <f t="shared" si="1"/>
        <v>338752.15833309566</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2854.4799539999999</v>
      </c>
      <c r="D24" s="712">
        <f>+landbouw!C8</f>
        <v>62.357142857142847</v>
      </c>
      <c r="E24" s="712">
        <f>+landbouw!D8</f>
        <v>1341.6300455580001</v>
      </c>
      <c r="F24" s="712">
        <f>+landbouw!E8</f>
        <v>89.087378072976279</v>
      </c>
      <c r="G24" s="712">
        <f>+landbouw!F8</f>
        <v>10088.048368195203</v>
      </c>
      <c r="H24" s="712">
        <f>+landbouw!G8</f>
        <v>0</v>
      </c>
      <c r="I24" s="712">
        <f>+landbouw!H8</f>
        <v>0</v>
      </c>
      <c r="J24" s="712">
        <f>+landbouw!I8</f>
        <v>0</v>
      </c>
      <c r="K24" s="712">
        <f>+landbouw!J8</f>
        <v>786.42902297199316</v>
      </c>
      <c r="L24" s="712">
        <f>+landbouw!K8</f>
        <v>0</v>
      </c>
      <c r="M24" s="712">
        <f>+landbouw!L8</f>
        <v>0</v>
      </c>
      <c r="N24" s="712">
        <f>+landbouw!M8</f>
        <v>0</v>
      </c>
      <c r="O24" s="712">
        <f>+landbouw!N8</f>
        <v>0</v>
      </c>
      <c r="P24" s="712">
        <f>+landbouw!O8</f>
        <v>0</v>
      </c>
      <c r="Q24" s="713">
        <f>+landbouw!P8</f>
        <v>0</v>
      </c>
      <c r="R24" s="715">
        <f>SUM(C24:Q24)</f>
        <v>15222.031911655316</v>
      </c>
      <c r="S24" s="67"/>
    </row>
    <row r="25" spans="1:19" s="474" customFormat="1" ht="15" thickBot="1">
      <c r="A25" s="856" t="s">
        <v>734</v>
      </c>
      <c r="B25" s="982"/>
      <c r="C25" s="983">
        <f>IF(Onbekend_ele_kWh="---",0,Onbekend_ele_kWh)/1000+IF(REST_rest_ele_kWh="---",0,REST_rest_ele_kWh)/1000</f>
        <v>2230.391267</v>
      </c>
      <c r="D25" s="983"/>
      <c r="E25" s="983">
        <f>IF(onbekend_gas_kWh="---",0,onbekend_gas_kWh)/1000+IF(REST_rest_gas_kWh="---",0,REST_rest_gas_kWh)/1000</f>
        <v>5358.5910460000005</v>
      </c>
      <c r="F25" s="983"/>
      <c r="G25" s="983"/>
      <c r="H25" s="983"/>
      <c r="I25" s="983"/>
      <c r="J25" s="983"/>
      <c r="K25" s="983"/>
      <c r="L25" s="983"/>
      <c r="M25" s="983"/>
      <c r="N25" s="983"/>
      <c r="O25" s="983"/>
      <c r="P25" s="983"/>
      <c r="Q25" s="984"/>
      <c r="R25" s="715">
        <f>SUM(C25:Q25)</f>
        <v>7588.9823130000004</v>
      </c>
      <c r="S25" s="67"/>
    </row>
    <row r="26" spans="1:19" s="474" customFormat="1" ht="15.75" thickBot="1">
      <c r="A26" s="720" t="s">
        <v>735</v>
      </c>
      <c r="B26" s="842"/>
      <c r="C26" s="837">
        <f>SUM(C24:C25)</f>
        <v>5084.8712209999994</v>
      </c>
      <c r="D26" s="837">
        <f t="shared" ref="D26:R26" si="2">SUM(D24:D25)</f>
        <v>62.357142857142847</v>
      </c>
      <c r="E26" s="837">
        <f t="shared" si="2"/>
        <v>6700.2210915580008</v>
      </c>
      <c r="F26" s="837">
        <f t="shared" si="2"/>
        <v>89.087378072976279</v>
      </c>
      <c r="G26" s="837">
        <f t="shared" si="2"/>
        <v>10088.048368195203</v>
      </c>
      <c r="H26" s="837">
        <f t="shared" si="2"/>
        <v>0</v>
      </c>
      <c r="I26" s="837">
        <f t="shared" si="2"/>
        <v>0</v>
      </c>
      <c r="J26" s="837">
        <f t="shared" si="2"/>
        <v>0</v>
      </c>
      <c r="K26" s="837">
        <f t="shared" si="2"/>
        <v>786.42902297199316</v>
      </c>
      <c r="L26" s="837">
        <f t="shared" si="2"/>
        <v>0</v>
      </c>
      <c r="M26" s="837">
        <f t="shared" si="2"/>
        <v>0</v>
      </c>
      <c r="N26" s="837">
        <f t="shared" si="2"/>
        <v>0</v>
      </c>
      <c r="O26" s="837">
        <f t="shared" si="2"/>
        <v>0</v>
      </c>
      <c r="P26" s="837">
        <f t="shared" si="2"/>
        <v>0</v>
      </c>
      <c r="Q26" s="837">
        <f t="shared" si="2"/>
        <v>0</v>
      </c>
      <c r="R26" s="837">
        <f t="shared" si="2"/>
        <v>22811.014224655315</v>
      </c>
      <c r="S26" s="67"/>
    </row>
    <row r="27" spans="1:19" s="474" customFormat="1" ht="17.25" thickTop="1" thickBot="1">
      <c r="A27" s="721" t="s">
        <v>115</v>
      </c>
      <c r="B27" s="829"/>
      <c r="C27" s="722">
        <f ca="1">C22+C16+C26</f>
        <v>167428.90067386033</v>
      </c>
      <c r="D27" s="722">
        <f t="shared" ref="D27:R27" ca="1" si="3">D22+D16+D26</f>
        <v>62.357142857142847</v>
      </c>
      <c r="E27" s="722">
        <f t="shared" ca="1" si="3"/>
        <v>217654.30167484551</v>
      </c>
      <c r="F27" s="722">
        <f t="shared" si="3"/>
        <v>14381.201435385639</v>
      </c>
      <c r="G27" s="722">
        <f t="shared" ca="1" si="3"/>
        <v>65791.017115038267</v>
      </c>
      <c r="H27" s="722">
        <f t="shared" si="3"/>
        <v>259412.05858955873</v>
      </c>
      <c r="I27" s="722">
        <f t="shared" si="3"/>
        <v>58892.594855832947</v>
      </c>
      <c r="J27" s="722">
        <f t="shared" si="3"/>
        <v>0</v>
      </c>
      <c r="K27" s="722">
        <f t="shared" si="3"/>
        <v>1131.8823994119114</v>
      </c>
      <c r="L27" s="722">
        <f t="shared" si="3"/>
        <v>0</v>
      </c>
      <c r="M27" s="722">
        <f t="shared" ca="1" si="3"/>
        <v>0</v>
      </c>
      <c r="N27" s="722">
        <f t="shared" si="3"/>
        <v>18819.183768280534</v>
      </c>
      <c r="O27" s="722">
        <f t="shared" ca="1" si="3"/>
        <v>18913.910125498751</v>
      </c>
      <c r="P27" s="722">
        <f t="shared" si="3"/>
        <v>307.38825443973712</v>
      </c>
      <c r="Q27" s="722">
        <f t="shared" si="3"/>
        <v>1137.4062887661223</v>
      </c>
      <c r="R27" s="722">
        <f t="shared" ca="1" si="3"/>
        <v>823932.20232377562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18515.942820236316</v>
      </c>
      <c r="D40" s="712">
        <f ca="1">tertiair!C20</f>
        <v>0</v>
      </c>
      <c r="E40" s="712">
        <f ca="1">tertiair!D20</f>
        <v>16618.397559723435</v>
      </c>
      <c r="F40" s="712">
        <f>tertiair!E20</f>
        <v>390.08168050190227</v>
      </c>
      <c r="G40" s="712">
        <f ca="1">tertiair!F20</f>
        <v>2819.549325494198</v>
      </c>
      <c r="H40" s="712">
        <f>tertiair!G20</f>
        <v>0</v>
      </c>
      <c r="I40" s="712">
        <f>tertiair!H20</f>
        <v>0</v>
      </c>
      <c r="J40" s="712">
        <f>tertiair!I20</f>
        <v>0</v>
      </c>
      <c r="K40" s="712">
        <f>tertiair!J20</f>
        <v>3.2929932719496409E-2</v>
      </c>
      <c r="L40" s="712">
        <f>tertiair!K20</f>
        <v>0</v>
      </c>
      <c r="M40" s="712">
        <f ca="1">tertiair!L20</f>
        <v>0</v>
      </c>
      <c r="N40" s="712">
        <f>tertiair!M20</f>
        <v>0</v>
      </c>
      <c r="O40" s="712">
        <f ca="1">tertiair!N20</f>
        <v>0</v>
      </c>
      <c r="P40" s="712">
        <f>tertiair!O20</f>
        <v>0</v>
      </c>
      <c r="Q40" s="795">
        <f>tertiair!P20</f>
        <v>0</v>
      </c>
      <c r="R40" s="875">
        <f t="shared" ca="1" si="4"/>
        <v>38344.004315888575</v>
      </c>
    </row>
    <row r="41" spans="1:18">
      <c r="A41" s="847" t="s">
        <v>224</v>
      </c>
      <c r="B41" s="854"/>
      <c r="C41" s="712">
        <f ca="1">huishoudens!B12</f>
        <v>9424.390597000629</v>
      </c>
      <c r="D41" s="712">
        <f ca="1">huishoudens!C12</f>
        <v>0</v>
      </c>
      <c r="E41" s="712">
        <f>huishoudens!D12</f>
        <v>23182.938972916803</v>
      </c>
      <c r="F41" s="712">
        <f>huishoudens!E12</f>
        <v>2550.6827485557883</v>
      </c>
      <c r="G41" s="712">
        <f>huishoudens!F12</f>
        <v>11408.8231477432</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46566.83546621642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2384.2910209715801</v>
      </c>
      <c r="D43" s="712">
        <f ca="1">industrie!C22</f>
        <v>0</v>
      </c>
      <c r="E43" s="712">
        <f>industrie!D22</f>
        <v>2654.2991233198004</v>
      </c>
      <c r="F43" s="712">
        <f>industrie!E22</f>
        <v>154.47650154893188</v>
      </c>
      <c r="G43" s="712">
        <f>industrie!F22</f>
        <v>644.32018216970289</v>
      </c>
      <c r="H43" s="712">
        <f>industrie!G22</f>
        <v>0</v>
      </c>
      <c r="I43" s="712">
        <f>industrie!H22</f>
        <v>0</v>
      </c>
      <c r="J43" s="712">
        <f>industrie!I22</f>
        <v>0</v>
      </c>
      <c r="K43" s="712">
        <f>industrie!J22</f>
        <v>122.25756532701152</v>
      </c>
      <c r="L43" s="712">
        <f>industrie!K22</f>
        <v>0</v>
      </c>
      <c r="M43" s="712">
        <f>industrie!L22</f>
        <v>0</v>
      </c>
      <c r="N43" s="712">
        <f>industrie!M22</f>
        <v>0</v>
      </c>
      <c r="O43" s="712">
        <f>industrie!N22</f>
        <v>0</v>
      </c>
      <c r="P43" s="712">
        <f>industrie!O22</f>
        <v>0</v>
      </c>
      <c r="Q43" s="795">
        <f>industrie!P22</f>
        <v>0</v>
      </c>
      <c r="R43" s="874">
        <f t="shared" ca="1" si="4"/>
        <v>5959.6443933370265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30324.624438208524</v>
      </c>
      <c r="D46" s="748">
        <f t="shared" ref="D46:Q46" ca="1" si="5">SUM(D39:D45)</f>
        <v>0</v>
      </c>
      <c r="E46" s="748">
        <f t="shared" ca="1" si="5"/>
        <v>42455.635655960039</v>
      </c>
      <c r="F46" s="748">
        <f t="shared" si="5"/>
        <v>3095.2409306066224</v>
      </c>
      <c r="G46" s="748">
        <f t="shared" ca="1" si="5"/>
        <v>14872.6926554071</v>
      </c>
      <c r="H46" s="748">
        <f t="shared" si="5"/>
        <v>0</v>
      </c>
      <c r="I46" s="748">
        <f t="shared" si="5"/>
        <v>0</v>
      </c>
      <c r="J46" s="748">
        <f t="shared" si="5"/>
        <v>0</v>
      </c>
      <c r="K46" s="748">
        <f t="shared" si="5"/>
        <v>122.29049525973102</v>
      </c>
      <c r="L46" s="748">
        <f t="shared" si="5"/>
        <v>0</v>
      </c>
      <c r="M46" s="748">
        <f t="shared" ca="1" si="5"/>
        <v>0</v>
      </c>
      <c r="N46" s="748">
        <f t="shared" si="5"/>
        <v>0</v>
      </c>
      <c r="O46" s="748">
        <f t="shared" ca="1" si="5"/>
        <v>0</v>
      </c>
      <c r="P46" s="748">
        <f t="shared" si="5"/>
        <v>0</v>
      </c>
      <c r="Q46" s="748">
        <f t="shared" si="5"/>
        <v>0</v>
      </c>
      <c r="R46" s="748">
        <f ca="1">SUM(R39:R45)</f>
        <v>90870.484175442034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1200.3752073453647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1200.3752073453647</v>
      </c>
    </row>
    <row r="50" spans="1:18">
      <c r="A50" s="850" t="s">
        <v>306</v>
      </c>
      <c r="B50" s="860"/>
      <c r="C50" s="718">
        <f ca="1">transport!B18</f>
        <v>36.274186674987803</v>
      </c>
      <c r="D50" s="718">
        <f>transport!C18</f>
        <v>0</v>
      </c>
      <c r="E50" s="718">
        <f>transport!D18</f>
        <v>157.08862186404164</v>
      </c>
      <c r="F50" s="718">
        <f>transport!E18</f>
        <v>149.06896040335212</v>
      </c>
      <c r="G50" s="718">
        <f>transport!F18</f>
        <v>0</v>
      </c>
      <c r="H50" s="718">
        <f>transport!G18</f>
        <v>68062.644436066825</v>
      </c>
      <c r="I50" s="718">
        <f>transport!H18</f>
        <v>14664.256119102403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83069.332324111601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36.274186674987803</v>
      </c>
      <c r="D52" s="748">
        <f t="shared" ref="D52:Q52" ca="1" si="6">SUM(D48:D51)</f>
        <v>0</v>
      </c>
      <c r="E52" s="748">
        <f t="shared" si="6"/>
        <v>157.08862186404164</v>
      </c>
      <c r="F52" s="748">
        <f t="shared" si="6"/>
        <v>149.06896040335212</v>
      </c>
      <c r="G52" s="748">
        <f t="shared" si="6"/>
        <v>0</v>
      </c>
      <c r="H52" s="748">
        <f t="shared" si="6"/>
        <v>69263.01964341219</v>
      </c>
      <c r="I52" s="748">
        <f t="shared" si="6"/>
        <v>14664.256119102403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84269.707531456967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533.83285361486526</v>
      </c>
      <c r="D54" s="718">
        <f ca="1">+landbouw!C12</f>
        <v>0</v>
      </c>
      <c r="E54" s="718">
        <f>+landbouw!D12</f>
        <v>271.00926920271604</v>
      </c>
      <c r="F54" s="718">
        <f>+landbouw!E12</f>
        <v>20.222834822565616</v>
      </c>
      <c r="G54" s="718">
        <f>+landbouw!F12</f>
        <v>2693.5089143081191</v>
      </c>
      <c r="H54" s="718">
        <f>+landbouw!G12</f>
        <v>0</v>
      </c>
      <c r="I54" s="718">
        <f>+landbouw!H12</f>
        <v>0</v>
      </c>
      <c r="J54" s="718">
        <f>+landbouw!I12</f>
        <v>0</v>
      </c>
      <c r="K54" s="718">
        <f>+landbouw!J12</f>
        <v>278.39587413208557</v>
      </c>
      <c r="L54" s="718">
        <f>+landbouw!K12</f>
        <v>0</v>
      </c>
      <c r="M54" s="718">
        <f>+landbouw!L12</f>
        <v>0</v>
      </c>
      <c r="N54" s="718">
        <f>+landbouw!M12</f>
        <v>0</v>
      </c>
      <c r="O54" s="718">
        <f>+landbouw!N12</f>
        <v>0</v>
      </c>
      <c r="P54" s="718">
        <f>+landbouw!O12</f>
        <v>0</v>
      </c>
      <c r="Q54" s="719">
        <f>+landbouw!P12</f>
        <v>0</v>
      </c>
      <c r="R54" s="747">
        <f ca="1">SUM(C54:Q54)</f>
        <v>3796.9697460803518</v>
      </c>
    </row>
    <row r="55" spans="1:18" ht="15" thickBot="1">
      <c r="A55" s="850" t="s">
        <v>734</v>
      </c>
      <c r="B55" s="860"/>
      <c r="C55" s="718">
        <f ca="1">C25*'EF ele_warmte'!B12</f>
        <v>417.11840823117751</v>
      </c>
      <c r="D55" s="718"/>
      <c r="E55" s="718">
        <f>E25*EF_CO2_aardgas</f>
        <v>1082.4353912920001</v>
      </c>
      <c r="F55" s="718"/>
      <c r="G55" s="718"/>
      <c r="H55" s="718"/>
      <c r="I55" s="718"/>
      <c r="J55" s="718"/>
      <c r="K55" s="718"/>
      <c r="L55" s="718"/>
      <c r="M55" s="718"/>
      <c r="N55" s="718"/>
      <c r="O55" s="718"/>
      <c r="P55" s="718"/>
      <c r="Q55" s="719"/>
      <c r="R55" s="747">
        <f ca="1">SUM(C55:Q55)</f>
        <v>1499.5537995231775</v>
      </c>
    </row>
    <row r="56" spans="1:18" ht="15.75" thickBot="1">
      <c r="A56" s="848" t="s">
        <v>735</v>
      </c>
      <c r="B56" s="861"/>
      <c r="C56" s="748">
        <f ca="1">SUM(C54:C55)</f>
        <v>950.95126184604283</v>
      </c>
      <c r="D56" s="748">
        <f t="shared" ref="D56:Q56" ca="1" si="7">SUM(D54:D55)</f>
        <v>0</v>
      </c>
      <c r="E56" s="748">
        <f t="shared" si="7"/>
        <v>1353.4446604947161</v>
      </c>
      <c r="F56" s="748">
        <f t="shared" si="7"/>
        <v>20.222834822565616</v>
      </c>
      <c r="G56" s="748">
        <f t="shared" si="7"/>
        <v>2693.5089143081191</v>
      </c>
      <c r="H56" s="748">
        <f t="shared" si="7"/>
        <v>0</v>
      </c>
      <c r="I56" s="748">
        <f t="shared" si="7"/>
        <v>0</v>
      </c>
      <c r="J56" s="748">
        <f t="shared" si="7"/>
        <v>0</v>
      </c>
      <c r="K56" s="748">
        <f t="shared" si="7"/>
        <v>278.39587413208557</v>
      </c>
      <c r="L56" s="748">
        <f t="shared" si="7"/>
        <v>0</v>
      </c>
      <c r="M56" s="748">
        <f t="shared" si="7"/>
        <v>0</v>
      </c>
      <c r="N56" s="748">
        <f t="shared" si="7"/>
        <v>0</v>
      </c>
      <c r="O56" s="748">
        <f t="shared" si="7"/>
        <v>0</v>
      </c>
      <c r="P56" s="748">
        <f t="shared" si="7"/>
        <v>0</v>
      </c>
      <c r="Q56" s="749">
        <f t="shared" si="7"/>
        <v>0</v>
      </c>
      <c r="R56" s="750">
        <f ca="1">SUM(R54:R55)</f>
        <v>5296.5235456035298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31311.849886729557</v>
      </c>
      <c r="D61" s="756">
        <f t="shared" ref="D61:Q61" ca="1" si="8">D46+D52+D56</f>
        <v>0</v>
      </c>
      <c r="E61" s="756">
        <f t="shared" ca="1" si="8"/>
        <v>43966.168938318799</v>
      </c>
      <c r="F61" s="756">
        <f t="shared" si="8"/>
        <v>3264.5327258325406</v>
      </c>
      <c r="G61" s="756">
        <f t="shared" ca="1" si="8"/>
        <v>17566.20156971522</v>
      </c>
      <c r="H61" s="756">
        <f t="shared" si="8"/>
        <v>69263.01964341219</v>
      </c>
      <c r="I61" s="756">
        <f t="shared" si="8"/>
        <v>14664.256119102403</v>
      </c>
      <c r="J61" s="756">
        <f t="shared" si="8"/>
        <v>0</v>
      </c>
      <c r="K61" s="756">
        <f t="shared" si="8"/>
        <v>400.68636939181658</v>
      </c>
      <c r="L61" s="756">
        <f t="shared" si="8"/>
        <v>0</v>
      </c>
      <c r="M61" s="756">
        <f t="shared" ca="1" si="8"/>
        <v>0</v>
      </c>
      <c r="N61" s="756">
        <f t="shared" si="8"/>
        <v>0</v>
      </c>
      <c r="O61" s="756">
        <f t="shared" ca="1" si="8"/>
        <v>0</v>
      </c>
      <c r="P61" s="756">
        <f t="shared" si="8"/>
        <v>0</v>
      </c>
      <c r="Q61" s="756">
        <f t="shared" si="8"/>
        <v>0</v>
      </c>
      <c r="R61" s="756">
        <f ca="1">R46+R52+R56</f>
        <v>180436.71525250253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0.18701580050222527</v>
      </c>
      <c r="D63" s="802">
        <f t="shared" ca="1" si="9"/>
        <v>0</v>
      </c>
      <c r="E63" s="1008">
        <f t="shared" ca="1" si="9"/>
        <v>0.20200000000000001</v>
      </c>
      <c r="F63" s="802">
        <f t="shared" si="9"/>
        <v>0.22700000000000004</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14038.793106582356</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11663.878894293546</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38.514705882352935</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25746.322000875902</v>
      </c>
      <c r="C78" s="774">
        <f>SUM(C72:C77)</f>
        <v>0</v>
      </c>
      <c r="D78" s="775">
        <f t="shared" ref="D78:H78" si="10">SUM(D76:D77)</f>
        <v>0</v>
      </c>
      <c r="E78" s="775">
        <f t="shared" si="10"/>
        <v>0</v>
      </c>
      <c r="F78" s="775">
        <f t="shared" si="10"/>
        <v>0</v>
      </c>
      <c r="G78" s="775">
        <f t="shared" si="10"/>
        <v>0</v>
      </c>
      <c r="H78" s="775">
        <f t="shared" si="10"/>
        <v>0</v>
      </c>
      <c r="I78" s="775">
        <f>SUM(I76:I77)</f>
        <v>0</v>
      </c>
      <c r="J78" s="775">
        <f>SUM(J76:J77)</f>
        <v>38.514705882352935</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55.021008403361343</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55.021008403361343</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14038.793106582356</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11663.878894293546</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38.514705882352935</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25746.322000875902</v>
      </c>
      <c r="C10" s="589">
        <f t="shared" ref="C10:L10" si="0">SUM(C8:C9)</f>
        <v>0</v>
      </c>
      <c r="D10" s="589">
        <f t="shared" si="0"/>
        <v>0</v>
      </c>
      <c r="E10" s="589">
        <f t="shared" si="0"/>
        <v>0</v>
      </c>
      <c r="F10" s="589">
        <f t="shared" si="0"/>
        <v>0</v>
      </c>
      <c r="G10" s="589">
        <f t="shared" si="0"/>
        <v>0</v>
      </c>
      <c r="H10" s="589">
        <f t="shared" si="0"/>
        <v>0</v>
      </c>
      <c r="I10" s="589">
        <f t="shared" si="0"/>
        <v>0</v>
      </c>
      <c r="J10" s="589">
        <f t="shared" si="0"/>
        <v>38.514705882352935</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55.021008403361343</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55.021008403361343</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23002</v>
      </c>
      <c r="C28" s="817">
        <v>1730</v>
      </c>
      <c r="D28" s="666" t="s">
        <v>882</v>
      </c>
      <c r="E28" s="665"/>
      <c r="F28" s="665" t="s">
        <v>883</v>
      </c>
      <c r="G28" s="665" t="s">
        <v>884</v>
      </c>
      <c r="H28" s="665" t="s">
        <v>885</v>
      </c>
      <c r="I28" s="665" t="s">
        <v>886</v>
      </c>
      <c r="J28" s="816">
        <v>42664</v>
      </c>
      <c r="K28" s="816">
        <v>42664</v>
      </c>
      <c r="L28" s="665" t="s">
        <v>887</v>
      </c>
      <c r="M28" s="665">
        <v>9.6999999999999993</v>
      </c>
      <c r="N28" s="665">
        <v>43.649999999999991</v>
      </c>
      <c r="O28" s="665">
        <v>62.357142857142847</v>
      </c>
      <c r="P28" s="665">
        <v>0</v>
      </c>
      <c r="Q28" s="665">
        <v>93.535714285714278</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93.535714285714278</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93.535714285714278</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38.514705882352935</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55.021008403361343</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50393.552692829762</v>
      </c>
      <c r="C4" s="478">
        <f>huishoudens!C8</f>
        <v>0</v>
      </c>
      <c r="D4" s="478">
        <f>huishoudens!D8</f>
        <v>114767.02461840001</v>
      </c>
      <c r="E4" s="478">
        <f>huishoudens!E8</f>
        <v>11236.487879100388</v>
      </c>
      <c r="F4" s="478">
        <f>huishoudens!F8</f>
        <v>42729.674710648687</v>
      </c>
      <c r="G4" s="478">
        <f>huishoudens!G8</f>
        <v>0</v>
      </c>
      <c r="H4" s="478">
        <f>huishoudens!H8</f>
        <v>0</v>
      </c>
      <c r="I4" s="478">
        <f>huishoudens!I8</f>
        <v>0</v>
      </c>
      <c r="J4" s="478">
        <f>huishoudens!J8</f>
        <v>0</v>
      </c>
      <c r="K4" s="478">
        <f>huishoudens!K8</f>
        <v>0</v>
      </c>
      <c r="L4" s="478">
        <f>huishoudens!L8</f>
        <v>0</v>
      </c>
      <c r="M4" s="478">
        <f>huishoudens!M8</f>
        <v>0</v>
      </c>
      <c r="N4" s="478">
        <f>huishoudens!N8</f>
        <v>14731.169553192243</v>
      </c>
      <c r="O4" s="478">
        <f>huishoudens!O8</f>
        <v>297.59373290805479</v>
      </c>
      <c r="P4" s="479">
        <f>huishoudens!P8</f>
        <v>1032.3280121531322</v>
      </c>
      <c r="Q4" s="480">
        <f>SUM(B4:P4)</f>
        <v>235187.83119923229</v>
      </c>
    </row>
    <row r="5" spans="1:17">
      <c r="A5" s="477" t="s">
        <v>155</v>
      </c>
      <c r="B5" s="478">
        <f ca="1">tertiair!B16</f>
        <v>96999.979412000001</v>
      </c>
      <c r="C5" s="478">
        <f ca="1">tertiair!C16</f>
        <v>0</v>
      </c>
      <c r="D5" s="478">
        <f ca="1">tertiair!D16</f>
        <v>82269.294850116014</v>
      </c>
      <c r="E5" s="478">
        <f>tertiair!E16</f>
        <v>1718.42150000838</v>
      </c>
      <c r="F5" s="478">
        <f ca="1">tertiair!F16</f>
        <v>10560.109833311602</v>
      </c>
      <c r="G5" s="478">
        <f>tertiair!G16</f>
        <v>0</v>
      </c>
      <c r="H5" s="478">
        <f>tertiair!H16</f>
        <v>0</v>
      </c>
      <c r="I5" s="478">
        <f>tertiair!I16</f>
        <v>0</v>
      </c>
      <c r="J5" s="478">
        <f>tertiair!J16</f>
        <v>9.3022408812136748E-2</v>
      </c>
      <c r="K5" s="478">
        <f>tertiair!K16</f>
        <v>0</v>
      </c>
      <c r="L5" s="478">
        <f ca="1">tertiair!L16</f>
        <v>0</v>
      </c>
      <c r="M5" s="478">
        <f>tertiair!M16</f>
        <v>0</v>
      </c>
      <c r="N5" s="478">
        <f ca="1">tertiair!N16</f>
        <v>3687.0508208533547</v>
      </c>
      <c r="O5" s="478">
        <f>tertiair!O16</f>
        <v>9.7945215316823084</v>
      </c>
      <c r="P5" s="479">
        <f>tertiair!P16</f>
        <v>105.07827661299004</v>
      </c>
      <c r="Q5" s="477">
        <f t="shared" ref="Q5:Q14" ca="1" si="0">SUM(B5:P5)</f>
        <v>195349.82223684283</v>
      </c>
    </row>
    <row r="6" spans="1:17">
      <c r="A6" s="477" t="s">
        <v>193</v>
      </c>
      <c r="B6" s="478">
        <f>'openbare verlichting'!B8</f>
        <v>2007.3920000000001</v>
      </c>
      <c r="C6" s="478"/>
      <c r="D6" s="478"/>
      <c r="E6" s="478"/>
      <c r="F6" s="478"/>
      <c r="G6" s="478"/>
      <c r="H6" s="478"/>
      <c r="I6" s="478"/>
      <c r="J6" s="478"/>
      <c r="K6" s="478"/>
      <c r="L6" s="478"/>
      <c r="M6" s="478"/>
      <c r="N6" s="478"/>
      <c r="O6" s="478"/>
      <c r="P6" s="479"/>
      <c r="Q6" s="477">
        <f t="shared" si="0"/>
        <v>2007.3920000000001</v>
      </c>
    </row>
    <row r="7" spans="1:17">
      <c r="A7" s="477" t="s">
        <v>111</v>
      </c>
      <c r="B7" s="478">
        <f>landbouw!B8</f>
        <v>2854.4799539999999</v>
      </c>
      <c r="C7" s="478">
        <f>landbouw!C8</f>
        <v>62.357142857142847</v>
      </c>
      <c r="D7" s="478">
        <f>landbouw!D8</f>
        <v>1341.6300455580001</v>
      </c>
      <c r="E7" s="478">
        <f>landbouw!E8</f>
        <v>89.087378072976279</v>
      </c>
      <c r="F7" s="478">
        <f>landbouw!F8</f>
        <v>10088.048368195203</v>
      </c>
      <c r="G7" s="478">
        <f>landbouw!G8</f>
        <v>0</v>
      </c>
      <c r="H7" s="478">
        <f>landbouw!H8</f>
        <v>0</v>
      </c>
      <c r="I7" s="478">
        <f>landbouw!I8</f>
        <v>0</v>
      </c>
      <c r="J7" s="478">
        <f>landbouw!J8</f>
        <v>786.42902297199316</v>
      </c>
      <c r="K7" s="478">
        <f>landbouw!K8</f>
        <v>0</v>
      </c>
      <c r="L7" s="478">
        <f>landbouw!L8</f>
        <v>0</v>
      </c>
      <c r="M7" s="478">
        <f>landbouw!M8</f>
        <v>0</v>
      </c>
      <c r="N7" s="478">
        <f>landbouw!N8</f>
        <v>0</v>
      </c>
      <c r="O7" s="478">
        <f>landbouw!O8</f>
        <v>0</v>
      </c>
      <c r="P7" s="479">
        <f>landbouw!P8</f>
        <v>0</v>
      </c>
      <c r="Q7" s="477">
        <f t="shared" si="0"/>
        <v>15222.031911655316</v>
      </c>
    </row>
    <row r="8" spans="1:17">
      <c r="A8" s="477" t="s">
        <v>629</v>
      </c>
      <c r="B8" s="478">
        <f>industrie!B18</f>
        <v>12749.142129</v>
      </c>
      <c r="C8" s="478">
        <f>industrie!C18</f>
        <v>0</v>
      </c>
      <c r="D8" s="478">
        <f>industrie!D18</f>
        <v>13140.094669900001</v>
      </c>
      <c r="E8" s="478">
        <f>industrie!E18</f>
        <v>680.51322268251931</v>
      </c>
      <c r="F8" s="478">
        <f>industrie!F18</f>
        <v>2413.1842028827823</v>
      </c>
      <c r="G8" s="478">
        <f>industrie!G18</f>
        <v>0</v>
      </c>
      <c r="H8" s="478">
        <f>industrie!H18</f>
        <v>0</v>
      </c>
      <c r="I8" s="478">
        <f>industrie!I18</f>
        <v>0</v>
      </c>
      <c r="J8" s="478">
        <f>industrie!J18</f>
        <v>345.360354031106</v>
      </c>
      <c r="K8" s="478">
        <f>industrie!K18</f>
        <v>0</v>
      </c>
      <c r="L8" s="478">
        <f>industrie!L18</f>
        <v>0</v>
      </c>
      <c r="M8" s="478">
        <f>industrie!M18</f>
        <v>0</v>
      </c>
      <c r="N8" s="478">
        <f>industrie!N18</f>
        <v>495.68975145315051</v>
      </c>
      <c r="O8" s="478">
        <f>industrie!O18</f>
        <v>0</v>
      </c>
      <c r="P8" s="479">
        <f>industrie!P18</f>
        <v>0</v>
      </c>
      <c r="Q8" s="477">
        <f t="shared" si="0"/>
        <v>29823.984329949559</v>
      </c>
    </row>
    <row r="9" spans="1:17" s="483" customFormat="1">
      <c r="A9" s="481" t="s">
        <v>555</v>
      </c>
      <c r="B9" s="482">
        <f>transport!B14</f>
        <v>193.96321903055554</v>
      </c>
      <c r="C9" s="482">
        <f>transport!C14</f>
        <v>0</v>
      </c>
      <c r="D9" s="482">
        <f>transport!D14</f>
        <v>777.66644487149324</v>
      </c>
      <c r="E9" s="482">
        <f>transport!E14</f>
        <v>656.69145552137491</v>
      </c>
      <c r="F9" s="482">
        <f>transport!F14</f>
        <v>0</v>
      </c>
      <c r="G9" s="482">
        <f>transport!G14</f>
        <v>254916.27129613041</v>
      </c>
      <c r="H9" s="482">
        <f>transport!H14</f>
        <v>58892.594855832947</v>
      </c>
      <c r="I9" s="482">
        <f>transport!I14</f>
        <v>0</v>
      </c>
      <c r="J9" s="482">
        <f>transport!J14</f>
        <v>0</v>
      </c>
      <c r="K9" s="482">
        <f>transport!K14</f>
        <v>0</v>
      </c>
      <c r="L9" s="482">
        <f>transport!L14</f>
        <v>0</v>
      </c>
      <c r="M9" s="482">
        <f>transport!M14</f>
        <v>18569.307413080249</v>
      </c>
      <c r="N9" s="482">
        <f>transport!N14</f>
        <v>0</v>
      </c>
      <c r="O9" s="482">
        <f>transport!O14</f>
        <v>0</v>
      </c>
      <c r="P9" s="482">
        <f>transport!P14</f>
        <v>0</v>
      </c>
      <c r="Q9" s="481">
        <f>SUM(B9:P9)</f>
        <v>334006.49468446703</v>
      </c>
    </row>
    <row r="10" spans="1:17">
      <c r="A10" s="477" t="s">
        <v>545</v>
      </c>
      <c r="B10" s="478">
        <f>transport!B54</f>
        <v>0</v>
      </c>
      <c r="C10" s="478">
        <f>transport!C54</f>
        <v>0</v>
      </c>
      <c r="D10" s="478">
        <f>transport!D54</f>
        <v>0</v>
      </c>
      <c r="E10" s="478">
        <f>transport!E54</f>
        <v>0</v>
      </c>
      <c r="F10" s="478">
        <f>transport!F54</f>
        <v>0</v>
      </c>
      <c r="G10" s="478">
        <f>transport!G54</f>
        <v>4495.7872934283323</v>
      </c>
      <c r="H10" s="478">
        <f>transport!H54</f>
        <v>0</v>
      </c>
      <c r="I10" s="478">
        <f>transport!I54</f>
        <v>0</v>
      </c>
      <c r="J10" s="478">
        <f>transport!J54</f>
        <v>0</v>
      </c>
      <c r="K10" s="478">
        <f>transport!K54</f>
        <v>0</v>
      </c>
      <c r="L10" s="478">
        <f>transport!L54</f>
        <v>0</v>
      </c>
      <c r="M10" s="478">
        <f>transport!M54</f>
        <v>249.87635520028431</v>
      </c>
      <c r="N10" s="478">
        <f>transport!N54</f>
        <v>0</v>
      </c>
      <c r="O10" s="478">
        <f>transport!O54</f>
        <v>0</v>
      </c>
      <c r="P10" s="479">
        <f>transport!P54</f>
        <v>0</v>
      </c>
      <c r="Q10" s="477">
        <f t="shared" si="0"/>
        <v>4745.663648628617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2230.391267</v>
      </c>
      <c r="C14" s="485"/>
      <c r="D14" s="485">
        <f>'SEAP template'!E25</f>
        <v>5358.5910460000005</v>
      </c>
      <c r="E14" s="485"/>
      <c r="F14" s="485"/>
      <c r="G14" s="485"/>
      <c r="H14" s="485"/>
      <c r="I14" s="485"/>
      <c r="J14" s="485"/>
      <c r="K14" s="485"/>
      <c r="L14" s="485"/>
      <c r="M14" s="485"/>
      <c r="N14" s="485"/>
      <c r="O14" s="485"/>
      <c r="P14" s="486"/>
      <c r="Q14" s="477">
        <f t="shared" si="0"/>
        <v>7588.9823130000004</v>
      </c>
    </row>
    <row r="15" spans="1:17" s="489" customFormat="1">
      <c r="A15" s="487" t="s">
        <v>549</v>
      </c>
      <c r="B15" s="488">
        <f ca="1">SUM(B4:B14)</f>
        <v>167428.90067386031</v>
      </c>
      <c r="C15" s="488">
        <f t="shared" ref="C15:Q15" ca="1" si="1">SUM(C4:C14)</f>
        <v>62.357142857142847</v>
      </c>
      <c r="D15" s="488">
        <f t="shared" ca="1" si="1"/>
        <v>217654.30167484551</v>
      </c>
      <c r="E15" s="488">
        <f t="shared" si="1"/>
        <v>14381.201435385639</v>
      </c>
      <c r="F15" s="488">
        <f t="shared" ca="1" si="1"/>
        <v>65791.017115038281</v>
      </c>
      <c r="G15" s="488">
        <f t="shared" si="1"/>
        <v>259412.05858955873</v>
      </c>
      <c r="H15" s="488">
        <f t="shared" si="1"/>
        <v>58892.594855832947</v>
      </c>
      <c r="I15" s="488">
        <f t="shared" si="1"/>
        <v>0</v>
      </c>
      <c r="J15" s="488">
        <f t="shared" si="1"/>
        <v>1131.8823994119111</v>
      </c>
      <c r="K15" s="488">
        <f t="shared" si="1"/>
        <v>0</v>
      </c>
      <c r="L15" s="488">
        <f t="shared" ca="1" si="1"/>
        <v>0</v>
      </c>
      <c r="M15" s="488">
        <f t="shared" si="1"/>
        <v>18819.183768280534</v>
      </c>
      <c r="N15" s="488">
        <f t="shared" ca="1" si="1"/>
        <v>18913.910125498751</v>
      </c>
      <c r="O15" s="488">
        <f t="shared" si="1"/>
        <v>307.38825443973712</v>
      </c>
      <c r="P15" s="488">
        <f t="shared" si="1"/>
        <v>1137.4062887661223</v>
      </c>
      <c r="Q15" s="488">
        <f t="shared" ca="1" si="1"/>
        <v>823932.20232377562</v>
      </c>
    </row>
    <row r="17" spans="1:17">
      <c r="A17" s="490" t="s">
        <v>550</v>
      </c>
      <c r="B17" s="807">
        <f ca="1">huishoudens!B10</f>
        <v>0.1870158005022253</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9424.390597000629</v>
      </c>
      <c r="C22" s="478">
        <f t="shared" ref="C22:C32" ca="1" si="3">C4*$C$17</f>
        <v>0</v>
      </c>
      <c r="D22" s="478">
        <f t="shared" ref="D22:D32" si="4">D4*$D$17</f>
        <v>23182.938972916803</v>
      </c>
      <c r="E22" s="478">
        <f t="shared" ref="E22:E32" si="5">E4*$E$17</f>
        <v>2550.6827485557883</v>
      </c>
      <c r="F22" s="478">
        <f t="shared" ref="F22:F32" si="6">F4*$F$17</f>
        <v>11408.8231477432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46566.83546621642</v>
      </c>
    </row>
    <row r="23" spans="1:17">
      <c r="A23" s="477" t="s">
        <v>155</v>
      </c>
      <c r="B23" s="478">
        <f t="shared" ca="1" si="2"/>
        <v>18140.528798434552</v>
      </c>
      <c r="C23" s="478">
        <f t="shared" ca="1" si="3"/>
        <v>0</v>
      </c>
      <c r="D23" s="478">
        <f t="shared" ca="1" si="4"/>
        <v>16618.397559723435</v>
      </c>
      <c r="E23" s="478">
        <f t="shared" si="5"/>
        <v>390.08168050190227</v>
      </c>
      <c r="F23" s="478">
        <f t="shared" ca="1" si="6"/>
        <v>2819.549325494198</v>
      </c>
      <c r="G23" s="478">
        <f t="shared" si="7"/>
        <v>0</v>
      </c>
      <c r="H23" s="478">
        <f t="shared" si="8"/>
        <v>0</v>
      </c>
      <c r="I23" s="478">
        <f t="shared" si="9"/>
        <v>0</v>
      </c>
      <c r="J23" s="478">
        <f t="shared" si="10"/>
        <v>3.2929932719496409E-2</v>
      </c>
      <c r="K23" s="478">
        <f t="shared" si="11"/>
        <v>0</v>
      </c>
      <c r="L23" s="478">
        <f t="shared" ca="1" si="12"/>
        <v>0</v>
      </c>
      <c r="M23" s="478">
        <f t="shared" si="13"/>
        <v>0</v>
      </c>
      <c r="N23" s="478">
        <f t="shared" ca="1" si="14"/>
        <v>0</v>
      </c>
      <c r="O23" s="478">
        <f t="shared" si="15"/>
        <v>0</v>
      </c>
      <c r="P23" s="479">
        <f t="shared" si="16"/>
        <v>0</v>
      </c>
      <c r="Q23" s="477">
        <f t="shared" ref="Q23:Q31" ca="1" si="17">SUM(B23:P23)</f>
        <v>37968.590294086811</v>
      </c>
    </row>
    <row r="24" spans="1:17">
      <c r="A24" s="477" t="s">
        <v>193</v>
      </c>
      <c r="B24" s="478">
        <f t="shared" ca="1" si="2"/>
        <v>375.41402180176306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375.41402180176306</v>
      </c>
    </row>
    <row r="25" spans="1:17">
      <c r="A25" s="477" t="s">
        <v>111</v>
      </c>
      <c r="B25" s="478">
        <f t="shared" ca="1" si="2"/>
        <v>533.83285361486526</v>
      </c>
      <c r="C25" s="478">
        <f t="shared" ca="1" si="3"/>
        <v>0</v>
      </c>
      <c r="D25" s="478">
        <f t="shared" si="4"/>
        <v>271.00926920271604</v>
      </c>
      <c r="E25" s="478">
        <f t="shared" si="5"/>
        <v>20.222834822565616</v>
      </c>
      <c r="F25" s="478">
        <f t="shared" si="6"/>
        <v>2693.5089143081191</v>
      </c>
      <c r="G25" s="478">
        <f t="shared" si="7"/>
        <v>0</v>
      </c>
      <c r="H25" s="478">
        <f t="shared" si="8"/>
        <v>0</v>
      </c>
      <c r="I25" s="478">
        <f t="shared" si="9"/>
        <v>0</v>
      </c>
      <c r="J25" s="478">
        <f t="shared" si="10"/>
        <v>278.39587413208557</v>
      </c>
      <c r="K25" s="478">
        <f t="shared" si="11"/>
        <v>0</v>
      </c>
      <c r="L25" s="478">
        <f t="shared" si="12"/>
        <v>0</v>
      </c>
      <c r="M25" s="478">
        <f t="shared" si="13"/>
        <v>0</v>
      </c>
      <c r="N25" s="478">
        <f t="shared" si="14"/>
        <v>0</v>
      </c>
      <c r="O25" s="478">
        <f t="shared" si="15"/>
        <v>0</v>
      </c>
      <c r="P25" s="479">
        <f t="shared" si="16"/>
        <v>0</v>
      </c>
      <c r="Q25" s="477">
        <f t="shared" ca="1" si="17"/>
        <v>3796.9697460803518</v>
      </c>
    </row>
    <row r="26" spans="1:17">
      <c r="A26" s="477" t="s">
        <v>629</v>
      </c>
      <c r="B26" s="478">
        <f t="shared" ca="1" si="2"/>
        <v>2384.2910209715801</v>
      </c>
      <c r="C26" s="478">
        <f t="shared" ca="1" si="3"/>
        <v>0</v>
      </c>
      <c r="D26" s="478">
        <f t="shared" si="4"/>
        <v>2654.2991233198004</v>
      </c>
      <c r="E26" s="478">
        <f t="shared" si="5"/>
        <v>154.47650154893188</v>
      </c>
      <c r="F26" s="478">
        <f t="shared" si="6"/>
        <v>644.32018216970289</v>
      </c>
      <c r="G26" s="478">
        <f t="shared" si="7"/>
        <v>0</v>
      </c>
      <c r="H26" s="478">
        <f t="shared" si="8"/>
        <v>0</v>
      </c>
      <c r="I26" s="478">
        <f t="shared" si="9"/>
        <v>0</v>
      </c>
      <c r="J26" s="478">
        <f t="shared" si="10"/>
        <v>122.25756532701152</v>
      </c>
      <c r="K26" s="478">
        <f t="shared" si="11"/>
        <v>0</v>
      </c>
      <c r="L26" s="478">
        <f t="shared" si="12"/>
        <v>0</v>
      </c>
      <c r="M26" s="478">
        <f t="shared" si="13"/>
        <v>0</v>
      </c>
      <c r="N26" s="478">
        <f t="shared" si="14"/>
        <v>0</v>
      </c>
      <c r="O26" s="478">
        <f t="shared" si="15"/>
        <v>0</v>
      </c>
      <c r="P26" s="479">
        <f t="shared" si="16"/>
        <v>0</v>
      </c>
      <c r="Q26" s="477">
        <f t="shared" ca="1" si="17"/>
        <v>5959.6443933370265</v>
      </c>
    </row>
    <row r="27" spans="1:17" s="483" customFormat="1">
      <c r="A27" s="481" t="s">
        <v>555</v>
      </c>
      <c r="B27" s="801">
        <f t="shared" ca="1" si="2"/>
        <v>36.274186674987803</v>
      </c>
      <c r="C27" s="482">
        <f t="shared" ca="1" si="3"/>
        <v>0</v>
      </c>
      <c r="D27" s="482">
        <f t="shared" si="4"/>
        <v>157.08862186404164</v>
      </c>
      <c r="E27" s="482">
        <f t="shared" si="5"/>
        <v>149.06896040335212</v>
      </c>
      <c r="F27" s="482">
        <f t="shared" si="6"/>
        <v>0</v>
      </c>
      <c r="G27" s="482">
        <f t="shared" si="7"/>
        <v>68062.644436066825</v>
      </c>
      <c r="H27" s="482">
        <f t="shared" si="8"/>
        <v>14664.256119102403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83069.332324111601</v>
      </c>
    </row>
    <row r="28" spans="1:17" ht="16.5" customHeight="1">
      <c r="A28" s="477" t="s">
        <v>545</v>
      </c>
      <c r="B28" s="478">
        <f t="shared" ca="1" si="2"/>
        <v>0</v>
      </c>
      <c r="C28" s="478">
        <f t="shared" ca="1" si="3"/>
        <v>0</v>
      </c>
      <c r="D28" s="478">
        <f t="shared" si="4"/>
        <v>0</v>
      </c>
      <c r="E28" s="478">
        <f t="shared" si="5"/>
        <v>0</v>
      </c>
      <c r="F28" s="478">
        <f t="shared" si="6"/>
        <v>0</v>
      </c>
      <c r="G28" s="478">
        <f t="shared" si="7"/>
        <v>1200.3752073453647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1200.3752073453647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417.11840823117751</v>
      </c>
      <c r="C32" s="478">
        <f t="shared" ca="1" si="3"/>
        <v>0</v>
      </c>
      <c r="D32" s="478">
        <f t="shared" si="4"/>
        <v>1082.4353912920001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1499.5537995231775</v>
      </c>
    </row>
    <row r="33" spans="1:17" s="489" customFormat="1">
      <c r="A33" s="487" t="s">
        <v>549</v>
      </c>
      <c r="B33" s="488">
        <f ca="1">SUM(B22:B32)</f>
        <v>31311.849886729557</v>
      </c>
      <c r="C33" s="488">
        <f t="shared" ref="C33:Q33" ca="1" si="19">SUM(C22:C32)</f>
        <v>0</v>
      </c>
      <c r="D33" s="488">
        <f t="shared" ca="1" si="19"/>
        <v>43966.168938318799</v>
      </c>
      <c r="E33" s="488">
        <f t="shared" si="19"/>
        <v>3264.5327258325406</v>
      </c>
      <c r="F33" s="488">
        <f t="shared" ca="1" si="19"/>
        <v>17566.20156971522</v>
      </c>
      <c r="G33" s="488">
        <f t="shared" si="19"/>
        <v>69263.01964341219</v>
      </c>
      <c r="H33" s="488">
        <f t="shared" si="19"/>
        <v>14664.256119102403</v>
      </c>
      <c r="I33" s="488">
        <f t="shared" si="19"/>
        <v>0</v>
      </c>
      <c r="J33" s="488">
        <f t="shared" si="19"/>
        <v>400.68636939181658</v>
      </c>
      <c r="K33" s="488">
        <f t="shared" si="19"/>
        <v>0</v>
      </c>
      <c r="L33" s="488">
        <f t="shared" ca="1" si="19"/>
        <v>0</v>
      </c>
      <c r="M33" s="488">
        <f t="shared" si="19"/>
        <v>0</v>
      </c>
      <c r="N33" s="488">
        <f t="shared" ca="1" si="19"/>
        <v>0</v>
      </c>
      <c r="O33" s="488">
        <f t="shared" si="19"/>
        <v>0</v>
      </c>
      <c r="P33" s="488">
        <f t="shared" si="19"/>
        <v>0</v>
      </c>
      <c r="Q33" s="488">
        <f t="shared" ca="1" si="19"/>
        <v>180436.7152525025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14038.793106582356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11663.878894293546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38.514705882352935</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25746.322000875902</v>
      </c>
      <c r="C10" s="1064">
        <f>SUM(C4:C9)</f>
        <v>0</v>
      </c>
      <c r="D10" s="1064">
        <f t="shared" ref="D10:H10" si="0">SUM(D8:D9)</f>
        <v>0</v>
      </c>
      <c r="E10" s="1064">
        <f t="shared" si="0"/>
        <v>0</v>
      </c>
      <c r="F10" s="1064">
        <f t="shared" si="0"/>
        <v>0</v>
      </c>
      <c r="G10" s="1064">
        <f t="shared" si="0"/>
        <v>0</v>
      </c>
      <c r="H10" s="1064">
        <f t="shared" si="0"/>
        <v>0</v>
      </c>
      <c r="I10" s="1064">
        <f>SUM(I8:I9)</f>
        <v>0</v>
      </c>
      <c r="J10" s="1064">
        <f>SUM(J8:J9)</f>
        <v>38.514705882352935</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0.1870158005022253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55.021008403361343</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55.021008403361343</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0.1870158005022253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2019-06-29T17:08:40Z</dcterms:modified>
</cp:coreProperties>
</file>