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<sst xmlns="http://schemas.openxmlformats.org/spreadsheetml/2006/main" count="2393" uniqueCount="897">
  <si>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</si>
  <si>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</si>
  <si>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</si>
  <si>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</si>
  <si>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</si>
  <si>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</si>
  <si>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</si>
  <si>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</si>
  <si>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</si>
  <si>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</si>
  <si>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</si>
  <si>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</si>
  <si>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</si>
  <si>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</si>
  <si>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</si>
  <si>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</si>
  <si>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</si>
  <si>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</si>
  <si>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</si>
  <si>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</si>
  <si>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</si>
  <si>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</si>
  <si>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</si>
  <si>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</si>
  <si>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</si>
  <si>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</si>
  <si>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</si>
  <si>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</si>
  <si>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</si>
  <si>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</si>
  <si>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</si>
  <si>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</si>
  <si>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</si>
  <si>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</si>
  <si>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</si>
  <si>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</si>
  <si>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</si>
  <si>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</si>
  <si>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</si>
  <si>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</si>
  <si>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</si>
  <si>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</si>
  <si>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</si>
  <si>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</si>
  <si>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</si>
  <si>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</si>
  <si>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</si>
  <si>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</si>
  <si>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</si>
  <si>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</si>
  <si>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</si>
  <si>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</si>
  <si>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</si>
  <si>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</si>
  <si>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</si>
  <si>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</si>
  <si>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</si>
  <si>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</si>
  <si>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</si>
  <si>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</si>
  <si>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</si>
  <si>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</si>
  <si>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</si>
  <si>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</si>
  <si>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</si>
  <si>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</si>
  <si>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</si>
  <si>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</si>
  <si>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</si>
  <si>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</si>
  <si>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</si>
  <si>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</si>
  <si>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</si>
  <si>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</si>
  <si>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</si>
  <si>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</si>
  <si>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</si>
  <si>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</si>
  <si>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</si>
  <si>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</si>
  <si>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</si>
  <si>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</si>
  <si>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</si>
  <si>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</si>
  <si>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</si>
  <si>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</si>
  <si>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</si>
  <si>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</si>
  <si>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</si>
  <si>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</si>
  <si>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</si>
  <si>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</si>
  <si>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</si>
  <si>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</si>
  <si>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</si>
  <si>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</si>
  <si>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</si>
  <si>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</si>
  <si>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</si>
  <si>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</si>
  <si>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</si>
  <si>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</si>
  <si>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</si>
  <si>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</si>
  <si>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</si>
  <si>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</si>
  <si>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</si>
  <si>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</si>
  <si>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</si>
  <si>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</si>
  <si>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</si>
  <si>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</si>
  <si>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</si>
  <si>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</si>
  <si>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</si>
  <si>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</si>
  <si>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</si>
  <si>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</si>
  <si>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</si>
  <si>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</si>
  <si>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</si>
  <si>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</si>
  <si>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</si>
  <si>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</si>
  <si>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</si>
  <si>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</si>
  <si>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</si>
  <si>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</si>
  <si>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</si>
  <si>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</si>
  <si>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</si>
  <si>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</si>
  <si>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</si>
  <si>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</si>
  <si>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</si>
  <si>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</si>
  <si>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</si>
  <si>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</si>
  <si>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</si>
  <si>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</si>
  <si>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</si>
  <si>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</si>
  <si>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</si>
  <si>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</si>
  <si>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</si>
  <si>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</si>
  <si>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</si>
  <si>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</si>
  <si>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</si>
  <si>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</si>
  <si>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</si>
  <si>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</si>
  <si>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</si>
  <si>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</si>
  <si>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</si>
  <si>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</si>
  <si>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</si>
  <si>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</si>
  <si>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</si>
  <si>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</si>
  <si>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</si>
  <si>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</si>
  <si>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</si>
  <si>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</si>
  <si>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</si>
  <si>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</si>
  <si>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</si>
  <si>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</si>
  <si>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</si>
  <si>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</si>
  <si>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</si>
  <si>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</si>
  <si>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</si>
  <si>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</si>
  <si>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</si>
  <si>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</si>
  <si>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</si>
  <si>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</si>
  <si>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</si>
  <si>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</si>
  <si>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</si>
  <si>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</si>
  <si>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</si>
  <si>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</si>
  <si>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</si>
  <si>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</si>
  <si>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</si>
  <si>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</si>
  <si>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</si>
  <si>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</si>
  <si>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</si>
  <si>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</si>
  <si>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</si>
  <si>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</si>
  <si>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</si>
  <si>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</si>
  <si>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</si>
  <si>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</si>
  <si>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</si>
  <si>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</si>
  <si>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</si>
  <si>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</si>
  <si>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</si>
  <si>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</si>
  <si>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</si>
  <si>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</si>
  <si>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</si>
  <si>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</si>
  <si>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</si>
  <si>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</si>
  <si>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</si>
  <si>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</si>
  <si>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</si>
  <si>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</si>
  <si>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</si>
  <si>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</si>
  <si>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</si>
  <si>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</si>
  <si>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</si>
  <si>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</si>
  <si>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</si>
  <si>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</si>
  <si>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</si>
  <si>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</si>
  <si>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</si>
  <si>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</si>
  <si>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</si>
  <si>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</si>
  <si>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</si>
  <si>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</si>
  <si>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</si>
  <si>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</si>
  <si>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</si>
  <si>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</si>
  <si>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</si>
  <si>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</si>
  <si>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</si>
  <si>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</si>
  <si>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</si>
  <si>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</si>
  <si>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</si>
  <si>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</si>
  <si>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</si>
  <si>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</si>
  <si>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</si>
  <si>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</si>
  <si>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</si>
  <si>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</si>
  <si>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</si>
  <si>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</si>
  <si>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</si>
  <si>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</si>
  <si>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</si>
  <si>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</si>
  <si>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</si>
  <si>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</si>
  <si>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</si>
  <si>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</si>
  <si>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</si>
  <si>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</si>
  <si>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</si>
  <si>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</si>
  <si>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</si>
  <si>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</si>
  <si>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</si>
  <si>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</si>
  <si>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</si>
  <si>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</si>
  <si>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</si>
  <si>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</si>
  <si>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</si>
  <si>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</si>
  <si>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</si>
  <si>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</si>
  <si>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</si>
  <si>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</si>
  <si>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</si>
  <si>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</si>
  <si>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</si>
  <si>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</si>
  <si>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</si>
  <si>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</si>
  <si>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</si>
  <si>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</si>
  <si>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</si>
  <si>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</si>
  <si>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</si>
  <si>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</si>
  <si>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</si>
  <si>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</si>
  <si>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</si>
  <si>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</si>
  <si>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</si>
  <si>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</si>
  <si>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</si>
  <si>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</si>
  <si>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</si>
  <si>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</si>
  <si>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</si>
  <si>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</si>
  <si>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</si>
  <si>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</si>
  <si>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</si>
  <si>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</si>
  <si>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</si>
  <si>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</si>
  <si>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</si>
  <si>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</si>
  <si>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</si>
  <si>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</si>
  <si>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</si>
  <si>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</si>
  <si>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</si>
  <si>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</si>
  <si>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</si>
  <si>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</si>
  <si>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</si>
  <si>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</si>
  <si>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</si>
  <si>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</si>
  <si>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</si>
  <si>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</si>
  <si>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</si>
  <si>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</si>
  <si>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</si>
  <si>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</si>
  <si>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</si>
  <si>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</si>
  <si>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</si>
  <si>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</si>
  <si>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</si>
  <si>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</si>
  <si>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</si>
  <si>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</si>
  <si>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</si>
  <si>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</si>
  <si>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</si>
  <si>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</si>
  <si>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</si>
  <si>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</si>
  <si>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</si>
  <si>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</si>
  <si>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</si>
  <si>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</si>
  <si>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</si>
  <si>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</si>
  <si>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</si>
  <si>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</si>
  <si>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</si>
  <si>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</si>
  <si>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</si>
  <si>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</si>
  <si>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</si>
  <si>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</si>
  <si>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</si>
  <si>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</si>
  <si>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</si>
  <si>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</si>
  <si>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</si>
  <si>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</si>
  <si>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</si>
  <si>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</si>
  <si>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</si>
  <si>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</si>
  <si>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</si>
  <si>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</si>
  <si>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</si>
  <si>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</si>
  <si>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</si>
  <si>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</si>
  <si>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</si>
  <si>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</si>
  <si>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</si>
  <si>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</si>
  <si>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</si>
  <si>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</si>
  <si>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</si>
  <si>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</si>
  <si>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</si>
  <si>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</si>
  <si>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</si>
  <si>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</si>
  <si>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</si>
  <si>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</si>
  <si>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</si>
  <si>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</si>
  <si>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</si>
  <si>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</si>
  <si>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</si>
  <si>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</si>
  <si>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</si>
  <si>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</si>
  <si>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</si>
  <si>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</si>
  <si>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</si>
  <si>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</si>
  <si>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</si>
  <si>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</si>
  <si>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</si>
  <si>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</si>
  <si>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</si>
  <si>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</si>
  <si>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</si>
  <si>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</si>
  <si>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</si>
  <si>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</si>
  <si>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</si>
  <si>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</si>
  <si>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</si>
  <si>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</si>
  <si>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</si>
  <si>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</si>
  <si>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</si>
  <si>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</si>
  <si>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</si>
  <si>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</si>
  <si>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</si>
  <si>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</si>
  <si>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</si>
  <si>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</si>
  <si>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</si>
  <si>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</si>
  <si>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</si>
  <si>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</si>
  <si>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</si>
  <si>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</si>
  <si>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</si>
  <si>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</si>
  <si>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</si>
  <si>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</si>
  <si>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</si>
  <si>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</si>
  <si>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</si>
  <si>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</si>
  <si>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</si>
  <si>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</si>
  <si>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</si>
  <si>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</si>
  <si>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</si>
  <si>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</si>
  <si>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</si>
  <si>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</si>
  <si>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</si>
  <si>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</si>
  <si>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</si>
  <si>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</si>
  <si>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</si>
  <si>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</si>
  <si>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</si>
  <si>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</si>
  <si>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</si>
  <si>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</si>
  <si>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</si>
  <si>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</si>
  <si>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</si>
  <si>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</si>
  <si>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</si>
  <si>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</si>
  <si>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</si>
  <si>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</si>
  <si>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</si>
  <si>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</si>
  <si>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</si>
  <si>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</si>
  <si>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</si>
  <si>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</si>
  <si>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</si>
  <si>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</si>
  <si>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</si>
  <si>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</si>
  <si>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</si>
  <si>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</si>
  <si>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</si>
  <si>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</si>
  <si>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</si>
  <si>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</si>
  <si>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</si>
  <si>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</si>
  <si>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</si>
  <si>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</si>
  <si>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</si>
  <si>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</si>
  <si>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</si>
  <si>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</si>
  <si>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</si>
  <si>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</si>
  <si>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</si>
  <si>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</si>
  <si>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</si>
  <si>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</si>
  <si>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</si>
  <si>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</si>
  <si>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</si>
  <si>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</si>
  <si>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</si>
  <si>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</si>
  <si>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</si>
  <si>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</si>
  <si>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</si>
  <si>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</si>
  <si>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</si>
  <si>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</si>
  <si>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</si>
  <si>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</si>
  <si>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</si>
  <si>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</si>
  <si>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</si>
  <si>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</si>
  <si>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</si>
  <si>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</si>
  <si>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</si>
  <si>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</si>
  <si>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</si>
  <si>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</si>
  <si>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</si>
  <si>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</si>
  <si>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</si>
  <si>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</si>
  <si>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</si>
  <si>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</si>
  <si>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</si>
  <si>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</si>
  <si>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</si>
  <si>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</si>
  <si>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</si>
  <si>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</si>
  <si>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</si>
  <si>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</si>
  <si>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</si>
  <si>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</si>
  <si>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</si>
  <si>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</si>
  <si>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</si>
  <si>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</si>
  <si>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</si>
  <si>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</si>
  <si>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</si>
  <si>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</si>
  <si>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</si>
  <si>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</si>
  <si>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</si>
  <si>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</si>
  <si>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</si>
  <si>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</si>
  <si>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</si>
  <si>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</si>
  <si>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</si>
  <si>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</si>
  <si>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</si>
  <si>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</si>
  <si>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</si>
  <si>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</si>
  <si>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</si>
  <si>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</si>
  <si>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</si>
  <si>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</si>
  <si>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</si>
  <si>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</si>
  <si>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</si>
  <si>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</si>
  <si>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</si>
  <si>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</si>
  <si>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</si>
  <si>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</si>
  <si>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</si>
  <si>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</si>
  <si>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</si>
  <si>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</si>
  <si>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</si>
  <si>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</si>
  <si>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</si>
  <si>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</si>
  <si>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</si>
  <si>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</si>
  <si>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</si>
  <si>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</si>
  <si>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</si>
  <si>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</si>
  <si>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</si>
  <si>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</si>
  <si>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</si>
  <si>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</si>
  <si>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</si>
  <si>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</si>
  <si>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</si>
  <si>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</si>
  <si>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</si>
  <si>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</si>
  <si>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</si>
  <si>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</si>
  <si>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</si>
  <si>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</si>
  <si>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</si>
  <si>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</si>
  <si>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</si>
  <si>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</si>
  <si>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</si>
  <si>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</si>
  <si>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</si>
  <si>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</si>
  <si>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</si>
  <si>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</si>
  <si>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</si>
  <si>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</si>
  <si>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</si>
  <si>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</si>
  <si>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</si>
  <si>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</si>
  <si>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</si>
  <si>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</si>
  <si>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</si>
  <si>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</si>
  <si>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</si>
  <si>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</si>
  <si>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</si>
  <si>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</si>
  <si>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</si>
  <si>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</si>
  <si>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</si>
  <si>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</si>
  <si>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</si>
  <si>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</si>
  <si>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</si>
  <si>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</si>
  <si>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</si>
  <si>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</si>
  <si>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</si>
  <si>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</si>
  <si>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</si>
  <si>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</si>
  <si>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</si>
  <si>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</si>
  <si>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</si>
  <si>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</si>
  <si>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</si>
  <si>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</si>
  <si>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</si>
  <si>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</si>
  <si>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</si>
  <si>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</si>
  <si>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</si>
  <si>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</si>
  <si>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</si>
  <si>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</si>
  <si>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</si>
  <si>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</si>
  <si>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</si>
  <si>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</si>
  <si>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</si>
  <si>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</si>
  <si>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</si>
  <si>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</si>
  <si>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</si>
  <si>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</si>
  <si>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</si>
  <si>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</si>
  <si>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</si>
  <si>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</si>
  <si>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</si>
  <si>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</si>
  <si>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</si>
  <si>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</si>
  <si>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</si>
  <si>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</si>
  <si>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</si>
  <si>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</si>
  <si>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</si>
  <si>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</si>
  <si>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</si>
  <si>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</si>
  <si>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</si>
  <si>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</si>
  <si>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</si>
  <si>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</si>
  <si>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</si>
  <si>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</si>
  <si>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</si>
  <si>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</si>
  <si>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</si>
  <si>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</si>
  <si>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</si>
  <si>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</si>
  <si>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</si>
  <si>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</si>
  <si>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</si>
  <si>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</si>
  <si>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</si>
  <si>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</si>
  <si>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</si>
  <si>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</si>
  <si>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</si>
  <si>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</si>
  <si>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</si>
  <si>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</si>
  <si>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</si>
  <si>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</si>
  <si>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</si>
  <si>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</si>
  <si>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</si>
  <si>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</si>
  <si>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</si>
  <si>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</si>
  <si>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</si>
  <si>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</si>
  <si>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</si>
  <si>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</si>
  <si>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</si>
  <si>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</si>
  <si>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</si>
  <si>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</si>
  <si>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</si>
  <si>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</si>
  <si>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</si>
  <si>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</si>
  <si>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</si>
  <si>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</si>
  <si>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</si>
  <si>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</si>
  <si>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</si>
  <si>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</si>
  <si>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</si>
  <si>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</si>
  <si>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</si>
  <si>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</si>
  <si>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</si>
  <si>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</si>
  <si>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</si>
  <si>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</si>
  <si>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</si>
  <si>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</si>
  <si>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</si>
  <si>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</si>
  <si>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</si>
  <si>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</si>
  <si>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</si>
  <si>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</si>
  <si>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</si>
  <si>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</si>
  <si>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</si>
  <si>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</si>
  <si>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</si>
  <si>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</si>
  <si>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</si>
  <si>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</si>
  <si>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</si>
  <si>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</si>
  <si>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</si>
  <si>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</si>
  <si>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</si>
  <si>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</si>
  <si>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</si>
  <si>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</si>
  <si>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</si>
  <si>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</si>
  <si>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</si>
  <si>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</si>
  <si>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</si>
  <si>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</si>
  <si>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</si>
  <si>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</si>
  <si>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</si>
  <si>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</si>
  <si>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</si>
  <si>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</si>
  <si>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</si>
  <si>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</si>
  <si>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</si>
  <si>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</si>
  <si>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</si>
  <si>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</si>
  <si>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</si>
  <si>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</si>
  <si>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</si>
  <si>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</si>
  <si>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</si>
  <si>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</si>
  <si>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</si>
  <si>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</si>
  <si>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</si>
  <si>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</si>
  <si>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</si>
  <si>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</si>
  <si>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</si>
  <si>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</si>
  <si>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</si>
  <si>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</si>
  <si>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</si>
  <si>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</si>
  <si>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</si>
  <si>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</si>
  <si>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</si>
  <si>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</si>
  <si>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</si>
  <si>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</si>
  <si>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</si>
  <si>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</si>
  <si>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</si>
  <si>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</si>
  <si>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</si>
  <si>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</si>
  <si>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</si>
  <si>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</si>
  <si>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</si>
  <si>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</si>
  <si>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</si>
  <si>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</si>
  <si>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</si>
  <si>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</si>
  <si>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</si>
  <si>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</si>
  <si>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</si>
  <si>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</si>
  <si>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</si>
  <si>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</si>
  <si>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</si>
  <si>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</si>
  <si>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</si>
  <si>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</si>
  <si>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</si>
  <si>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</si>
  <si>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</si>
  <si>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</si>
  <si>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</si>
  <si>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</si>
  <si>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</si>
  <si>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</si>
  <si>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</si>
  <si>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</si>
  <si>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</si>
  <si>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</si>
  <si>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</si>
  <si>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</si>
  <si>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</si>
  <si>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</si>
  <si>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</si>
  <si>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</si>
  <si>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</si>
  <si>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</si>
  <si>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</si>
  <si>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</si>
  <si>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</si>
  <si>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</si>
  <si>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</si>
  <si>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</si>
  <si>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</si>
  <si>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</si>
  <si>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</si>
  <si>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</si>
  <si>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</si>
  <si>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</si>
  <si>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</si>
  <si>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</si>
  <si>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</si>
  <si>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</si>
  <si>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</si>
  <si>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</si>
  <si>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</si>
  <si>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</si>
  <si>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</si>
  <si>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</si>
  <si>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</si>
  <si>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</si>
  <si>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</si>
  <si>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</si>
  <si>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</si>
  <si>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</si>
  <si>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</si>
  <si>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</si>
  <si>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</si>
  <si>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</si>
  <si>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</si>
  <si>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</si>
  <si>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</si>
  <si>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</si>
  <si>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13049</t>
  </si>
  <si>
    <t>WESTERLO</t>
  </si>
  <si>
    <t>Mestbank (maart 2019)</t>
  </si>
  <si>
    <t>Fluvius (februari 2019)</t>
  </si>
  <si>
    <t>referentietaak LNE (2017); Jaarverslag De Lijn (2018)</t>
  </si>
  <si>
    <t>VEA (30 april 2019)</t>
  </si>
  <si>
    <t>VEA (mei 2018)</t>
  </si>
  <si>
    <t>VEA (mei 2019)</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</si>
  <si>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</si>
  <si>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</si>
  <si>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</si>
  <si>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</si>
  <si>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</si>
  <si>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</si>
  <si>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</si>
  <si>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</si>
  <si>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</si>
  <si>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</si>
  <si>
    <t>Broodboetiek</t>
  </si>
  <si>
    <t>WKK-0831</t>
  </si>
  <si>
    <t>Brandstofcel</t>
  </si>
  <si>
    <t>Mechelsestraat 22</t>
  </si>
  <si>
    <t>IVEKA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</si>
</sst>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219839.83576959211</c:v>
                </c:pt>
                <c:pt idx="1">
                  <c:v>85607.830344079295</c:v>
                </c:pt>
                <c:pt idx="2">
                  <c:v>2080.328</c:v>
                </c:pt>
                <c:pt idx="3">
                  <c:v>26265.029877699046</c:v>
                </c:pt>
                <c:pt idx="4">
                  <c:v>241849.95844292437</c:v>
                </c:pt>
                <c:pt idx="5">
                  <c:v>207112.38130780085</c:v>
                </c:pt>
                <c:pt idx="6">
                  <c:v>1797.3507346589604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219839.83576959211</c:v>
                </c:pt>
                <c:pt idx="1">
                  <c:v>85607.830344079295</c:v>
                </c:pt>
                <c:pt idx="2">
                  <c:v>2080.328</c:v>
                </c:pt>
                <c:pt idx="3">
                  <c:v>26265.029877699046</c:v>
                </c:pt>
                <c:pt idx="4">
                  <c:v>241849.95844292437</c:v>
                </c:pt>
                <c:pt idx="5">
                  <c:v>207112.38130780085</c:v>
                </c:pt>
                <c:pt idx="6">
                  <c:v>1797.3507346589604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38738.52613631438</c:v>
                </c:pt>
                <c:pt idx="1">
                  <c:v>16102.550274202975</c:v>
                </c:pt>
                <c:pt idx="2">
                  <c:v>399.97089275091639</c:v>
                </c:pt>
                <c:pt idx="3">
                  <c:v>6564.3343199892106</c:v>
                </c:pt>
                <c:pt idx="4">
                  <c:v>48325.526485740949</c:v>
                </c:pt>
                <c:pt idx="5">
                  <c:v>51521.340179084546</c:v>
                </c:pt>
                <c:pt idx="6">
                  <c:v>454.62456265986276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36288"/>
      </c:barChart>
      <c:catAx>
        <c:axId val="182181248"/>
        <c:scaling>
          <c:orientation val="minMax"/>
        </c:scaling>
        <c:axPos val="b"/>
        <c:numFmt formatCode="General" sourceLinked="0"/>
        <c:tickLblPos val="nextTo"/>
        <c:crossAx val="182236288"/>
        <c:crosses val="autoZero"/>
        <c:auto val="1"/>
        <c:lblAlgn val="ctr"/>
        <c:lblOffset val="100"/>
      </c:catAx>
      <c:valAx>
        <c:axId val="182236288"/>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38738.52613631438</c:v>
                </c:pt>
                <c:pt idx="1">
                  <c:v>16102.550274202975</c:v>
                </c:pt>
                <c:pt idx="2">
                  <c:v>399.97089275091639</c:v>
                </c:pt>
                <c:pt idx="3">
                  <c:v>6564.3343199892106</c:v>
                </c:pt>
                <c:pt idx="4">
                  <c:v>48325.526485740949</c:v>
                </c:pt>
                <c:pt idx="5">
                  <c:v>51521.340179084546</c:v>
                </c:pt>
                <c:pt idx="6">
                  <c:v>454.62456265986276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13049</v>
      </c>
      <c r="B6" s="415"/>
      <c r="C6" s="416"/>
    </row>
    <row r="7" spans="1:7" s="413" customFormat="1" ht="15.75" customHeight="1">
      <c r="A7" s="417" t="str">
        <f>txtMunicipality</f>
        <v>WESTERLO</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0.19226337998186652</v>
      </c>
      <c r="C17" s="527">
        <f ca="1">'EF ele_warmte'!B22</f>
        <v>0.23686697203097465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0.19226337998186652</v>
      </c>
      <c r="C29" s="528">
        <f ca="1">'EF ele_warmte'!B22</f>
        <v>0.23686697203097465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10258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2246.1799999999998</v>
      </c>
    </row>
    <row r="15" spans="1:6">
      <c r="A15" s="348" t="s">
        <v>183</v>
      </c>
      <c r="B15" s="334">
        <v>3818</v>
      </c>
    </row>
    <row r="16" spans="1:6">
      <c r="A16" s="348" t="s">
        <v>6</v>
      </c>
      <c r="B16" s="334">
        <v>1820</v>
      </c>
    </row>
    <row r="17" spans="1:6">
      <c r="A17" s="348" t="s">
        <v>7</v>
      </c>
      <c r="B17" s="334">
        <v>182</v>
      </c>
    </row>
    <row r="18" spans="1:6">
      <c r="A18" s="348" t="s">
        <v>8</v>
      </c>
      <c r="B18" s="334">
        <v>1087</v>
      </c>
    </row>
    <row r="19" spans="1:6">
      <c r="A19" s="348" t="s">
        <v>9</v>
      </c>
      <c r="B19" s="334">
        <v>1221</v>
      </c>
    </row>
    <row r="20" spans="1:6">
      <c r="A20" s="348" t="s">
        <v>10</v>
      </c>
      <c r="B20" s="334">
        <v>1075</v>
      </c>
    </row>
    <row r="21" spans="1:6">
      <c r="A21" s="348" t="s">
        <v>11</v>
      </c>
      <c r="B21" s="334">
        <v>1235</v>
      </c>
    </row>
    <row r="22" spans="1:6">
      <c r="A22" s="348" t="s">
        <v>12</v>
      </c>
      <c r="B22" s="334">
        <v>2812</v>
      </c>
    </row>
    <row r="23" spans="1:6">
      <c r="A23" s="348" t="s">
        <v>13</v>
      </c>
      <c r="B23" s="334">
        <v>0</v>
      </c>
    </row>
    <row r="24" spans="1:6">
      <c r="A24" s="348" t="s">
        <v>14</v>
      </c>
      <c r="B24" s="334">
        <v>0</v>
      </c>
    </row>
    <row r="25" spans="1:6">
      <c r="A25" s="348" t="s">
        <v>15</v>
      </c>
      <c r="B25" s="334">
        <v>246</v>
      </c>
    </row>
    <row r="26" spans="1:6">
      <c r="A26" s="348" t="s">
        <v>16</v>
      </c>
      <c r="B26" s="334">
        <v>119</v>
      </c>
    </row>
    <row r="27" spans="1:6">
      <c r="A27" s="348" t="s">
        <v>17</v>
      </c>
      <c r="B27" s="334">
        <v>4</v>
      </c>
    </row>
    <row r="28" spans="1:6" s="356" customFormat="1">
      <c r="A28" s="355" t="s">
        <v>18</v>
      </c>
      <c r="B28" s="355">
        <v>6058</v>
      </c>
    </row>
    <row r="29" spans="1:6">
      <c r="A29" s="355" t="s">
        <v>713</v>
      </c>
      <c r="B29" s="355">
        <v>252</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568528.53200000001</v>
      </c>
      <c r="E36" s="334">
        <v>3</v>
      </c>
      <c r="F36" s="334">
        <v>4636.9449999999997</v>
      </c>
    </row>
    <row r="37" spans="1:6">
      <c r="A37" s="348" t="s">
        <v>24</v>
      </c>
      <c r="B37" s="348" t="s">
        <v>27</v>
      </c>
      <c r="C37" s="334">
        <v>0</v>
      </c>
      <c r="D37" s="334">
        <v>0</v>
      </c>
      <c r="E37" s="334">
        <v>0</v>
      </c>
      <c r="F37" s="334">
        <v>0</v>
      </c>
    </row>
    <row r="38" spans="1:6">
      <c r="A38" s="348" t="s">
        <v>24</v>
      </c>
      <c r="B38" s="348" t="s">
        <v>28</v>
      </c>
      <c r="C38" s="334">
        <v>1</v>
      </c>
      <c r="D38" s="334">
        <v>11897.808999999999</v>
      </c>
      <c r="E38" s="334">
        <v>4</v>
      </c>
      <c r="F38" s="334">
        <v>50667.351000000002</v>
      </c>
    </row>
    <row r="39" spans="1:6">
      <c r="A39" s="348" t="s">
        <v>29</v>
      </c>
      <c r="B39" s="348" t="s">
        <v>30</v>
      </c>
      <c r="C39" s="334">
        <v>6700</v>
      </c>
      <c r="D39" s="334">
        <v>111356942.90000001</v>
      </c>
      <c r="E39" s="334">
        <v>10226</v>
      </c>
      <c r="F39" s="334">
        <v>32858478.010000002</v>
      </c>
    </row>
    <row r="40" spans="1:6">
      <c r="A40" s="348" t="s">
        <v>29</v>
      </c>
      <c r="B40" s="348" t="s">
        <v>28</v>
      </c>
      <c r="C40" s="334">
        <v>1</v>
      </c>
      <c r="D40" s="334">
        <v>18026.93</v>
      </c>
      <c r="E40" s="334">
        <v>1</v>
      </c>
      <c r="F40" s="334">
        <v>1342.453</v>
      </c>
    </row>
    <row r="41" spans="1:6">
      <c r="A41" s="348" t="s">
        <v>31</v>
      </c>
      <c r="B41" s="348" t="s">
        <v>32</v>
      </c>
      <c r="C41" s="334">
        <v>75</v>
      </c>
      <c r="D41" s="334">
        <v>1702715.0549999999</v>
      </c>
      <c r="E41" s="334">
        <v>164</v>
      </c>
      <c r="F41" s="334">
        <v>1455564.7069999999</v>
      </c>
    </row>
    <row r="42" spans="1:6">
      <c r="A42" s="348" t="s">
        <v>31</v>
      </c>
      <c r="B42" s="348" t="s">
        <v>33</v>
      </c>
      <c r="C42" s="334">
        <v>0</v>
      </c>
      <c r="D42" s="334">
        <v>0</v>
      </c>
      <c r="E42" s="334">
        <v>3</v>
      </c>
      <c r="F42" s="334">
        <v>9915109.1730000004</v>
      </c>
    </row>
    <row r="43" spans="1:6">
      <c r="A43" s="348" t="s">
        <v>31</v>
      </c>
      <c r="B43" s="348" t="s">
        <v>34</v>
      </c>
      <c r="C43" s="334">
        <v>0</v>
      </c>
      <c r="D43" s="334">
        <v>0</v>
      </c>
      <c r="E43" s="334">
        <v>0</v>
      </c>
      <c r="F43" s="334">
        <v>0</v>
      </c>
    </row>
    <row r="44" spans="1:6">
      <c r="A44" s="348" t="s">
        <v>31</v>
      </c>
      <c r="B44" s="348" t="s">
        <v>35</v>
      </c>
      <c r="C44" s="334">
        <v>3</v>
      </c>
      <c r="D44" s="334">
        <v>116503.25</v>
      </c>
      <c r="E44" s="334">
        <v>27</v>
      </c>
      <c r="F44" s="334">
        <v>655002.77099999995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7</v>
      </c>
      <c r="D47" s="334">
        <v>144744.56099999999</v>
      </c>
      <c r="E47" s="334">
        <v>7</v>
      </c>
      <c r="F47" s="334">
        <v>33961.81</v>
      </c>
    </row>
    <row r="48" spans="1:6">
      <c r="A48" s="348" t="s">
        <v>31</v>
      </c>
      <c r="B48" s="348" t="s">
        <v>28</v>
      </c>
      <c r="C48" s="334">
        <v>39</v>
      </c>
      <c r="D48" s="334">
        <v>64656298.119999997</v>
      </c>
      <c r="E48" s="334">
        <v>45</v>
      </c>
      <c r="F48" s="334">
        <v>130647421.90000001</v>
      </c>
    </row>
    <row r="49" spans="1:6">
      <c r="A49" s="348" t="s">
        <v>31</v>
      </c>
      <c r="B49" s="348" t="s">
        <v>39</v>
      </c>
      <c r="C49" s="334">
        <v>0</v>
      </c>
      <c r="D49" s="334">
        <v>0</v>
      </c>
      <c r="E49" s="334">
        <v>0</v>
      </c>
      <c r="F49" s="334">
        <v>0</v>
      </c>
    </row>
    <row r="50" spans="1:6">
      <c r="A50" s="348" t="s">
        <v>31</v>
      </c>
      <c r="B50" s="348" t="s">
        <v>40</v>
      </c>
      <c r="C50" s="334">
        <v>10</v>
      </c>
      <c r="D50" s="334">
        <v>524532.43299999996</v>
      </c>
      <c r="E50" s="334">
        <v>17</v>
      </c>
      <c r="F50" s="334">
        <v>962721.78899999999</v>
      </c>
    </row>
    <row r="51" spans="1:6">
      <c r="A51" s="348" t="s">
        <v>41</v>
      </c>
      <c r="B51" s="348" t="s">
        <v>42</v>
      </c>
      <c r="C51" s="334">
        <v>0</v>
      </c>
      <c r="D51" s="334">
        <v>0</v>
      </c>
      <c r="E51" s="334">
        <v>59</v>
      </c>
      <c r="F51" s="334">
        <v>1155909.8570000001</v>
      </c>
    </row>
    <row r="52" spans="1:6">
      <c r="A52" s="348" t="s">
        <v>41</v>
      </c>
      <c r="B52" s="348" t="s">
        <v>28</v>
      </c>
      <c r="C52" s="334">
        <v>10</v>
      </c>
      <c r="D52" s="334">
        <v>17081976.289999999</v>
      </c>
      <c r="E52" s="334">
        <v>12</v>
      </c>
      <c r="F52" s="334">
        <v>2639327.1579999998</v>
      </c>
    </row>
    <row r="53" spans="1:6">
      <c r="A53" s="348" t="s">
        <v>43</v>
      </c>
      <c r="B53" s="348" t="s">
        <v>44</v>
      </c>
      <c r="C53" s="334">
        <v>99</v>
      </c>
      <c r="D53" s="334">
        <v>1790885.7749999999</v>
      </c>
      <c r="E53" s="334">
        <v>283</v>
      </c>
      <c r="F53" s="334">
        <v>970461.86399999994</v>
      </c>
    </row>
    <row r="54" spans="1:6">
      <c r="A54" s="348" t="s">
        <v>45</v>
      </c>
      <c r="B54" s="348" t="s">
        <v>46</v>
      </c>
      <c r="C54" s="334">
        <v>0</v>
      </c>
      <c r="D54" s="334">
        <v>0</v>
      </c>
      <c r="E54" s="334">
        <v>1</v>
      </c>
      <c r="F54" s="334">
        <v>2080328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119</v>
      </c>
      <c r="D57" s="334">
        <v>11438932.41</v>
      </c>
      <c r="E57" s="334">
        <v>211</v>
      </c>
      <c r="F57" s="334">
        <v>8027125.4649999999</v>
      </c>
    </row>
    <row r="58" spans="1:6">
      <c r="A58" s="348" t="s">
        <v>48</v>
      </c>
      <c r="B58" s="348" t="s">
        <v>50</v>
      </c>
      <c r="C58" s="334">
        <v>48</v>
      </c>
      <c r="D58" s="334">
        <v>2181884.4649999999</v>
      </c>
      <c r="E58" s="334">
        <v>71</v>
      </c>
      <c r="F58" s="334">
        <v>826891.15099999995</v>
      </c>
    </row>
    <row r="59" spans="1:6">
      <c r="A59" s="348" t="s">
        <v>48</v>
      </c>
      <c r="B59" s="348" t="s">
        <v>51</v>
      </c>
      <c r="C59" s="334">
        <v>106</v>
      </c>
      <c r="D59" s="334">
        <v>6396595.148</v>
      </c>
      <c r="E59" s="334">
        <v>227</v>
      </c>
      <c r="F59" s="334">
        <v>13101943.699999999</v>
      </c>
    </row>
    <row r="60" spans="1:6">
      <c r="A60" s="348" t="s">
        <v>48</v>
      </c>
      <c r="B60" s="348" t="s">
        <v>52</v>
      </c>
      <c r="C60" s="334">
        <v>80</v>
      </c>
      <c r="D60" s="334">
        <v>3406373.4330000002</v>
      </c>
      <c r="E60" s="334">
        <v>113</v>
      </c>
      <c r="F60" s="334">
        <v>2891702.233</v>
      </c>
    </row>
    <row r="61" spans="1:6">
      <c r="A61" s="348" t="s">
        <v>48</v>
      </c>
      <c r="B61" s="348" t="s">
        <v>53</v>
      </c>
      <c r="C61" s="334">
        <v>162</v>
      </c>
      <c r="D61" s="334">
        <v>6041112.8619999997</v>
      </c>
      <c r="E61" s="334">
        <v>328</v>
      </c>
      <c r="F61" s="334">
        <v>8600337.4780000001</v>
      </c>
    </row>
    <row r="62" spans="1:6">
      <c r="A62" s="348" t="s">
        <v>48</v>
      </c>
      <c r="B62" s="348" t="s">
        <v>54</v>
      </c>
      <c r="C62" s="334">
        <v>15</v>
      </c>
      <c r="D62" s="334">
        <v>4036194.4449999998</v>
      </c>
      <c r="E62" s="334">
        <v>17</v>
      </c>
      <c r="F62" s="334">
        <v>885666.05700000003</v>
      </c>
    </row>
    <row r="63" spans="1:6">
      <c r="A63" s="348" t="s">
        <v>48</v>
      </c>
      <c r="B63" s="348" t="s">
        <v>28</v>
      </c>
      <c r="C63" s="334">
        <v>96</v>
      </c>
      <c r="D63" s="334">
        <v>8269232.7110000001</v>
      </c>
      <c r="E63" s="334">
        <v>97</v>
      </c>
      <c r="F63" s="334">
        <v>3028672.6579999998</v>
      </c>
    </row>
    <row r="64" spans="1:6">
      <c r="A64" s="348" t="s">
        <v>55</v>
      </c>
      <c r="B64" s="348" t="s">
        <v>56</v>
      </c>
      <c r="C64" s="334">
        <v>0</v>
      </c>
      <c r="D64" s="334">
        <v>0</v>
      </c>
      <c r="E64" s="334">
        <v>0</v>
      </c>
      <c r="F64" s="334">
        <v>0</v>
      </c>
    </row>
    <row r="65" spans="1:6">
      <c r="A65" s="348" t="s">
        <v>55</v>
      </c>
      <c r="B65" s="348" t="s">
        <v>28</v>
      </c>
      <c r="C65" s="334">
        <v>1</v>
      </c>
      <c r="D65" s="334">
        <v>19513.409</v>
      </c>
      <c r="E65" s="334">
        <v>4</v>
      </c>
      <c r="F65" s="334">
        <v>21513.313999999998</v>
      </c>
    </row>
    <row r="66" spans="1:6">
      <c r="A66" s="348" t="s">
        <v>55</v>
      </c>
      <c r="B66" s="348" t="s">
        <v>57</v>
      </c>
      <c r="C66" s="334">
        <v>0</v>
      </c>
      <c r="D66" s="334">
        <v>0</v>
      </c>
      <c r="E66" s="334">
        <v>12</v>
      </c>
      <c r="F66" s="334">
        <v>456312.11</v>
      </c>
    </row>
    <row r="67" spans="1:6">
      <c r="A67" s="355" t="s">
        <v>55</v>
      </c>
      <c r="B67" s="355" t="s">
        <v>58</v>
      </c>
      <c r="C67" s="334">
        <v>0</v>
      </c>
      <c r="D67" s="334">
        <v>0</v>
      </c>
      <c r="E67" s="334">
        <v>0</v>
      </c>
      <c r="F67" s="334">
        <v>0</v>
      </c>
    </row>
    <row r="68" spans="1:6">
      <c r="A68" s="341" t="s">
        <v>55</v>
      </c>
      <c r="B68" s="341" t="s">
        <v>59</v>
      </c>
      <c r="C68" s="334">
        <v>5</v>
      </c>
      <c r="D68" s="334">
        <v>984950.23600000003</v>
      </c>
      <c r="E68" s="334">
        <v>16</v>
      </c>
      <c r="F68" s="334">
        <v>392599.55200000003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117083935</v>
      </c>
      <c r="E73" s="476"/>
    </row>
    <row r="74" spans="1:6">
      <c r="A74" s="348" t="s">
        <v>63</v>
      </c>
      <c r="B74" s="348" t="s">
        <v>651</v>
      </c>
      <c r="C74" s="1307" t="s">
        <v>653</v>
      </c>
      <c r="D74" s="476">
        <v>7113060.5</v>
      </c>
      <c r="E74" s="476"/>
    </row>
    <row r="75" spans="1:6">
      <c r="A75" s="348" t="s">
        <v>64</v>
      </c>
      <c r="B75" s="348" t="s">
        <v>650</v>
      </c>
      <c r="C75" s="1307" t="s">
        <v>654</v>
      </c>
      <c r="D75" s="476">
        <v>21642311</v>
      </c>
      <c r="E75" s="476"/>
    </row>
    <row r="76" spans="1:6">
      <c r="A76" s="348" t="s">
        <v>64</v>
      </c>
      <c r="B76" s="348" t="s">
        <v>651</v>
      </c>
      <c r="C76" s="1307" t="s">
        <v>655</v>
      </c>
      <c r="D76" s="476">
        <v>321812.5</v>
      </c>
      <c r="E76" s="476"/>
    </row>
    <row r="77" spans="1:6">
      <c r="A77" s="348" t="s">
        <v>65</v>
      </c>
      <c r="B77" s="348" t="s">
        <v>650</v>
      </c>
      <c r="C77" s="1307" t="s">
        <v>656</v>
      </c>
      <c r="D77" s="476">
        <v>91436361</v>
      </c>
      <c r="E77" s="476"/>
    </row>
    <row r="78" spans="1:6">
      <c r="A78" s="341" t="s">
        <v>65</v>
      </c>
      <c r="B78" s="341" t="s">
        <v>651</v>
      </c>
      <c r="C78" s="341" t="s">
        <v>657</v>
      </c>
      <c r="D78" s="1308">
        <v>14133488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499327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20005.280176879856</v>
      </c>
    </row>
    <row r="91" spans="1:6">
      <c r="A91" s="348" t="s">
        <v>67</v>
      </c>
      <c r="B91" s="334">
        <v>7732.5617611651742</v>
      </c>
    </row>
    <row r="92" spans="1:6">
      <c r="A92" s="341" t="s">
        <v>68</v>
      </c>
      <c r="B92" s="342">
        <v>7651.8489285113756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3611</v>
      </c>
    </row>
    <row r="98" spans="1:6">
      <c r="A98" s="348" t="s">
        <v>71</v>
      </c>
      <c r="B98" s="334">
        <v>8</v>
      </c>
    </row>
    <row r="99" spans="1:6">
      <c r="A99" s="348" t="s">
        <v>72</v>
      </c>
      <c r="B99" s="334">
        <v>95</v>
      </c>
    </row>
    <row r="100" spans="1:6">
      <c r="A100" s="348" t="s">
        <v>73</v>
      </c>
      <c r="B100" s="334">
        <v>255</v>
      </c>
    </row>
    <row r="101" spans="1:6">
      <c r="A101" s="348" t="s">
        <v>74</v>
      </c>
      <c r="B101" s="334">
        <v>106</v>
      </c>
    </row>
    <row r="102" spans="1:6">
      <c r="A102" s="348" t="s">
        <v>75</v>
      </c>
      <c r="B102" s="334">
        <v>81</v>
      </c>
    </row>
    <row r="103" spans="1:6">
      <c r="A103" s="348" t="s">
        <v>76</v>
      </c>
      <c r="B103" s="334">
        <v>196</v>
      </c>
    </row>
    <row r="104" spans="1:6">
      <c r="A104" s="348" t="s">
        <v>77</v>
      </c>
      <c r="B104" s="334">
        <v>3988</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3</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164</v>
      </c>
      <c r="C123" s="334">
        <v>34</v>
      </c>
    </row>
    <row r="124" spans="1:6">
      <c r="A124" s="341" t="s">
        <v>88</v>
      </c>
      <c r="B124" s="334">
        <v>4</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198</v>
      </c>
    </row>
    <row r="130" spans="1:6">
      <c r="A130" s="348" t="s">
        <v>294</v>
      </c>
      <c r="B130" s="334">
        <v>5</v>
      </c>
    </row>
    <row r="131" spans="1:6">
      <c r="A131" s="348" t="s">
        <v>295</v>
      </c>
      <c r="B131" s="334">
        <v>0</v>
      </c>
    </row>
    <row r="132" spans="1:6">
      <c r="A132" s="341" t="s">
        <v>296</v>
      </c>
      <c r="B132" s="342">
        <v>55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228618.18774424438</v>
      </c>
      <c r="C3" s="43" t="s">
        <v>169</v>
      </c>
      <c r="D3" s="43"/>
      <c r="E3" s="154"/>
      <c r="F3" s="43"/>
      <c r="G3" s="43"/>
      <c r="H3" s="43"/>
      <c r="I3" s="43"/>
      <c r="J3" s="43"/>
      <c r="K3" s="96"/>
    </row>
    <row r="4" spans="1:11">
      <c r="A4" s="383" t="s">
        <v>170</v>
      </c>
      <c r="B4" s="49">
        <f>IF(ISERROR('SEAP template'!B78),0,'SEAP template'!B78)</f>
        <v>35389.690866556404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1251.4076910683109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0.19226337998186652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1787.7460026253837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7547.468468468468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0.23686697203097465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2080.328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2080.328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0.19226337998186652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399.97089275091639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32859.820463000004</v>
      </c>
      <c r="C5" s="17">
        <f>IF(ISERROR('Eigen informatie GS &amp; warmtenet'!B59),0,'Eigen informatie GS &amp; warmtenet'!B59)</f>
        <v>0</v>
      </c>
      <c r="D5" s="30">
        <f>(SUM(HH_hh_gas_kWh,HH_rest_gas_kWh)/1000)*0.902</f>
        <v>100460.22278666002</v>
      </c>
      <c r="E5" s="17">
        <f>B46*B57</f>
        <v>17359.074488541319</v>
      </c>
      <c r="F5" s="17">
        <f>B51*B62</f>
        <v>25095.964856091174</v>
      </c>
      <c r="G5" s="18"/>
      <c r="H5" s="17"/>
      <c r="I5" s="17"/>
      <c r="J5" s="17">
        <f>B50*B61+C50*C61</f>
        <v>0</v>
      </c>
      <c r="K5" s="17"/>
      <c r="L5" s="17"/>
      <c r="M5" s="17"/>
      <c r="N5" s="17">
        <f>B48*B59+C48*C59</f>
        <v>33518.872265184109</v>
      </c>
      <c r="O5" s="17">
        <f>B69*B70*B71</f>
        <v>464.24622333656549</v>
      </c>
      <c r="P5" s="17">
        <f>B77*B78*B79/1000-B77*B78*B79/1000/B80</f>
        <v>2349.0729256137602</v>
      </c>
    </row>
    <row r="6" spans="1:16">
      <c r="A6" s="16" t="s">
        <v>615</v>
      </c>
      <c r="B6" s="809">
        <f>kWh_PV_kleiner_dan_10kW</f>
        <v>7732.5617611651742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40592.38222416518</v>
      </c>
      <c r="C8" s="21">
        <f>C5</f>
        <v>0</v>
      </c>
      <c r="D8" s="21">
        <f>D5</f>
        <v>100460.22278666002</v>
      </c>
      <c r="E8" s="21">
        <f>E5</f>
        <v>17359.074488541319</v>
      </c>
      <c r="F8" s="21">
        <f>F5</f>
        <v>25095.964856091174</v>
      </c>
      <c r="G8" s="21"/>
      <c r="H8" s="21"/>
      <c r="I8" s="21"/>
      <c r="J8" s="21">
        <f>J5</f>
        <v>0</v>
      </c>
      <c r="K8" s="21"/>
      <c r="L8" s="21">
        <f>L5</f>
        <v>0</v>
      </c>
      <c r="M8" s="21">
        <f>M5</f>
        <v>0</v>
      </c>
      <c r="N8" s="21">
        <f>N5</f>
        <v>33518.872265184109</v>
      </c>
      <c r="O8" s="21">
        <f>O5</f>
        <v>464.24622333656549</v>
      </c>
      <c r="P8" s="21">
        <f>P5</f>
        <v>2349.0729256137602</v>
      </c>
    </row>
    <row r="9" spans="1:16">
      <c r="B9" s="19"/>
      <c r="C9" s="19"/>
      <c r="D9" s="258"/>
      <c r="E9" s="19"/>
      <c r="F9" s="19"/>
      <c r="G9" s="19"/>
      <c r="H9" s="19"/>
      <c r="I9" s="19"/>
      <c r="J9" s="19"/>
      <c r="K9" s="19"/>
      <c r="L9" s="19"/>
      <c r="M9" s="19"/>
      <c r="N9" s="19"/>
      <c r="O9" s="19"/>
      <c r="P9" s="19"/>
    </row>
    <row r="10" spans="1:16">
      <c r="A10" s="24" t="s">
        <v>213</v>
      </c>
      <c r="B10" s="25">
        <f ca="1">'EF ele_warmte'!B12</f>
        <v>0.19226337998186652</v>
      </c>
      <c r="C10" s="25">
        <f ca="1">'EF ele_warmte'!B22</f>
        <v>0.23686697203097465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7804.4286079338335</v>
      </c>
      <c r="C12" s="23">
        <f ca="1">C10*C8</f>
        <v>0</v>
      </c>
      <c r="D12" s="23">
        <f>D8*D10</f>
        <v>20292.965002905323</v>
      </c>
      <c r="E12" s="23">
        <f>E10*E8</f>
        <v>3940.5099088988795</v>
      </c>
      <c r="F12" s="23">
        <f>F10*F8</f>
        <v>6700.6226165763437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3611</v>
      </c>
      <c r="C18" s="166" t="s">
        <v>110</v>
      </c>
      <c r="D18" s="228"/>
      <c r="E18" s="15"/>
    </row>
    <row r="19" spans="1:7">
      <c r="A19" s="171" t="s">
        <v>71</v>
      </c>
      <c r="B19" s="37">
        <f>aantalw2001_ander</f>
        <v>8</v>
      </c>
      <c r="C19" s="166" t="s">
        <v>110</v>
      </c>
      <c r="D19" s="229"/>
      <c r="E19" s="15"/>
    </row>
    <row r="20" spans="1:7">
      <c r="A20" s="171" t="s">
        <v>72</v>
      </c>
      <c r="B20" s="37">
        <f>aantalw2001_propaan</f>
        <v>95</v>
      </c>
      <c r="C20" s="167">
        <f>IF(ISERROR(B20/SUM($B$20,$B$21,$B$22)*100),0,B20/SUM($B$20,$B$21,$B$22)*100)</f>
        <v>20.833333333333336</v>
      </c>
      <c r="D20" s="229"/>
      <c r="E20" s="15"/>
    </row>
    <row r="21" spans="1:7">
      <c r="A21" s="171" t="s">
        <v>73</v>
      </c>
      <c r="B21" s="37">
        <f>aantalw2001_elektriciteit</f>
        <v>255</v>
      </c>
      <c r="C21" s="167">
        <f>IF(ISERROR(B21/SUM($B$20,$B$21,$B$22)*100),0,B21/SUM($B$20,$B$21,$B$22)*100)</f>
        <v>55.921052631578952</v>
      </c>
      <c r="D21" s="229"/>
      <c r="E21" s="15"/>
    </row>
    <row r="22" spans="1:7">
      <c r="A22" s="171" t="s">
        <v>74</v>
      </c>
      <c r="B22" s="37">
        <f>aantalw2001_hout</f>
        <v>106</v>
      </c>
      <c r="C22" s="167">
        <f>IF(ISERROR(B22/SUM($B$20,$B$21,$B$22)*100),0,B22/SUM($B$20,$B$21,$B$22)*100)</f>
        <v>23.245614035087719</v>
      </c>
      <c r="D22" s="229"/>
      <c r="E22" s="15"/>
    </row>
    <row r="23" spans="1:7">
      <c r="A23" s="171" t="s">
        <v>75</v>
      </c>
      <c r="B23" s="37">
        <f>aantalw2001_niet_gespec</f>
        <v>81</v>
      </c>
      <c r="C23" s="166" t="s">
        <v>110</v>
      </c>
      <c r="D23" s="228"/>
      <c r="E23" s="15"/>
    </row>
    <row r="24" spans="1:7">
      <c r="A24" s="171" t="s">
        <v>76</v>
      </c>
      <c r="B24" s="37">
        <f>aantalw2001_steenkool</f>
        <v>196</v>
      </c>
      <c r="C24" s="166" t="s">
        <v>110</v>
      </c>
      <c r="D24" s="229"/>
      <c r="E24" s="15"/>
    </row>
    <row r="25" spans="1:7">
      <c r="A25" s="171" t="s">
        <v>77</v>
      </c>
      <c r="B25" s="37">
        <f>aantalw2001_stookolie</f>
        <v>3988</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10258</v>
      </c>
      <c r="C28" s="36"/>
      <c r="D28" s="228"/>
    </row>
    <row r="29" spans="1:7" s="15" customFormat="1">
      <c r="A29" s="230" t="s">
        <v>838</v>
      </c>
      <c r="B29" s="37">
        <f>SUM(HH_hh_gas_aantal,HH_rest_gas_aantal)</f>
        <v>6701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6701</v>
      </c>
      <c r="C32" s="167">
        <f>IF(ISERROR(B32/SUM($B$32,$B$34,$B$35,$B$36,$B$38,$B$39)*100),0,B32/SUM($B$32,$B$34,$B$35,$B$36,$B$38,$B$39)*100)</f>
        <v>66.77628300946688</v>
      </c>
      <c r="D32" s="233"/>
      <c r="G32" s="15"/>
    </row>
    <row r="33" spans="1:7">
      <c r="A33" s="171" t="s">
        <v>71</v>
      </c>
      <c r="B33" s="34" t="s">
        <v>110</v>
      </c>
      <c r="C33" s="167"/>
      <c r="D33" s="233"/>
      <c r="G33" s="15"/>
    </row>
    <row r="34" spans="1:7">
      <c r="A34" s="171" t="s">
        <v>72</v>
      </c>
      <c r="B34" s="33">
        <f>IF((($B$28-$B$32-$B$39-$B$77-$B$38)*C20/100)&lt;0,0,($B$28-$B$32-$B$39-$B$77-$B$38)*C20/100)</f>
        <v>443.12500000000006</v>
      </c>
      <c r="C34" s="167">
        <f>IF(ISERROR(B34/SUM($B$32,$B$34,$B$35,$B$36,$B$38,$B$39)*100),0,B34/SUM($B$32,$B$34,$B$35,$B$36,$B$38,$B$39)*100)</f>
        <v>4.4157947184853024</v>
      </c>
      <c r="D34" s="233"/>
      <c r="G34" s="15"/>
    </row>
    <row r="35" spans="1:7">
      <c r="A35" s="171" t="s">
        <v>73</v>
      </c>
      <c r="B35" s="33">
        <f>IF((($B$28-$B$32-$B$39-$B$77-$B$38)*C21/100)&lt;0,0,($B$28-$B$32-$B$39-$B$77-$B$38)*C21/100)</f>
        <v>1189.4407894736842</v>
      </c>
      <c r="C35" s="167">
        <f>IF(ISERROR(B35/SUM($B$32,$B$34,$B$35,$B$36,$B$38,$B$39)*100),0,B35/SUM($B$32,$B$34,$B$35,$B$36,$B$38,$B$39)*100)</f>
        <v>11.852922665407917</v>
      </c>
      <c r="D35" s="233"/>
      <c r="G35" s="15"/>
    </row>
    <row r="36" spans="1:7">
      <c r="A36" s="171" t="s">
        <v>74</v>
      </c>
      <c r="B36" s="33">
        <f>IF((($B$28-$B$32-$B$39-$B$77-$B$38)*C22/100)&lt;0,0,($B$28-$B$32-$B$39-$B$77-$B$38)*C22/100)</f>
        <v>494.43421052631578</v>
      </c>
      <c r="C36" s="167">
        <f>IF(ISERROR(B36/SUM($B$32,$B$34,$B$35,$B$36,$B$38,$B$39)*100),0,B36/SUM($B$32,$B$34,$B$35,$B$36,$B$38,$B$39)*100)</f>
        <v>4.9270972648362319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1207</v>
      </c>
      <c r="C39" s="167">
        <f>IF(ISERROR(B39/SUM($B$32,$B$34,$B$35,$B$36,$B$38,$B$39)*100),0,B39/SUM($B$32,$B$34,$B$35,$B$36,$B$38,$B$39)*100)</f>
        <v>12.02790234180369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6701</v>
      </c>
      <c r="C44" s="34" t="s">
        <v>110</v>
      </c>
      <c r="D44" s="174"/>
    </row>
    <row r="45" spans="1:7">
      <c r="A45" s="171" t="s">
        <v>71</v>
      </c>
      <c r="B45" s="33" t="str">
        <f t="shared" si="0"/>
        <v>-</v>
      </c>
      <c r="C45" s="34" t="s">
        <v>110</v>
      </c>
      <c r="D45" s="174"/>
    </row>
    <row r="46" spans="1:7">
      <c r="A46" s="171" t="s">
        <v>72</v>
      </c>
      <c r="B46" s="33">
        <f t="shared" si="0"/>
        <v>443.12500000000006</v>
      </c>
      <c r="C46" s="34" t="s">
        <v>110</v>
      </c>
      <c r="D46" s="174"/>
    </row>
    <row r="47" spans="1:7">
      <c r="A47" s="171" t="s">
        <v>73</v>
      </c>
      <c r="B47" s="33">
        <f t="shared" si="0"/>
        <v>1189.4407894736842</v>
      </c>
      <c r="C47" s="34" t="s">
        <v>110</v>
      </c>
      <c r="D47" s="174"/>
    </row>
    <row r="48" spans="1:7">
      <c r="A48" s="171" t="s">
        <v>74</v>
      </c>
      <c r="B48" s="33">
        <f t="shared" si="0"/>
        <v>494.43421052631578</v>
      </c>
      <c r="C48" s="33">
        <f>B48*10</f>
        <v>4944.3421052631575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1207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37362.338742000007</v>
      </c>
      <c r="C5" s="17">
        <f>IF(ISERROR('Eigen informatie GS &amp; warmtenet'!B60),0,'Eigen informatie GS &amp; warmtenet'!B60)</f>
        <v>0</v>
      </c>
      <c r="D5" s="30">
        <f>SUM(D6:D12)</f>
        <v>37676.833577548001</v>
      </c>
      <c r="E5" s="17">
        <f>SUM(E6:E12)</f>
        <v>527.47957033947421</v>
      </c>
      <c r="F5" s="17">
        <f>SUM(F6:F12)</f>
        <v>4418.2667435389403</v>
      </c>
      <c r="G5" s="18"/>
      <c r="H5" s="17"/>
      <c r="I5" s="17"/>
      <c r="J5" s="17">
        <f>SUM(J6:J12)</f>
        <v>0.14207321128071793</v>
      </c>
      <c r="K5" s="17"/>
      <c r="L5" s="17"/>
      <c r="M5" s="17"/>
      <c r="N5" s="17">
        <f>SUM(N6:N12)</f>
        <v>5558.4635137925716</v>
      </c>
      <c r="O5" s="17">
        <f>B38*B39*B40</f>
        <v>24.486303829205774</v>
      </c>
      <c r="P5" s="17">
        <f>B46*B47*B48/1000-B46*B47*B48/1000/B49</f>
        <v>0</v>
      </c>
      <c r="R5" s="32"/>
    </row>
    <row r="6" spans="1:18">
      <c r="A6" s="32" t="s">
        <v>53</v>
      </c>
      <c r="B6" s="37">
        <f>B26</f>
        <v>8600.3374779999995</v>
      </c>
      <c r="C6" s="33"/>
      <c r="D6" s="37">
        <f>IF(ISERROR(TER_kantoor_gas_kWh/1000),0,TER_kantoor_gas_kWh/1000)*0.902</f>
        <v>5449.0838015239997</v>
      </c>
      <c r="E6" s="33">
        <f>$C$26*'E Balans VL '!I12/100/3.6*1000000</f>
        <v>69.204158200029241</v>
      </c>
      <c r="F6" s="33">
        <f>$C$26*('E Balans VL '!L12+'E Balans VL '!N12)/100/3.6*1000000</f>
        <v>1051.4817293392271</v>
      </c>
      <c r="G6" s="34"/>
      <c r="H6" s="33"/>
      <c r="I6" s="33"/>
      <c r="J6" s="33">
        <f>$C$26*('E Balans VL '!D12+'E Balans VL '!E12)/100/3.6*1000000</f>
        <v>0</v>
      </c>
      <c r="K6" s="33"/>
      <c r="L6" s="33"/>
      <c r="M6" s="33"/>
      <c r="N6" s="33">
        <f>$C$26*'E Balans VL '!Y12/100/3.6*1000000</f>
        <v>4.6222578736437665</v>
      </c>
      <c r="O6" s="33"/>
      <c r="P6" s="33"/>
      <c r="R6" s="32"/>
    </row>
    <row r="7" spans="1:18">
      <c r="A7" s="32" t="s">
        <v>52</v>
      </c>
      <c r="B7" s="37">
        <f t="shared" ref="B7:B12" si="0">B27</f>
        <v>2891.702233</v>
      </c>
      <c r="C7" s="33"/>
      <c r="D7" s="37">
        <f>IF(ISERROR(TER_horeca_gas_kWh/1000),0,TER_horeca_gas_kWh/1000)*0.902</f>
        <v>3072.5488365660003</v>
      </c>
      <c r="E7" s="33">
        <f>$C$27*'E Balans VL '!I9/100/3.6*1000000</f>
        <v>31.049781203152691</v>
      </c>
      <c r="F7" s="33">
        <f>$C$27*('E Balans VL '!L9+'E Balans VL '!N9)/100/3.6*1000000</f>
        <v>347.80165863105628</v>
      </c>
      <c r="G7" s="34"/>
      <c r="H7" s="33"/>
      <c r="I7" s="33"/>
      <c r="J7" s="33">
        <f>$C$27*('E Balans VL '!D9+'E Balans VL '!E9)/100/3.6*1000000</f>
        <v>0</v>
      </c>
      <c r="K7" s="33"/>
      <c r="L7" s="33"/>
      <c r="M7" s="33"/>
      <c r="N7" s="33">
        <f>$C$27*'E Balans VL '!Y9/100/3.6*1000000</f>
        <v>0.43352477272666001</v>
      </c>
      <c r="O7" s="33"/>
      <c r="P7" s="33"/>
      <c r="R7" s="32"/>
    </row>
    <row r="8" spans="1:18">
      <c r="A8" s="6" t="s">
        <v>51</v>
      </c>
      <c r="B8" s="37">
        <f t="shared" si="0"/>
        <v>13101.9437</v>
      </c>
      <c r="C8" s="33"/>
      <c r="D8" s="37">
        <f>IF(ISERROR(TER_handel_gas_kWh/1000),0,TER_handel_gas_kWh/1000)*0.902</f>
        <v>5769.7288234960006</v>
      </c>
      <c r="E8" s="33">
        <f>$C$28*'E Balans VL '!I13/100/3.6*1000000</f>
        <v>351.61605769647304</v>
      </c>
      <c r="F8" s="33">
        <f>$C$28*('E Balans VL '!L13+'E Balans VL '!N13)/100/3.6*1000000</f>
        <v>1250.3292412970352</v>
      </c>
      <c r="G8" s="34"/>
      <c r="H8" s="33"/>
      <c r="I8" s="33"/>
      <c r="J8" s="33">
        <f>$C$28*('E Balans VL '!D13+'E Balans VL '!E13)/100/3.6*1000000</f>
        <v>0</v>
      </c>
      <c r="K8" s="33"/>
      <c r="L8" s="33"/>
      <c r="M8" s="33"/>
      <c r="N8" s="33">
        <f>$C$28*'E Balans VL '!Y13/100/3.6*1000000</f>
        <v>5.1937594568304153</v>
      </c>
      <c r="O8" s="33"/>
      <c r="P8" s="33"/>
      <c r="R8" s="32"/>
    </row>
    <row r="9" spans="1:18">
      <c r="A9" s="32" t="s">
        <v>50</v>
      </c>
      <c r="B9" s="37">
        <f t="shared" si="0"/>
        <v>826.89115099999992</v>
      </c>
      <c r="C9" s="33"/>
      <c r="D9" s="37">
        <f>IF(ISERROR(TER_gezond_gas_kWh/1000),0,TER_gezond_gas_kWh/1000)*0.902</f>
        <v>1968.0597874299997</v>
      </c>
      <c r="E9" s="33">
        <f>$C$29*'E Balans VL '!I10/100/3.6*1000000</f>
        <v>1.5498632644245123</v>
      </c>
      <c r="F9" s="33">
        <f>$C$29*('E Balans VL '!L10+'E Balans VL '!N10)/100/3.6*1000000</f>
        <v>67.977997412600985</v>
      </c>
      <c r="G9" s="34"/>
      <c r="H9" s="33"/>
      <c r="I9" s="33"/>
      <c r="J9" s="33">
        <f>$C$29*('E Balans VL '!D10+'E Balans VL '!E10)/100/3.6*1000000</f>
        <v>0</v>
      </c>
      <c r="K9" s="33"/>
      <c r="L9" s="33"/>
      <c r="M9" s="33"/>
      <c r="N9" s="33">
        <f>$C$29*'E Balans VL '!Y10/100/3.6*1000000</f>
        <v>6.4338301042262325</v>
      </c>
      <c r="O9" s="33"/>
      <c r="P9" s="33"/>
      <c r="R9" s="32"/>
    </row>
    <row r="10" spans="1:18">
      <c r="A10" s="32" t="s">
        <v>49</v>
      </c>
      <c r="B10" s="37">
        <f t="shared" si="0"/>
        <v>8027.1254650000001</v>
      </c>
      <c r="C10" s="33"/>
      <c r="D10" s="37">
        <f>IF(ISERROR(TER_ander_gas_kWh/1000),0,TER_ander_gas_kWh/1000)*0.902</f>
        <v>10317.91703382</v>
      </c>
      <c r="E10" s="33">
        <f>$C$30*'E Balans VL '!I14/100/3.6*1000000</f>
        <v>12.373895241903066</v>
      </c>
      <c r="F10" s="33">
        <f>$C$30*('E Balans VL '!L14+'E Balans VL '!N14)/100/3.6*1000000</f>
        <v>1246.2134444510682</v>
      </c>
      <c r="G10" s="34"/>
      <c r="H10" s="33"/>
      <c r="I10" s="33"/>
      <c r="J10" s="33">
        <f>$C$30*('E Balans VL '!D14+'E Balans VL '!E14)/100/3.6*1000000</f>
        <v>0.13626892037396174</v>
      </c>
      <c r="K10" s="33"/>
      <c r="L10" s="33"/>
      <c r="M10" s="33"/>
      <c r="N10" s="33">
        <f>$C$30*'E Balans VL '!Y14/100/3.6*1000000</f>
        <v>5310.4889402039908</v>
      </c>
      <c r="O10" s="33"/>
      <c r="P10" s="33"/>
      <c r="R10" s="32"/>
    </row>
    <row r="11" spans="1:18">
      <c r="A11" s="32" t="s">
        <v>54</v>
      </c>
      <c r="B11" s="37">
        <f t="shared" si="0"/>
        <v>885.66605700000002</v>
      </c>
      <c r="C11" s="33"/>
      <c r="D11" s="37">
        <f>IF(ISERROR(TER_onderwijs_gas_kWh/1000),0,TER_onderwijs_gas_kWh/1000)*0.902</f>
        <v>3640.6473893899997</v>
      </c>
      <c r="E11" s="33">
        <f>$C$31*'E Balans VL '!I11/100/3.6*1000000</f>
        <v>22.590533602650414</v>
      </c>
      <c r="F11" s="33">
        <f>$C$31*('E Balans VL '!L11+'E Balans VL '!N11)/100/3.6*1000000</f>
        <v>106.50967956063235</v>
      </c>
      <c r="G11" s="34"/>
      <c r="H11" s="33"/>
      <c r="I11" s="33"/>
      <c r="J11" s="33">
        <f>$C$31*('E Balans VL '!D11+'E Balans VL '!E11)/100/3.6*1000000</f>
        <v>0</v>
      </c>
      <c r="K11" s="33"/>
      <c r="L11" s="33"/>
      <c r="M11" s="33"/>
      <c r="N11" s="33">
        <f>$C$31*'E Balans VL '!Y11/100/3.6*1000000</f>
        <v>1.9696997003299994</v>
      </c>
      <c r="O11" s="33"/>
      <c r="P11" s="33"/>
      <c r="R11" s="32"/>
    </row>
    <row r="12" spans="1:18">
      <c r="A12" s="32" t="s">
        <v>259</v>
      </c>
      <c r="B12" s="37">
        <f t="shared" si="0"/>
        <v>3028.672658</v>
      </c>
      <c r="C12" s="33"/>
      <c r="D12" s="37">
        <f>IF(ISERROR(TER_rest_gas_kWh/1000),0,TER_rest_gas_kWh/1000)*0.902</f>
        <v>7458.8479053220008</v>
      </c>
      <c r="E12" s="33">
        <f>$C$32*'E Balans VL '!I8/100/3.6*1000000</f>
        <v>39.095281130841293</v>
      </c>
      <c r="F12" s="33">
        <f>$C$32*('E Balans VL '!L8+'E Balans VL '!N8)/100/3.6*1000000</f>
        <v>347.95299284731993</v>
      </c>
      <c r="G12" s="34"/>
      <c r="H12" s="33"/>
      <c r="I12" s="33"/>
      <c r="J12" s="33">
        <f>$C$32*('E Balans VL '!D8+'E Balans VL '!E8)/100/3.6*1000000</f>
        <v>5.8042909067561781E-3</v>
      </c>
      <c r="K12" s="33"/>
      <c r="L12" s="33"/>
      <c r="M12" s="33"/>
      <c r="N12" s="33">
        <f>$C$32*'E Balans VL '!Y8/100/3.6*1000000</f>
        <v>229.32150168082319</v>
      </c>
      <c r="O12" s="33"/>
      <c r="P12" s="33"/>
      <c r="R12" s="32"/>
    </row>
    <row r="13" spans="1:18">
      <c r="A13" s="16" t="s">
        <v>482</v>
      </c>
      <c r="B13" s="247">
        <f ca="1">'lokale energieproductie'!N91+'lokale energieproductie'!N60</f>
        <v>22.666666666666664</v>
      </c>
      <c r="C13" s="247">
        <f ca="1">'lokale energieproductie'!O91+'lokale energieproductie'!O60</f>
        <v>32.468468468468465</v>
      </c>
      <c r="D13" s="310">
        <f ca="1">('lokale energieproductie'!P60+'lokale energieproductie'!P91)*(-1)</f>
        <v>-15.315315315315313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37385.005408666671</v>
      </c>
      <c r="C16" s="21">
        <f t="shared" ca="1" si="1"/>
        <v>32.468468468468465</v>
      </c>
      <c r="D16" s="21">
        <f t="shared" ca="1" si="1"/>
        <v>37661.518262232683</v>
      </c>
      <c r="E16" s="21">
        <f t="shared" si="1"/>
        <v>527.47957033947421</v>
      </c>
      <c r="F16" s="21">
        <f t="shared" ca="1" si="1"/>
        <v>4418.2667435389403</v>
      </c>
      <c r="G16" s="21">
        <f t="shared" si="1"/>
        <v>0</v>
      </c>
      <c r="H16" s="21">
        <f t="shared" si="1"/>
        <v>0</v>
      </c>
      <c r="I16" s="21">
        <f t="shared" si="1"/>
        <v>0</v>
      </c>
      <c r="J16" s="21">
        <f t="shared" si="1"/>
        <v>0.14207321128071793</v>
      </c>
      <c r="K16" s="21">
        <f t="shared" si="1"/>
        <v>0</v>
      </c>
      <c r="L16" s="21">
        <f t="shared" ca="1" si="1"/>
        <v>0</v>
      </c>
      <c r="M16" s="21">
        <f t="shared" si="1"/>
        <v>0</v>
      </c>
      <c r="N16" s="21">
        <f t="shared" ca="1" si="1"/>
        <v>5558.4635137925716</v>
      </c>
      <c r="O16" s="21">
        <f>O5</f>
        <v>24.486303829205774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0.19226337998186652</v>
      </c>
      <c r="C18" s="25">
        <f ca="1">'EF ele_warmte'!B22</f>
        <v>0.23686697203097465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7187.7675005106148</v>
      </c>
      <c r="C20" s="23">
        <f t="shared" ref="C20:P20" ca="1" si="2">C16*C18</f>
        <v>7.6907078126093023</v>
      </c>
      <c r="D20" s="23">
        <f t="shared" ca="1" si="2"/>
        <v>7607.6266889710023</v>
      </c>
      <c r="E20" s="23">
        <f t="shared" si="2"/>
        <v>119.73786246706065</v>
      </c>
      <c r="F20" s="23">
        <f t="shared" ca="1" si="2"/>
        <v>1179.6772205248972</v>
      </c>
      <c r="G20" s="23">
        <f t="shared" si="2"/>
        <v>0</v>
      </c>
      <c r="H20" s="23">
        <f t="shared" si="2"/>
        <v>0</v>
      </c>
      <c r="I20" s="23">
        <f t="shared" si="2"/>
        <v>0</v>
      </c>
      <c r="J20" s="23">
        <f t="shared" si="2"/>
        <v>5.0293916793374145E-2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8600.3374779999995</v>
      </c>
      <c r="C26" s="39">
        <f>IF(ISERROR(B26*3.6/1000000/'E Balans VL '!Z12*100),0,B26*3.6/1000000/'E Balans VL '!Z12*100)</f>
        <v>0.18244829119053543</v>
      </c>
      <c r="D26" s="237" t="s">
        <v>716</v>
      </c>
      <c r="F26" s="6"/>
    </row>
    <row r="27" spans="1:18">
      <c r="A27" s="231" t="s">
        <v>52</v>
      </c>
      <c r="B27" s="33">
        <f>IF(ISERROR(TER_horeca_ele_kWh/1000),0,TER_horeca_ele_kWh/1000)</f>
        <v>2891.702233</v>
      </c>
      <c r="C27" s="39">
        <f>IF(ISERROR(B27*3.6/1000000/'E Balans VL '!Z9*100),0,B27*3.6/1000000/'E Balans VL '!Z9*100)</f>
        <v>0.2177707943080936</v>
      </c>
      <c r="D27" s="237" t="s">
        <v>716</v>
      </c>
      <c r="F27" s="6"/>
    </row>
    <row r="28" spans="1:18">
      <c r="A28" s="171" t="s">
        <v>51</v>
      </c>
      <c r="B28" s="33">
        <f>IF(ISERROR(TER_handel_ele_kWh/1000),0,TER_handel_ele_kWh/1000)</f>
        <v>13101.9437</v>
      </c>
      <c r="C28" s="39">
        <f>IF(ISERROR(B28*3.6/1000000/'E Balans VL '!Z13*100),0,B28*3.6/1000000/'E Balans VL '!Z13*100)</f>
        <v>0.38030300180240167</v>
      </c>
      <c r="D28" s="237" t="s">
        <v>716</v>
      </c>
      <c r="F28" s="6"/>
    </row>
    <row r="29" spans="1:18">
      <c r="A29" s="231" t="s">
        <v>50</v>
      </c>
      <c r="B29" s="33">
        <f>IF(ISERROR(TER_gezond_ele_kWh/1000),0,TER_gezond_ele_kWh/1000)</f>
        <v>826.89115099999992</v>
      </c>
      <c r="C29" s="39">
        <f>IF(ISERROR(B29*3.6/1000000/'E Balans VL '!Z10*100),0,B29*3.6/1000000/'E Balans VL '!Z10*100)</f>
        <v>8.3392958686210855E-2</v>
      </c>
      <c r="D29" s="237" t="s">
        <v>716</v>
      </c>
      <c r="F29" s="6"/>
    </row>
    <row r="30" spans="1:18">
      <c r="A30" s="231" t="s">
        <v>49</v>
      </c>
      <c r="B30" s="33">
        <f>IF(ISERROR(TER_ander_ele_kWh/1000),0,TER_ander_ele_kWh/1000)</f>
        <v>8027.1254650000001</v>
      </c>
      <c r="C30" s="39">
        <f>IF(ISERROR(B30*3.6/1000000/'E Balans VL '!Z14*100),0,B30*3.6/1000000/'E Balans VL '!Z14*100)</f>
        <v>0.58247746255632071</v>
      </c>
      <c r="D30" s="237" t="s">
        <v>716</v>
      </c>
      <c r="F30" s="6"/>
    </row>
    <row r="31" spans="1:18">
      <c r="A31" s="231" t="s">
        <v>54</v>
      </c>
      <c r="B31" s="33">
        <f>IF(ISERROR(TER_onderwijs_ele_kWh/1000),0,TER_onderwijs_ele_kWh/1000)</f>
        <v>885.66605700000002</v>
      </c>
      <c r="C31" s="39">
        <f>IF(ISERROR(B31*3.6/1000000/'E Balans VL '!Z11*100),0,B31*3.6/1000000/'E Balans VL '!Z11*100)</f>
        <v>0.25245089224620487</v>
      </c>
      <c r="D31" s="237" t="s">
        <v>716</v>
      </c>
    </row>
    <row r="32" spans="1:18">
      <c r="A32" s="231" t="s">
        <v>259</v>
      </c>
      <c r="B32" s="33">
        <f>IF(ISERROR(TER_rest_ele_kWh/1000),0,TER_rest_ele_kWh/1000)</f>
        <v>3028.672658</v>
      </c>
      <c r="C32" s="39">
        <f>IF(ISERROR(B32*3.6/1000000/'E Balans VL '!Z8*100),0,B32*3.6/1000000/'E Balans VL '!Z8*100)</f>
        <v>2.4810269502598049E-2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143669.78215000001</v>
      </c>
      <c r="C5" s="17">
        <f>IF(ISERROR('Eigen informatie GS &amp; warmtenet'!B61),0,'Eigen informatie GS &amp; warmtenet'!B61)</f>
        <v>0</v>
      </c>
      <c r="D5" s="30">
        <f>SUM(D6:D15)</f>
        <v>60564.603663938004</v>
      </c>
      <c r="E5" s="17">
        <f>SUM(E6:E15)</f>
        <v>6606.7351092722956</v>
      </c>
      <c r="F5" s="17">
        <f>SUM(F6:F15)</f>
        <v>24665.493645335573</v>
      </c>
      <c r="G5" s="18"/>
      <c r="H5" s="17"/>
      <c r="I5" s="17"/>
      <c r="J5" s="17">
        <f>SUM(J6:J15)</f>
        <v>1083.6806641204157</v>
      </c>
      <c r="K5" s="17"/>
      <c r="L5" s="17"/>
      <c r="M5" s="17"/>
      <c r="N5" s="17">
        <f>SUM(N6:N15)</f>
        <v>5259.6632102580534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655.00277099999994</v>
      </c>
      <c r="C8" s="33"/>
      <c r="D8" s="37">
        <f>IF( ISERROR(IND_metaal_Gas_kWH/1000),0,IND_metaal_Gas_kWH/1000)*0.902</f>
        <v>105.0859315</v>
      </c>
      <c r="E8" s="33">
        <f>C30*'E Balans VL '!I18/100/3.6*1000000</f>
        <v>4.7253852688547155</v>
      </c>
      <c r="F8" s="33">
        <f>C30*'E Balans VL '!L18/100/3.6*1000000+C30*'E Balans VL '!N18/100/3.6*1000000</f>
        <v>61.951184731527547</v>
      </c>
      <c r="G8" s="34"/>
      <c r="H8" s="33"/>
      <c r="I8" s="33"/>
      <c r="J8" s="40">
        <f>C30*'E Balans VL '!D18/100/3.6*1000000+C30*'E Balans VL '!E18/100/3.6*1000000</f>
        <v>0.65880559342266942</v>
      </c>
      <c r="K8" s="33"/>
      <c r="L8" s="33"/>
      <c r="M8" s="33"/>
      <c r="N8" s="33">
        <f>C30*'E Balans VL '!Y18/100/3.6*1000000</f>
        <v>8.2809679916824575</v>
      </c>
      <c r="O8" s="33"/>
      <c r="P8" s="33"/>
      <c r="R8" s="32"/>
    </row>
    <row r="9" spans="1:18">
      <c r="A9" s="6" t="s">
        <v>32</v>
      </c>
      <c r="B9" s="37">
        <f t="shared" si="0"/>
        <v>1455.564707</v>
      </c>
      <c r="C9" s="33"/>
      <c r="D9" s="37">
        <f>IF( ISERROR(IND_andere_gas_kWh/1000),0,IND_andere_gas_kWh/1000)*0.902</f>
        <v>1535.84897961</v>
      </c>
      <c r="E9" s="33">
        <f>C31*'E Balans VL '!I19/100/3.6*1000000</f>
        <v>403.3564436482431</v>
      </c>
      <c r="F9" s="33">
        <f>C31*'E Balans VL '!L19/100/3.6*1000000+C31*'E Balans VL '!N19/100/3.6*1000000</f>
        <v>1206.3751746611742</v>
      </c>
      <c r="G9" s="34"/>
      <c r="H9" s="33"/>
      <c r="I9" s="33"/>
      <c r="J9" s="40">
        <f>C31*'E Balans VL '!D19/100/3.6*1000000+C31*'E Balans VL '!E19/100/3.6*1000000</f>
        <v>0</v>
      </c>
      <c r="K9" s="33"/>
      <c r="L9" s="33"/>
      <c r="M9" s="33"/>
      <c r="N9" s="33">
        <f>C31*'E Balans VL '!Y19/100/3.6*1000000</f>
        <v>105.65619424445917</v>
      </c>
      <c r="O9" s="33"/>
      <c r="P9" s="33"/>
      <c r="R9" s="32"/>
    </row>
    <row r="10" spans="1:18">
      <c r="A10" s="6" t="s">
        <v>40</v>
      </c>
      <c r="B10" s="37">
        <f t="shared" si="0"/>
        <v>962.72178899999994</v>
      </c>
      <c r="C10" s="33"/>
      <c r="D10" s="37">
        <f>IF( ISERROR(IND_voed_gas_kWh/1000),0,IND_voed_gas_kWh/1000)*0.902</f>
        <v>473.12825456600001</v>
      </c>
      <c r="E10" s="33">
        <f>C32*'E Balans VL '!I20/100/3.6*1000000</f>
        <v>1.7043436613068044</v>
      </c>
      <c r="F10" s="33">
        <f>C32*'E Balans VL '!L20/100/3.6*1000000+C32*'E Balans VL '!N20/100/3.6*1000000</f>
        <v>51.995509132677896</v>
      </c>
      <c r="G10" s="34"/>
      <c r="H10" s="33"/>
      <c r="I10" s="33"/>
      <c r="J10" s="40">
        <f>C32*'E Balans VL '!D20/100/3.6*1000000+C32*'E Balans VL '!E20/100/3.6*1000000</f>
        <v>0</v>
      </c>
      <c r="K10" s="33"/>
      <c r="L10" s="33"/>
      <c r="M10" s="33"/>
      <c r="N10" s="33">
        <f>C32*'E Balans VL '!Y20/100/3.6*1000000</f>
        <v>55.941488338820001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33.96181</v>
      </c>
      <c r="C13" s="33"/>
      <c r="D13" s="37">
        <f>IF( ISERROR(IND_papier_gas_kWh/1000),0,IND_papier_gas_kWh/1000)*0.902</f>
        <v>130.55959402199997</v>
      </c>
      <c r="E13" s="33">
        <f>C35*'E Balans VL '!I23/100/3.6*1000000</f>
        <v>4.9969484322297947E-2</v>
      </c>
      <c r="F13" s="33">
        <f>C35*'E Balans VL '!L23/100/3.6*1000000+C35*'E Balans VL '!N23/100/3.6*1000000</f>
        <v>0.36363950990050742</v>
      </c>
      <c r="G13" s="34"/>
      <c r="H13" s="33"/>
      <c r="I13" s="33"/>
      <c r="J13" s="40">
        <f>C35*'E Balans VL '!D23/100/3.6*1000000+C35*'E Balans VL '!E23/100/3.6*1000000</f>
        <v>3.7156124618645041</v>
      </c>
      <c r="K13" s="33"/>
      <c r="L13" s="33"/>
      <c r="M13" s="33"/>
      <c r="N13" s="33">
        <f>C35*'E Balans VL '!Y23/100/3.6*1000000</f>
        <v>-0.30766489782260403</v>
      </c>
      <c r="O13" s="33"/>
      <c r="P13" s="33"/>
      <c r="R13" s="32"/>
    </row>
    <row r="14" spans="1:18">
      <c r="A14" s="6" t="s">
        <v>33</v>
      </c>
      <c r="B14" s="37">
        <f t="shared" si="0"/>
        <v>9915.1091730000007</v>
      </c>
      <c r="C14" s="33"/>
      <c r="D14" s="37">
        <f>IF( ISERROR(IND_chemie_gas_kWh/1000),0,IND_chemie_gas_kWh/1000)*0.902</f>
        <v>0</v>
      </c>
      <c r="E14" s="33">
        <f>C36*'E Balans VL '!I24/100/3.6*1000000</f>
        <v>22.425979857447654</v>
      </c>
      <c r="F14" s="33">
        <f>C36*'E Balans VL '!L24/100/3.6*1000000+C36*'E Balans VL '!N24/100/3.6*1000000</f>
        <v>117.06740851757432</v>
      </c>
      <c r="G14" s="34"/>
      <c r="H14" s="33"/>
      <c r="I14" s="33"/>
      <c r="J14" s="40">
        <f>C36*'E Balans VL '!D24/100/3.6*1000000+C36*'E Balans VL '!E24/100/3.6*1000000</f>
        <v>0</v>
      </c>
      <c r="K14" s="33"/>
      <c r="L14" s="33"/>
      <c r="M14" s="33"/>
      <c r="N14" s="33">
        <f>C36*'E Balans VL '!Y24/100/3.6*1000000</f>
        <v>5.4462210626854288</v>
      </c>
      <c r="O14" s="33"/>
      <c r="P14" s="33"/>
      <c r="R14" s="32"/>
    </row>
    <row r="15" spans="1:18">
      <c r="A15" s="6" t="s">
        <v>269</v>
      </c>
      <c r="B15" s="37">
        <f t="shared" si="0"/>
        <v>130647.4219</v>
      </c>
      <c r="C15" s="33"/>
      <c r="D15" s="37">
        <f>IF( ISERROR(IND_rest_gas_kWh/1000),0,IND_rest_gas_kWh/1000)*0.902</f>
        <v>58319.980904240001</v>
      </c>
      <c r="E15" s="33">
        <f>C37*'E Balans VL '!I15/100/3.6*1000000</f>
        <v>6174.472987352121</v>
      </c>
      <c r="F15" s="33">
        <f>C37*'E Balans VL '!L15/100/3.6*1000000+C37*'E Balans VL '!N15/100/3.6*1000000</f>
        <v>23227.740728782719</v>
      </c>
      <c r="G15" s="34"/>
      <c r="H15" s="33"/>
      <c r="I15" s="33"/>
      <c r="J15" s="40">
        <f>C37*'E Balans VL '!D15/100/3.6*1000000+C37*'E Balans VL '!E15/100/3.6*1000000</f>
        <v>1079.3062460651286</v>
      </c>
      <c r="K15" s="33"/>
      <c r="L15" s="33"/>
      <c r="M15" s="33"/>
      <c r="N15" s="33">
        <f>C37*'E Balans VL '!Y15/100/3.6*1000000</f>
        <v>5084.646003518229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143669.78215000001</v>
      </c>
      <c r="C18" s="21">
        <f>C5+C16</f>
        <v>0</v>
      </c>
      <c r="D18" s="21">
        <f>MAX((D5+D16),0)</f>
        <v>60564.603663938004</v>
      </c>
      <c r="E18" s="21">
        <f>MAX((E5+E16),0)</f>
        <v>6606.7351092722956</v>
      </c>
      <c r="F18" s="21">
        <f>MAX((F5+F16),0)</f>
        <v>24665.493645335573</v>
      </c>
      <c r="G18" s="21"/>
      <c r="H18" s="21"/>
      <c r="I18" s="21"/>
      <c r="J18" s="21">
        <f>MAX((J5+J16),0)</f>
        <v>1083.6806641204157</v>
      </c>
      <c r="K18" s="21"/>
      <c r="L18" s="21">
        <f>MAX((L5+L16),0)</f>
        <v>0</v>
      </c>
      <c r="M18" s="21"/>
      <c r="N18" s="21">
        <f>MAX((N5+N16),0)</f>
        <v>5259.6632102580534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0.19226337998186652</v>
      </c>
      <c r="C20" s="25">
        <f ca="1">'EF ele_warmte'!B22</f>
        <v>0.23686697203097465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27622.437917417436</v>
      </c>
      <c r="C22" s="23">
        <f ca="1">C18*C20</f>
        <v>0</v>
      </c>
      <c r="D22" s="23">
        <f>D18*D20</f>
        <v>12234.049940115478</v>
      </c>
      <c r="E22" s="23">
        <f>E18*E20</f>
        <v>1499.7288698048112</v>
      </c>
      <c r="F22" s="23">
        <f>F18*F20</f>
        <v>6585.6868033045985</v>
      </c>
      <c r="G22" s="23"/>
      <c r="H22" s="23"/>
      <c r="I22" s="23"/>
      <c r="J22" s="23">
        <f>J18*J20</f>
        <v>383.62295509862713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655.00277099999994</v>
      </c>
      <c r="C30" s="39">
        <f>IF(ISERROR(B30*3.6/1000000/'E Balans VL '!Z18*100),0,B30*3.6/1000000/'E Balans VL '!Z18*100)</f>
        <v>3.7812287937783864E-2</v>
      </c>
      <c r="D30" s="237" t="s">
        <v>716</v>
      </c>
    </row>
    <row r="31" spans="1:18">
      <c r="A31" s="6" t="s">
        <v>32</v>
      </c>
      <c r="B31" s="37">
        <f>IF( ISERROR(IND_ander_ele_kWh/1000),0,IND_ander_ele_kWh/1000)</f>
        <v>1455.564707</v>
      </c>
      <c r="C31" s="39">
        <f>IF(ISERROR(B31*3.6/1000000/'E Balans VL '!Z19*100),0,B31*3.6/1000000/'E Balans VL '!Z19*100)</f>
        <v>7.3210186731789001E-2</v>
      </c>
      <c r="D31" s="237" t="s">
        <v>716</v>
      </c>
    </row>
    <row r="32" spans="1:18">
      <c r="A32" s="171" t="s">
        <v>40</v>
      </c>
      <c r="B32" s="37">
        <f>IF( ISERROR(IND_voed_ele_kWh/1000),0,IND_voed_ele_kWh/1000)</f>
        <v>962.72178899999994</v>
      </c>
      <c r="C32" s="39">
        <f>IF(ISERROR(B32*3.6/1000000/'E Balans VL '!Z20*100),0,B32*3.6/1000000/'E Balans VL '!Z20*100)</f>
        <v>3.2064352454520273E-2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33.96181</v>
      </c>
      <c r="C35" s="39">
        <f>IF(ISERROR(B35*3.6/1000000/'E Balans VL '!Z22*100),0,B35*3.6/1000000/'E Balans VL '!Z22*100)</f>
        <v>6.3350246712621603E-3</v>
      </c>
      <c r="D35" s="237" t="s">
        <v>716</v>
      </c>
    </row>
    <row r="36" spans="1:5">
      <c r="A36" s="171" t="s">
        <v>33</v>
      </c>
      <c r="B36" s="37">
        <f>IF( ISERROR(IND_chemie_ele_kWh/1000),0,IND_chemie_ele_kWh/1000)</f>
        <v>9915.1091730000007</v>
      </c>
      <c r="C36" s="39">
        <f>IF(ISERROR(B36*3.6/1000000/'E Balans VL '!Z24*100),0,B36*3.6/1000000/'E Balans VL '!Z24*100)</f>
        <v>0.2615232202970193</v>
      </c>
      <c r="D36" s="237" t="s">
        <v>716</v>
      </c>
    </row>
    <row r="37" spans="1:5">
      <c r="A37" s="171" t="s">
        <v>269</v>
      </c>
      <c r="B37" s="37">
        <f>IF( ISERROR(IND_rest_ele_kWh/1000),0,IND_rest_ele_kWh/1000)</f>
        <v>130647.4219</v>
      </c>
      <c r="C37" s="39">
        <f>IF(ISERROR(B37*3.6/1000000/'E Balans VL '!Z15*100),0,B37*3.6/1000000/'E Balans VL '!Z15*100)</f>
        <v>1.0194071633352271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3795.2370149999997</v>
      </c>
      <c r="C5" s="17">
        <f>'Eigen informatie GS &amp; warmtenet'!B62</f>
        <v>0</v>
      </c>
      <c r="D5" s="30">
        <f>IF(ISERROR(SUM(LB_lb_gas_kWh,LB_rest_gas_kWh)/1000),0,SUM(LB_lb_gas_kWh,LB_rest_gas_kWh)/1000)*0.902</f>
        <v>15407.942613579999</v>
      </c>
      <c r="E5" s="17">
        <f>B17*'E Balans VL '!I25/3.6*1000000/100</f>
        <v>118.44809572337917</v>
      </c>
      <c r="F5" s="17">
        <f>B17*('E Balans VL '!L25/3.6*1000000+'E Balans VL '!N25/3.6*1000000)/100</f>
        <v>13412.788036025137</v>
      </c>
      <c r="G5" s="18"/>
      <c r="H5" s="17"/>
      <c r="I5" s="17"/>
      <c r="J5" s="17">
        <f>('E Balans VL '!D25+'E Balans VL '!E25)/3.6*1000000*landbouw!B17/100</f>
        <v>1045.6141173705346</v>
      </c>
      <c r="K5" s="17"/>
      <c r="L5" s="17">
        <f>L6*(-1)</f>
        <v>0</v>
      </c>
      <c r="M5" s="17"/>
      <c r="N5" s="17">
        <f>N6*(-1)</f>
        <v>0</v>
      </c>
      <c r="O5" s="17"/>
      <c r="P5" s="17"/>
      <c r="R5" s="32"/>
    </row>
    <row r="6" spans="1:18">
      <c r="A6" s="16" t="s">
        <v>482</v>
      </c>
      <c r="B6" s="17" t="s">
        <v>210</v>
      </c>
      <c r="C6" s="17">
        <f>'lokale energieproductie'!O92+'lokale energieproductie'!O61</f>
        <v>7515</v>
      </c>
      <c r="D6" s="310">
        <f>('lokale energieproductie'!P61+'lokale energieproductie'!P92)*(-1)</f>
        <v>-15030.000000000002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3795.2370149999997</v>
      </c>
      <c r="C8" s="21">
        <f>C5+C6</f>
        <v>7515</v>
      </c>
      <c r="D8" s="21">
        <f>MAX((D5+D6),0)</f>
        <v>377.94261357999676</v>
      </c>
      <c r="E8" s="21">
        <f>MAX((E5+E6),0)</f>
        <v>118.44809572337917</v>
      </c>
      <c r="F8" s="21">
        <f>MAX((F5+F6),0)</f>
        <v>13412.788036025137</v>
      </c>
      <c r="G8" s="21"/>
      <c r="H8" s="21"/>
      <c r="I8" s="21"/>
      <c r="J8" s="21">
        <f>MAX((J5+J6),0)</f>
        <v>1045.6141173705346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0.19226337998186652</v>
      </c>
      <c r="C10" s="31">
        <f ca="1">'EF ele_warmte'!B22</f>
        <v>0.23686697203097465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729.68509633618976</v>
      </c>
      <c r="C12" s="23">
        <f ca="1">C8*C10</f>
        <v>1780.0552948127745</v>
      </c>
      <c r="D12" s="23">
        <f>D8*D10</f>
        <v>76.344407943159354</v>
      </c>
      <c r="E12" s="23">
        <f>E8*E10</f>
        <v>26.887717729207072</v>
      </c>
      <c r="F12" s="23">
        <f>F8*F10</f>
        <v>3581.2144056187117</v>
      </c>
      <c r="G12" s="23"/>
      <c r="H12" s="23"/>
      <c r="I12" s="23"/>
      <c r="J12" s="23">
        <f>J8*J10</f>
        <v>370.14739754916923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0.56418918911576421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472.22685030245617</v>
      </c>
      <c r="C26" s="247">
        <f>B26*'GWP N2O_CH4'!B5</f>
        <v>9916.7638563515793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117.541422136948</v>
      </c>
      <c r="C27" s="247">
        <f>B27*'GWP N2O_CH4'!B5</f>
        <v>2468.3698648759082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8.4543277538061936</v>
      </c>
      <c r="C28" s="247">
        <f>B28*'GWP N2O_CH4'!B4</f>
        <v>2620.8416036799199</v>
      </c>
      <c r="D28" s="50"/>
    </row>
    <row r="29" spans="1:4">
      <c r="A29" s="41" t="s">
        <v>276</v>
      </c>
      <c r="B29" s="247">
        <f>B34*'ha_N2O bodem landbouw'!B4</f>
        <v>15.16588981814939</v>
      </c>
      <c r="C29" s="247">
        <f>B29*'GWP N2O_CH4'!B4</f>
        <v>4701.4258436263108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3.3256065814135927E-3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4.4996789668499997E-4</v>
      </c>
      <c r="C5" s="463" t="s">
        <v>210</v>
      </c>
      <c r="D5" s="448">
        <f>SUM(D6:D11)</f>
        <v>1.7056699262573039E-3</v>
      </c>
      <c r="E5" s="448">
        <f>SUM(E6:E11)</f>
        <v>1.4540945849537E-3</v>
      </c>
      <c r="F5" s="461" t="s">
        <v>210</v>
      </c>
      <c r="G5" s="448">
        <f>SUM(G6:G11)</f>
        <v>0.57096448906349628</v>
      </c>
      <c r="H5" s="448">
        <f>SUM(H6:H11)</f>
        <v>0.12959103984000969</v>
      </c>
      <c r="I5" s="463" t="s">
        <v>210</v>
      </c>
      <c r="J5" s="463" t="s">
        <v>210</v>
      </c>
      <c r="K5" s="463" t="s">
        <v>210</v>
      </c>
      <c r="L5" s="463" t="s">
        <v>210</v>
      </c>
      <c r="M5" s="448">
        <f>SUM(M6:M11)</f>
        <v>4.1439311396681118E-2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2.2889909292499999E-4</v>
      </c>
      <c r="C6" s="449"/>
      <c r="D6" s="917">
        <f>vkm_2011_GW_PW*SUMIFS(TableVerdeelsleutelVkm[CNG],TableVerdeelsleutelVkm[Voertuigtype],"Lichte voertuigen")*SUMIFS(TableECFTransport[EnergieConsumptieFactor (PJ per km)],TableECFTransport[Index],CONCATENATE($A6,"_CNG_CNG"))</f>
        <v>7.9592113505057998E-4</v>
      </c>
      <c r="E6" s="917">
        <f>vkm_2011_GW_PW*SUMIFS(TableVerdeelsleutelVkm[LPG],TableVerdeelsleutelVkm[Voertuigtype],"Lichte voertuigen")*SUMIFS(TableECFTransport[EnergieConsumptieFactor (PJ per km)],TableECFTransport[Index],CONCATENATE($A6,"_LPG_LPG"))</f>
        <v>6.2705472228600004E-4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0.17069158644789942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5.9730718188032536E-2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1.376918098639281E-2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6.7290627241793924E-2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1.6952677433115259E-5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3.8801877973213524E-3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4.2310718004999999E-5</v>
      </c>
      <c r="C8" s="449"/>
      <c r="D8" s="451">
        <f>vkm_2011_NGW_PW*SUMIFS(TableVerdeelsleutelVkm[CNG],TableVerdeelsleutelVkm[Voertuigtype],"Lichte voertuigen")*SUMIFS(TableECFTransport[EnergieConsumptieFactor (PJ per km)],TableECFTransport[Index],CONCATENATE($A8,"_CNG_CNG"))</f>
        <v>2.6036738963928005E-4</v>
      </c>
      <c r="E8" s="451">
        <f>vkm_2011_NGW_PW*SUMIFS(TableVerdeelsleutelVkm[LPG],TableVerdeelsleutelVkm[Voertuigtype],"Lichte voertuigen")*SUMIFS(TableECFTransport[EnergieConsumptieFactor (PJ per km)],TableECFTransport[Index],CONCATENATE($A8,"_LPG_LPG"))</f>
        <v>1.9016503512147502E-4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4.8036466259327705E-2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1.9039480206606868E-2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4.0216534138179131E-3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3.8947998059142377E-3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9.2584002592142533E-7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2.2458268145884134E-4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1.78758085755E-4</v>
      </c>
      <c r="C10" s="449"/>
      <c r="D10" s="451">
        <f>vkm_2011_SW_PW*SUMIFS(TableVerdeelsleutelVkm[CNG],TableVerdeelsleutelVkm[Voertuigtype],"Lichte voertuigen")*SUMIFS(TableECFTransport[EnergieConsumptieFactor (PJ per km)],TableECFTransport[Index],CONCATENATE($A10,"_CNG_CNG"))</f>
        <v>6.4938140156744399E-4</v>
      </c>
      <c r="E10" s="451">
        <f>vkm_2011_SW_PW*SUMIFS(TableVerdeelsleutelVkm[LPG],TableVerdeelsleutelVkm[Voertuigtype],"Lichte voertuigen")*SUMIFS(TableECFTransport[EnergieConsumptieFactor (PJ per km)],TableECFTransport[Index],CONCATENATE($A10,"_LPG_LPG"))</f>
        <v>6.3687482754622496E-4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0.15399973241389889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5.0768295380833786E-2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1.221735801761383E-2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0.12705127689466209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3.4667547077496096E-5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7.3263485000763726E-3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124.99108241249999</v>
      </c>
      <c r="C14" s="21"/>
      <c r="D14" s="21">
        <f t="shared" ref="D14:M14" si="0">((D5)*10^9/3600)+D12</f>
        <v>473.79720173813996</v>
      </c>
      <c r="E14" s="21">
        <f t="shared" si="0"/>
        <v>403.9151624871389</v>
      </c>
      <c r="F14" s="21"/>
      <c r="G14" s="21">
        <f t="shared" si="0"/>
        <v>158601.24696208228</v>
      </c>
      <c r="H14" s="21">
        <f t="shared" si="0"/>
        <v>35997.511066669358</v>
      </c>
      <c r="I14" s="21"/>
      <c r="J14" s="21"/>
      <c r="K14" s="21"/>
      <c r="L14" s="21"/>
      <c r="M14" s="21">
        <f t="shared" si="0"/>
        <v>11510.91983241142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0.19226337998186652</v>
      </c>
      <c r="C16" s="56">
        <f ca="1">'EF ele_warmte'!B22</f>
        <v>0.23686697203097465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24.031207972219278</v>
      </c>
      <c r="C18" s="23"/>
      <c r="D18" s="23">
        <f t="shared" ref="D18:M18" si="1">D14*D16</f>
        <v>95.707034751104274</v>
      </c>
      <c r="E18" s="23">
        <f t="shared" si="1"/>
        <v>91.688741884580537</v>
      </c>
      <c r="F18" s="23"/>
      <c r="G18" s="23">
        <f t="shared" si="1"/>
        <v>42346.532938875971</v>
      </c>
      <c r="H18" s="23">
        <f t="shared" si="1"/>
        <v>8963.3802556006704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6.129769384177924E-3</v>
      </c>
      <c r="H50" s="321">
        <f t="shared" si="2"/>
        <v>0</v>
      </c>
      <c r="I50" s="321">
        <f t="shared" si="2"/>
        <v>0</v>
      </c>
      <c r="J50" s="321">
        <f t="shared" si="2"/>
        <v>0</v>
      </c>
      <c r="K50" s="321">
        <f t="shared" si="2"/>
        <v>0</v>
      </c>
      <c r="L50" s="321">
        <f t="shared" si="2"/>
        <v>0</v>
      </c>
      <c r="M50" s="321">
        <f t="shared" si="2"/>
        <v>3.4069326059433321E-4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6.129769384177924E-3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3.4069326059433321E-4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1702.7137178272012</v>
      </c>
      <c r="H54" s="21">
        <f t="shared" si="3"/>
        <v>0</v>
      </c>
      <c r="I54" s="21">
        <f t="shared" si="3"/>
        <v>0</v>
      </c>
      <c r="J54" s="21">
        <f t="shared" si="3"/>
        <v>0</v>
      </c>
      <c r="K54" s="21">
        <f t="shared" si="3"/>
        <v>0</v>
      </c>
      <c r="L54" s="21">
        <f t="shared" si="3"/>
        <v>0</v>
      </c>
      <c r="M54" s="21">
        <f t="shared" si="3"/>
        <v>94.637016831759226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0.19226337998186652</v>
      </c>
      <c r="C56" s="56">
        <f ca="1">'EF ele_warmte'!B22</f>
        <v>0.23686697203097465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454.62456265986276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39465.333408666673</v>
      </c>
      <c r="D10" s="712">
        <f ca="1">tertiair!C16</f>
        <v>32.468468468468465</v>
      </c>
      <c r="E10" s="712">
        <f ca="1">tertiair!D16</f>
        <v>37661.518262232683</v>
      </c>
      <c r="F10" s="712">
        <f>tertiair!E16</f>
        <v>527.47957033947421</v>
      </c>
      <c r="G10" s="712">
        <f ca="1">tertiair!F16</f>
        <v>4418.2667435389403</v>
      </c>
      <c r="H10" s="712">
        <f>tertiair!G16</f>
        <v>0</v>
      </c>
      <c r="I10" s="712">
        <f>tertiair!H16</f>
        <v>0</v>
      </c>
      <c r="J10" s="712">
        <f>tertiair!I16</f>
        <v>0</v>
      </c>
      <c r="K10" s="712">
        <f>tertiair!J16</f>
        <v>0.14207321128071793</v>
      </c>
      <c r="L10" s="712">
        <f>tertiair!K16</f>
        <v>0</v>
      </c>
      <c r="M10" s="712">
        <f ca="1">tertiair!L16</f>
        <v>0</v>
      </c>
      <c r="N10" s="712">
        <f>tertiair!M16</f>
        <v>0</v>
      </c>
      <c r="O10" s="712">
        <f ca="1">tertiair!N16</f>
        <v>5558.4635137925716</v>
      </c>
      <c r="P10" s="712">
        <f>tertiair!O16</f>
        <v>24.486303829205774</v>
      </c>
      <c r="Q10" s="713">
        <f>tertiair!P16</f>
        <v>0</v>
      </c>
      <c r="R10" s="715">
        <f ca="1">SUM(C10:Q10)</f>
        <v>87688.158344079304</v>
      </c>
      <c r="S10" s="67"/>
    </row>
    <row r="11" spans="1:19" s="474" customFormat="1">
      <c r="A11" s="834" t="s">
        <v>224</v>
      </c>
      <c r="B11" s="839"/>
      <c r="C11" s="712">
        <f>huishoudens!B8</f>
        <v>40592.38222416518</v>
      </c>
      <c r="D11" s="712">
        <f>huishoudens!C8</f>
        <v>0</v>
      </c>
      <c r="E11" s="712">
        <f>huishoudens!D8</f>
        <v>100460.22278666002</v>
      </c>
      <c r="F11" s="712">
        <f>huishoudens!E8</f>
        <v>17359.074488541319</v>
      </c>
      <c r="G11" s="712">
        <f>huishoudens!F8</f>
        <v>25095.964856091174</v>
      </c>
      <c r="H11" s="712">
        <f>huishoudens!G8</f>
        <v>0</v>
      </c>
      <c r="I11" s="712">
        <f>huishoudens!H8</f>
        <v>0</v>
      </c>
      <c r="J11" s="712">
        <f>huishoudens!I8</f>
        <v>0</v>
      </c>
      <c r="K11" s="712">
        <f>huishoudens!J8</f>
        <v>0</v>
      </c>
      <c r="L11" s="712">
        <f>huishoudens!K8</f>
        <v>0</v>
      </c>
      <c r="M11" s="712">
        <f>huishoudens!L8</f>
        <v>0</v>
      </c>
      <c r="N11" s="712">
        <f>huishoudens!M8</f>
        <v>0</v>
      </c>
      <c r="O11" s="712">
        <f>huishoudens!N8</f>
        <v>33518.872265184109</v>
      </c>
      <c r="P11" s="712">
        <f>huishoudens!O8</f>
        <v>464.24622333656549</v>
      </c>
      <c r="Q11" s="713">
        <f>huishoudens!P8</f>
        <v>2349.0729256137602</v>
      </c>
      <c r="R11" s="715">
        <f>SUM(C11:Q11)</f>
        <v>219839.83576959211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143669.78215000001</v>
      </c>
      <c r="D13" s="712">
        <f>industrie!C18</f>
        <v>0</v>
      </c>
      <c r="E13" s="712">
        <f>industrie!D18</f>
        <v>60564.603663938004</v>
      </c>
      <c r="F13" s="712">
        <f>industrie!E18</f>
        <v>6606.7351092722956</v>
      </c>
      <c r="G13" s="712">
        <f>industrie!F18</f>
        <v>24665.493645335573</v>
      </c>
      <c r="H13" s="712">
        <f>industrie!G18</f>
        <v>0</v>
      </c>
      <c r="I13" s="712">
        <f>industrie!H18</f>
        <v>0</v>
      </c>
      <c r="J13" s="712">
        <f>industrie!I18</f>
        <v>0</v>
      </c>
      <c r="K13" s="712">
        <f>industrie!J18</f>
        <v>1083.6806641204157</v>
      </c>
      <c r="L13" s="712">
        <f>industrie!K18</f>
        <v>0</v>
      </c>
      <c r="M13" s="712">
        <f>industrie!L18</f>
        <v>0</v>
      </c>
      <c r="N13" s="712">
        <f>industrie!M18</f>
        <v>0</v>
      </c>
      <c r="O13" s="712">
        <f>industrie!N18</f>
        <v>5259.6632102580534</v>
      </c>
      <c r="P13" s="712">
        <f>industrie!O18</f>
        <v>0</v>
      </c>
      <c r="Q13" s="713">
        <f>industrie!P18</f>
        <v>0</v>
      </c>
      <c r="R13" s="715">
        <f>SUM(C13:Q13)</f>
        <v>241849.95844292437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223727.49778283187</v>
      </c>
      <c r="D16" s="748">
        <f t="shared" ref="D16:R16" ca="1" si="0">SUM(D9:D15)</f>
        <v>32.468468468468465</v>
      </c>
      <c r="E16" s="748">
        <f t="shared" ca="1" si="0"/>
        <v>198686.3447128307</v>
      </c>
      <c r="F16" s="748">
        <f t="shared" si="0"/>
        <v>24493.289168153089</v>
      </c>
      <c r="G16" s="748">
        <f t="shared" ca="1" si="0"/>
        <v>54179.725244965688</v>
      </c>
      <c r="H16" s="748">
        <f t="shared" si="0"/>
        <v>0</v>
      </c>
      <c r="I16" s="748">
        <f t="shared" si="0"/>
        <v>0</v>
      </c>
      <c r="J16" s="748">
        <f t="shared" si="0"/>
        <v>0</v>
      </c>
      <c r="K16" s="748">
        <f t="shared" si="0"/>
        <v>1083.8227373316965</v>
      </c>
      <c r="L16" s="748">
        <f t="shared" si="0"/>
        <v>0</v>
      </c>
      <c r="M16" s="748">
        <f t="shared" ca="1" si="0"/>
        <v>0</v>
      </c>
      <c r="N16" s="748">
        <f t="shared" si="0"/>
        <v>0</v>
      </c>
      <c r="O16" s="748">
        <f t="shared" ca="1" si="0"/>
        <v>44336.998989234737</v>
      </c>
      <c r="P16" s="748">
        <f t="shared" si="0"/>
        <v>488.73252716577127</v>
      </c>
      <c r="Q16" s="748">
        <f t="shared" si="0"/>
        <v>2349.0729256137602</v>
      </c>
      <c r="R16" s="748">
        <f t="shared" ca="1" si="0"/>
        <v>549377.95255659579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1702.7137178272012</v>
      </c>
      <c r="I19" s="712">
        <f>transport!H54</f>
        <v>0</v>
      </c>
      <c r="J19" s="712">
        <f>transport!I54</f>
        <v>0</v>
      </c>
      <c r="K19" s="712">
        <f>transport!J54</f>
        <v>0</v>
      </c>
      <c r="L19" s="712">
        <f>transport!K54</f>
        <v>0</v>
      </c>
      <c r="M19" s="712">
        <f>transport!L54</f>
        <v>0</v>
      </c>
      <c r="N19" s="712">
        <f>transport!M54</f>
        <v>94.637016831759226</v>
      </c>
      <c r="O19" s="712">
        <f>transport!N54</f>
        <v>0</v>
      </c>
      <c r="P19" s="712">
        <f>transport!O54</f>
        <v>0</v>
      </c>
      <c r="Q19" s="713">
        <f>transport!P54</f>
        <v>0</v>
      </c>
      <c r="R19" s="715">
        <f>SUM(C19:Q19)</f>
        <v>1797.3507346589604</v>
      </c>
      <c r="S19" s="67"/>
    </row>
    <row r="20" spans="1:19" s="474" customFormat="1">
      <c r="A20" s="834" t="s">
        <v>306</v>
      </c>
      <c r="B20" s="839"/>
      <c r="C20" s="712">
        <f>transport!B14</f>
        <v>124.99108241249999</v>
      </c>
      <c r="D20" s="712">
        <f>transport!C14</f>
        <v>0</v>
      </c>
      <c r="E20" s="712">
        <f>transport!D14</f>
        <v>473.79720173813996</v>
      </c>
      <c r="F20" s="712">
        <f>transport!E14</f>
        <v>403.9151624871389</v>
      </c>
      <c r="G20" s="712">
        <f>transport!F14</f>
        <v>0</v>
      </c>
      <c r="H20" s="712">
        <f>transport!G14</f>
        <v>158601.24696208228</v>
      </c>
      <c r="I20" s="712">
        <f>transport!H14</f>
        <v>35997.511066669358</v>
      </c>
      <c r="J20" s="712">
        <f>transport!I14</f>
        <v>0</v>
      </c>
      <c r="K20" s="712">
        <f>transport!J14</f>
        <v>0</v>
      </c>
      <c r="L20" s="712">
        <f>transport!K14</f>
        <v>0</v>
      </c>
      <c r="M20" s="712">
        <f>transport!L14</f>
        <v>0</v>
      </c>
      <c r="N20" s="712">
        <f>transport!M14</f>
        <v>11510.91983241142</v>
      </c>
      <c r="O20" s="712">
        <f>transport!N14</f>
        <v>0</v>
      </c>
      <c r="P20" s="712">
        <f>transport!O14</f>
        <v>0</v>
      </c>
      <c r="Q20" s="713">
        <f>transport!P14</f>
        <v>0</v>
      </c>
      <c r="R20" s="715">
        <f>SUM(C20:Q20)</f>
        <v>207112.38130780085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124.99108241249999</v>
      </c>
      <c r="D22" s="837">
        <f t="shared" ref="D22:R22" si="1">SUM(D18:D21)</f>
        <v>0</v>
      </c>
      <c r="E22" s="837">
        <f t="shared" si="1"/>
        <v>473.79720173813996</v>
      </c>
      <c r="F22" s="837">
        <f t="shared" si="1"/>
        <v>403.9151624871389</v>
      </c>
      <c r="G22" s="837">
        <f t="shared" si="1"/>
        <v>0</v>
      </c>
      <c r="H22" s="837">
        <f t="shared" si="1"/>
        <v>160303.96067990948</v>
      </c>
      <c r="I22" s="837">
        <f t="shared" si="1"/>
        <v>35997.511066669358</v>
      </c>
      <c r="J22" s="837">
        <f t="shared" si="1"/>
        <v>0</v>
      </c>
      <c r="K22" s="837">
        <f t="shared" si="1"/>
        <v>0</v>
      </c>
      <c r="L22" s="837">
        <f t="shared" si="1"/>
        <v>0</v>
      </c>
      <c r="M22" s="837">
        <f t="shared" si="1"/>
        <v>0</v>
      </c>
      <c r="N22" s="837">
        <f t="shared" si="1"/>
        <v>11605.556849243179</v>
      </c>
      <c r="O22" s="837">
        <f t="shared" si="1"/>
        <v>0</v>
      </c>
      <c r="P22" s="837">
        <f t="shared" si="1"/>
        <v>0</v>
      </c>
      <c r="Q22" s="837">
        <f t="shared" si="1"/>
        <v>0</v>
      </c>
      <c r="R22" s="837">
        <f t="shared" si="1"/>
        <v>208909.7320424598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3795.2370149999997</v>
      </c>
      <c r="D24" s="712">
        <f>+landbouw!C8</f>
        <v>7515</v>
      </c>
      <c r="E24" s="712">
        <f>+landbouw!D8</f>
        <v>377.94261357999676</v>
      </c>
      <c r="F24" s="712">
        <f>+landbouw!E8</f>
        <v>118.44809572337917</v>
      </c>
      <c r="G24" s="712">
        <f>+landbouw!F8</f>
        <v>13412.788036025137</v>
      </c>
      <c r="H24" s="712">
        <f>+landbouw!G8</f>
        <v>0</v>
      </c>
      <c r="I24" s="712">
        <f>+landbouw!H8</f>
        <v>0</v>
      </c>
      <c r="J24" s="712">
        <f>+landbouw!I8</f>
        <v>0</v>
      </c>
      <c r="K24" s="712">
        <f>+landbouw!J8</f>
        <v>1045.6141173705346</v>
      </c>
      <c r="L24" s="712">
        <f>+landbouw!K8</f>
        <v>0</v>
      </c>
      <c r="M24" s="712">
        <f>+landbouw!L8</f>
        <v>0</v>
      </c>
      <c r="N24" s="712">
        <f>+landbouw!M8</f>
        <v>0</v>
      </c>
      <c r="O24" s="712">
        <f>+landbouw!N8</f>
        <v>0</v>
      </c>
      <c r="P24" s="712">
        <f>+landbouw!O8</f>
        <v>0</v>
      </c>
      <c r="Q24" s="713">
        <f>+landbouw!P8</f>
        <v>0</v>
      </c>
      <c r="R24" s="715">
        <f>SUM(C24:Q24)</f>
        <v>26265.029877699046</v>
      </c>
      <c r="S24" s="67"/>
    </row>
    <row r="25" spans="1:19" s="474" customFormat="1" ht="15" thickBot="1">
      <c r="A25" s="856" t="s">
        <v>734</v>
      </c>
      <c r="B25" s="982"/>
      <c r="C25" s="983">
        <f>IF(Onbekend_ele_kWh="---",0,Onbekend_ele_kWh)/1000+IF(REST_rest_ele_kWh="---",0,REST_rest_ele_kWh)/1000</f>
        <v>970.46186399999999</v>
      </c>
      <c r="D25" s="983"/>
      <c r="E25" s="983">
        <f>IF(onbekend_gas_kWh="---",0,onbekend_gas_kWh)/1000+IF(REST_rest_gas_kWh="---",0,REST_rest_gas_kWh)/1000</f>
        <v>1790.885775</v>
      </c>
      <c r="F25" s="983"/>
      <c r="G25" s="983"/>
      <c r="H25" s="983"/>
      <c r="I25" s="983"/>
      <c r="J25" s="983"/>
      <c r="K25" s="983"/>
      <c r="L25" s="983"/>
      <c r="M25" s="983"/>
      <c r="N25" s="983"/>
      <c r="O25" s="983"/>
      <c r="P25" s="983"/>
      <c r="Q25" s="984"/>
      <c r="R25" s="715">
        <f>SUM(C25:Q25)</f>
        <v>2761.3476390000001</v>
      </c>
      <c r="S25" s="67"/>
    </row>
    <row r="26" spans="1:19" s="474" customFormat="1" ht="15.75" thickBot="1">
      <c r="A26" s="720" t="s">
        <v>735</v>
      </c>
      <c r="B26" s="842"/>
      <c r="C26" s="837">
        <f>SUM(C24:C25)</f>
        <v>4765.6988789999996</v>
      </c>
      <c r="D26" s="837">
        <f t="shared" ref="D26:R26" si="2">SUM(D24:D25)</f>
        <v>7515</v>
      </c>
      <c r="E26" s="837">
        <f t="shared" si="2"/>
        <v>2168.8283885799965</v>
      </c>
      <c r="F26" s="837">
        <f t="shared" si="2"/>
        <v>118.44809572337917</v>
      </c>
      <c r="G26" s="837">
        <f t="shared" si="2"/>
        <v>13412.788036025137</v>
      </c>
      <c r="H26" s="837">
        <f t="shared" si="2"/>
        <v>0</v>
      </c>
      <c r="I26" s="837">
        <f t="shared" si="2"/>
        <v>0</v>
      </c>
      <c r="J26" s="837">
        <f t="shared" si="2"/>
        <v>0</v>
      </c>
      <c r="K26" s="837">
        <f t="shared" si="2"/>
        <v>1045.6141173705346</v>
      </c>
      <c r="L26" s="837">
        <f t="shared" si="2"/>
        <v>0</v>
      </c>
      <c r="M26" s="837">
        <f t="shared" si="2"/>
        <v>0</v>
      </c>
      <c r="N26" s="837">
        <f t="shared" si="2"/>
        <v>0</v>
      </c>
      <c r="O26" s="837">
        <f t="shared" si="2"/>
        <v>0</v>
      </c>
      <c r="P26" s="837">
        <f t="shared" si="2"/>
        <v>0</v>
      </c>
      <c r="Q26" s="837">
        <f t="shared" si="2"/>
        <v>0</v>
      </c>
      <c r="R26" s="837">
        <f t="shared" si="2"/>
        <v>29026.377516699045</v>
      </c>
      <c r="S26" s="67"/>
    </row>
    <row r="27" spans="1:19" s="474" customFormat="1" ht="17.25" thickTop="1" thickBot="1">
      <c r="A27" s="721" t="s">
        <v>115</v>
      </c>
      <c r="B27" s="829"/>
      <c r="C27" s="722">
        <f ca="1">C22+C16+C26</f>
        <v>228618.18774424438</v>
      </c>
      <c r="D27" s="722">
        <f t="shared" ref="D27:R27" ca="1" si="3">D22+D16+D26</f>
        <v>7547.468468468468</v>
      </c>
      <c r="E27" s="722">
        <f t="shared" ca="1" si="3"/>
        <v>201328.97030314885</v>
      </c>
      <c r="F27" s="722">
        <f t="shared" si="3"/>
        <v>25015.652426363606</v>
      </c>
      <c r="G27" s="722">
        <f t="shared" ca="1" si="3"/>
        <v>67592.513280990825</v>
      </c>
      <c r="H27" s="722">
        <f t="shared" si="3"/>
        <v>160303.96067990948</v>
      </c>
      <c r="I27" s="722">
        <f t="shared" si="3"/>
        <v>35997.511066669358</v>
      </c>
      <c r="J27" s="722">
        <f t="shared" si="3"/>
        <v>0</v>
      </c>
      <c r="K27" s="722">
        <f t="shared" si="3"/>
        <v>2129.4368547022314</v>
      </c>
      <c r="L27" s="722">
        <f t="shared" si="3"/>
        <v>0</v>
      </c>
      <c r="M27" s="722">
        <f t="shared" ca="1" si="3"/>
        <v>0</v>
      </c>
      <c r="N27" s="722">
        <f t="shared" si="3"/>
        <v>11605.556849243179</v>
      </c>
      <c r="O27" s="722">
        <f t="shared" ca="1" si="3"/>
        <v>44336.998989234737</v>
      </c>
      <c r="P27" s="722">
        <f t="shared" si="3"/>
        <v>488.73252716577127</v>
      </c>
      <c r="Q27" s="722">
        <f t="shared" si="3"/>
        <v>2349.0729256137602</v>
      </c>
      <c r="R27" s="722">
        <f t="shared" ca="1" si="3"/>
        <v>787314.06211575458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7587.7383932615312</v>
      </c>
      <c r="D40" s="712">
        <f ca="1">tertiair!C20</f>
        <v>7.6907078126093023</v>
      </c>
      <c r="E40" s="712">
        <f ca="1">tertiair!D20</f>
        <v>7607.6266889710023</v>
      </c>
      <c r="F40" s="712">
        <f>tertiair!E20</f>
        <v>119.73786246706065</v>
      </c>
      <c r="G40" s="712">
        <f ca="1">tertiair!F20</f>
        <v>1179.6772205248972</v>
      </c>
      <c r="H40" s="712">
        <f>tertiair!G20</f>
        <v>0</v>
      </c>
      <c r="I40" s="712">
        <f>tertiair!H20</f>
        <v>0</v>
      </c>
      <c r="J40" s="712">
        <f>tertiair!I20</f>
        <v>0</v>
      </c>
      <c r="K40" s="712">
        <f>tertiair!J20</f>
        <v>5.0293916793374145E-2</v>
      </c>
      <c r="L40" s="712">
        <f>tertiair!K20</f>
        <v>0</v>
      </c>
      <c r="M40" s="712">
        <f ca="1">tertiair!L20</f>
        <v>0</v>
      </c>
      <c r="N40" s="712">
        <f>tertiair!M20</f>
        <v>0</v>
      </c>
      <c r="O40" s="712">
        <f ca="1">tertiair!N20</f>
        <v>0</v>
      </c>
      <c r="P40" s="712">
        <f>tertiair!O20</f>
        <v>0</v>
      </c>
      <c r="Q40" s="795">
        <f>tertiair!P20</f>
        <v>0</v>
      </c>
      <c r="R40" s="875">
        <f t="shared" ca="1" si="4"/>
        <v>16502.521166953891</v>
      </c>
    </row>
    <row r="41" spans="1:18">
      <c r="A41" s="847" t="s">
        <v>224</v>
      </c>
      <c r="B41" s="854"/>
      <c r="C41" s="712">
        <f ca="1">huishoudens!B12</f>
        <v>7804.4286079338335</v>
      </c>
      <c r="D41" s="712">
        <f ca="1">huishoudens!C12</f>
        <v>0</v>
      </c>
      <c r="E41" s="712">
        <f>huishoudens!D12</f>
        <v>20292.965002905323</v>
      </c>
      <c r="F41" s="712">
        <f>huishoudens!E12</f>
        <v>3940.5099088988795</v>
      </c>
      <c r="G41" s="712">
        <f>huishoudens!F12</f>
        <v>6700.6226165763437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38738.52613631438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27622.437917417436</v>
      </c>
      <c r="D43" s="712">
        <f ca="1">industrie!C22</f>
        <v>0</v>
      </c>
      <c r="E43" s="712">
        <f>industrie!D22</f>
        <v>12234.049940115478</v>
      </c>
      <c r="F43" s="712">
        <f>industrie!E22</f>
        <v>1499.7288698048112</v>
      </c>
      <c r="G43" s="712">
        <f>industrie!F22</f>
        <v>6585.6868033045985</v>
      </c>
      <c r="H43" s="712">
        <f>industrie!G22</f>
        <v>0</v>
      </c>
      <c r="I43" s="712">
        <f>industrie!H22</f>
        <v>0</v>
      </c>
      <c r="J43" s="712">
        <f>industrie!I22</f>
        <v>0</v>
      </c>
      <c r="K43" s="712">
        <f>industrie!J22</f>
        <v>383.62295509862713</v>
      </c>
      <c r="L43" s="712">
        <f>industrie!K22</f>
        <v>0</v>
      </c>
      <c r="M43" s="712">
        <f>industrie!L22</f>
        <v>0</v>
      </c>
      <c r="N43" s="712">
        <f>industrie!M22</f>
        <v>0</v>
      </c>
      <c r="O43" s="712">
        <f>industrie!N22</f>
        <v>0</v>
      </c>
      <c r="P43" s="712">
        <f>industrie!O22</f>
        <v>0</v>
      </c>
      <c r="Q43" s="795">
        <f>industrie!P22</f>
        <v>0</v>
      </c>
      <c r="R43" s="874">
        <f t="shared" ca="1" si="4"/>
        <v>48325.526485740949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43014.6049186128</v>
      </c>
      <c r="D46" s="748">
        <f t="shared" ref="D46:Q46" ca="1" si="5">SUM(D39:D45)</f>
        <v>7.6907078126093023</v>
      </c>
      <c r="E46" s="748">
        <f t="shared" ca="1" si="5"/>
        <v>40134.641631991806</v>
      </c>
      <c r="F46" s="748">
        <f t="shared" si="5"/>
        <v>5559.9766411707515</v>
      </c>
      <c r="G46" s="748">
        <f t="shared" ca="1" si="5"/>
        <v>14465.986640405839</v>
      </c>
      <c r="H46" s="748">
        <f t="shared" si="5"/>
        <v>0</v>
      </c>
      <c r="I46" s="748">
        <f t="shared" si="5"/>
        <v>0</v>
      </c>
      <c r="J46" s="748">
        <f t="shared" si="5"/>
        <v>0</v>
      </c>
      <c r="K46" s="748">
        <f t="shared" si="5"/>
        <v>383.67324901542048</v>
      </c>
      <c r="L46" s="748">
        <f t="shared" si="5"/>
        <v>0</v>
      </c>
      <c r="M46" s="748">
        <f t="shared" ca="1" si="5"/>
        <v>0</v>
      </c>
      <c r="N46" s="748">
        <f t="shared" si="5"/>
        <v>0</v>
      </c>
      <c r="O46" s="748">
        <f t="shared" ca="1" si="5"/>
        <v>0</v>
      </c>
      <c r="P46" s="748">
        <f t="shared" si="5"/>
        <v>0</v>
      </c>
      <c r="Q46" s="748">
        <f t="shared" si="5"/>
        <v>0</v>
      </c>
      <c r="R46" s="748">
        <f ca="1">SUM(R39:R45)</f>
        <v>103566.57378900921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454.62456265986276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454.62456265986276</v>
      </c>
    </row>
    <row r="50" spans="1:18">
      <c r="A50" s="850" t="s">
        <v>306</v>
      </c>
      <c r="B50" s="860"/>
      <c r="C50" s="718">
        <f ca="1">transport!B18</f>
        <v>24.031207972219278</v>
      </c>
      <c r="D50" s="718">
        <f>transport!C18</f>
        <v>0</v>
      </c>
      <c r="E50" s="718">
        <f>transport!D18</f>
        <v>95.707034751104274</v>
      </c>
      <c r="F50" s="718">
        <f>transport!E18</f>
        <v>91.688741884580537</v>
      </c>
      <c r="G50" s="718">
        <f>transport!F18</f>
        <v>0</v>
      </c>
      <c r="H50" s="718">
        <f>transport!G18</f>
        <v>42346.532938875971</v>
      </c>
      <c r="I50" s="718">
        <f>transport!H18</f>
        <v>8963.3802556006704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51521.340179084546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24.031207972219278</v>
      </c>
      <c r="D52" s="748">
        <f t="shared" ref="D52:Q52" ca="1" si="6">SUM(D48:D51)</f>
        <v>0</v>
      </c>
      <c r="E52" s="748">
        <f t="shared" si="6"/>
        <v>95.707034751104274</v>
      </c>
      <c r="F52" s="748">
        <f t="shared" si="6"/>
        <v>91.688741884580537</v>
      </c>
      <c r="G52" s="748">
        <f t="shared" si="6"/>
        <v>0</v>
      </c>
      <c r="H52" s="748">
        <f t="shared" si="6"/>
        <v>42801.157501535832</v>
      </c>
      <c r="I52" s="748">
        <f t="shared" si="6"/>
        <v>8963.3802556006704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51975.964741744407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729.68509633618976</v>
      </c>
      <c r="D54" s="718">
        <f ca="1">+landbouw!C12</f>
        <v>1780.0552948127745</v>
      </c>
      <c r="E54" s="718">
        <f>+landbouw!D12</f>
        <v>76.344407943159354</v>
      </c>
      <c r="F54" s="718">
        <f>+landbouw!E12</f>
        <v>26.887717729207072</v>
      </c>
      <c r="G54" s="718">
        <f>+landbouw!F12</f>
        <v>3581.2144056187117</v>
      </c>
      <c r="H54" s="718">
        <f>+landbouw!G12</f>
        <v>0</v>
      </c>
      <c r="I54" s="718">
        <f>+landbouw!H12</f>
        <v>0</v>
      </c>
      <c r="J54" s="718">
        <f>+landbouw!I12</f>
        <v>0</v>
      </c>
      <c r="K54" s="718">
        <f>+landbouw!J12</f>
        <v>370.14739754916923</v>
      </c>
      <c r="L54" s="718">
        <f>+landbouw!K12</f>
        <v>0</v>
      </c>
      <c r="M54" s="718">
        <f>+landbouw!L12</f>
        <v>0</v>
      </c>
      <c r="N54" s="718">
        <f>+landbouw!M12</f>
        <v>0</v>
      </c>
      <c r="O54" s="718">
        <f>+landbouw!N12</f>
        <v>0</v>
      </c>
      <c r="P54" s="718">
        <f>+landbouw!O12</f>
        <v>0</v>
      </c>
      <c r="Q54" s="719">
        <f>+landbouw!P12</f>
        <v>0</v>
      </c>
      <c r="R54" s="747">
        <f ca="1">SUM(C54:Q54)</f>
        <v>6564.3343199892106</v>
      </c>
    </row>
    <row r="55" spans="1:18" ht="15" thickBot="1">
      <c r="A55" s="850" t="s">
        <v>734</v>
      </c>
      <c r="B55" s="860"/>
      <c r="C55" s="718">
        <f ca="1">C25*'EF ele_warmte'!B12</f>
        <v>186.58427811614246</v>
      </c>
      <c r="D55" s="718"/>
      <c r="E55" s="718">
        <f>E25*EF_CO2_aardgas</f>
        <v>361.75892655000001</v>
      </c>
      <c r="F55" s="718"/>
      <c r="G55" s="718"/>
      <c r="H55" s="718"/>
      <c r="I55" s="718"/>
      <c r="J55" s="718"/>
      <c r="K55" s="718"/>
      <c r="L55" s="718"/>
      <c r="M55" s="718"/>
      <c r="N55" s="718"/>
      <c r="O55" s="718"/>
      <c r="P55" s="718"/>
      <c r="Q55" s="719"/>
      <c r="R55" s="747">
        <f ca="1">SUM(C55:Q55)</f>
        <v>548.34320466614247</v>
      </c>
    </row>
    <row r="56" spans="1:18" ht="15.75" thickBot="1">
      <c r="A56" s="848" t="s">
        <v>735</v>
      </c>
      <c r="B56" s="861"/>
      <c r="C56" s="748">
        <f ca="1">SUM(C54:C55)</f>
        <v>916.26937445233216</v>
      </c>
      <c r="D56" s="748">
        <f t="shared" ref="D56:Q56" ca="1" si="7">SUM(D54:D55)</f>
        <v>1780.0552948127745</v>
      </c>
      <c r="E56" s="748">
        <f t="shared" si="7"/>
        <v>438.10333449315937</v>
      </c>
      <c r="F56" s="748">
        <f t="shared" si="7"/>
        <v>26.887717729207072</v>
      </c>
      <c r="G56" s="748">
        <f t="shared" si="7"/>
        <v>3581.2144056187117</v>
      </c>
      <c r="H56" s="748">
        <f t="shared" si="7"/>
        <v>0</v>
      </c>
      <c r="I56" s="748">
        <f t="shared" si="7"/>
        <v>0</v>
      </c>
      <c r="J56" s="748">
        <f t="shared" si="7"/>
        <v>0</v>
      </c>
      <c r="K56" s="748">
        <f t="shared" si="7"/>
        <v>370.14739754916923</v>
      </c>
      <c r="L56" s="748">
        <f t="shared" si="7"/>
        <v>0</v>
      </c>
      <c r="M56" s="748">
        <f t="shared" si="7"/>
        <v>0</v>
      </c>
      <c r="N56" s="748">
        <f t="shared" si="7"/>
        <v>0</v>
      </c>
      <c r="O56" s="748">
        <f t="shared" si="7"/>
        <v>0</v>
      </c>
      <c r="P56" s="748">
        <f t="shared" si="7"/>
        <v>0</v>
      </c>
      <c r="Q56" s="749">
        <f t="shared" si="7"/>
        <v>0</v>
      </c>
      <c r="R56" s="750">
        <f ca="1">SUM(R54:R55)</f>
        <v>7112.6775246553534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43954.905501037356</v>
      </c>
      <c r="D61" s="756">
        <f t="shared" ref="D61:Q61" ca="1" si="8">D46+D52+D56</f>
        <v>1787.7460026253839</v>
      </c>
      <c r="E61" s="756">
        <f t="shared" ca="1" si="8"/>
        <v>40668.452001236066</v>
      </c>
      <c r="F61" s="756">
        <f t="shared" si="8"/>
        <v>5678.5531007845393</v>
      </c>
      <c r="G61" s="756">
        <f t="shared" ca="1" si="8"/>
        <v>18047.201046024551</v>
      </c>
      <c r="H61" s="756">
        <f t="shared" si="8"/>
        <v>42801.157501535832</v>
      </c>
      <c r="I61" s="756">
        <f t="shared" si="8"/>
        <v>8963.3802556006704</v>
      </c>
      <c r="J61" s="756">
        <f t="shared" si="8"/>
        <v>0</v>
      </c>
      <c r="K61" s="756">
        <f t="shared" si="8"/>
        <v>753.82064656458965</v>
      </c>
      <c r="L61" s="756">
        <f t="shared" si="8"/>
        <v>0</v>
      </c>
      <c r="M61" s="756">
        <f t="shared" ca="1" si="8"/>
        <v>0</v>
      </c>
      <c r="N61" s="756">
        <f t="shared" si="8"/>
        <v>0</v>
      </c>
      <c r="O61" s="756">
        <f t="shared" ca="1" si="8"/>
        <v>0</v>
      </c>
      <c r="P61" s="756">
        <f t="shared" si="8"/>
        <v>0</v>
      </c>
      <c r="Q61" s="756">
        <f t="shared" si="8"/>
        <v>0</v>
      </c>
      <c r="R61" s="756">
        <f ca="1">R46+R52+R56</f>
        <v>162655.21605540899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0.19226337998186652</v>
      </c>
      <c r="D63" s="802">
        <f t="shared" ca="1" si="9"/>
        <v>0.23686697203097468</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0.35399999999999987</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20005.280176879856</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15384.41068967655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5283.166666666667</v>
      </c>
      <c r="D76" s="991">
        <f>'lokale energieproductie'!C8</f>
        <v>6195.0875795460934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1251.4076910683109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35389.690866556404</v>
      </c>
      <c r="C78" s="774">
        <f>SUM(C72:C77)</f>
        <v>5283.166666666667</v>
      </c>
      <c r="D78" s="775">
        <f t="shared" ref="D78:H78" si="10">SUM(D76:D77)</f>
        <v>6195.0875795460934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1251.4076910683109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7547.468468468468</v>
      </c>
      <c r="D87" s="798">
        <f>'lokale energieproductie'!C17</f>
        <v>8850.2277357692255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1787.7460026253837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7547.468468468468</v>
      </c>
      <c r="D90" s="774">
        <f t="shared" ref="D90:H90" si="12">SUM(D87:D89)</f>
        <v>8850.2277357692255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1787.7460026253837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20005.280176879856</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15384.41068967655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5283.166666666667</v>
      </c>
      <c r="C8" s="574">
        <f>B101</f>
        <v>6195.0875795460934</v>
      </c>
      <c r="D8" s="575"/>
      <c r="E8" s="575">
        <f>E101</f>
        <v>0</v>
      </c>
      <c r="F8" s="576"/>
      <c r="G8" s="577"/>
      <c r="H8" s="575">
        <f>I101</f>
        <v>0</v>
      </c>
      <c r="I8" s="575">
        <f>G101+F101</f>
        <v>0</v>
      </c>
      <c r="J8" s="575">
        <f>H101+D101+C101</f>
        <v>0</v>
      </c>
      <c r="K8" s="575"/>
      <c r="L8" s="575"/>
      <c r="M8" s="575"/>
      <c r="N8" s="578"/>
      <c r="O8" s="579">
        <f>C8*$C$12+D8*$D$12+E8*$E$12+F8*$F$12+G8*$G$12+H8*$H$12+I8*$I$12+J8*$J$12</f>
        <v>1251.4076910683109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40672.857533223068</v>
      </c>
      <c r="C10" s="589">
        <f t="shared" ref="C10:L10" si="0">SUM(C8:C9)</f>
        <v>6195.0875795460934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1251.4076910683109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7547.468468468468</v>
      </c>
      <c r="C17" s="605">
        <f>B102</f>
        <v>8850.2277357692255</v>
      </c>
      <c r="D17" s="606"/>
      <c r="E17" s="606">
        <f>E102</f>
        <v>0</v>
      </c>
      <c r="F17" s="607"/>
      <c r="G17" s="608"/>
      <c r="H17" s="605">
        <f>I102</f>
        <v>0</v>
      </c>
      <c r="I17" s="606">
        <f>G102+F102</f>
        <v>0</v>
      </c>
      <c r="J17" s="606">
        <f>H102+D102+C102</f>
        <v>0</v>
      </c>
      <c r="K17" s="606"/>
      <c r="L17" s="606"/>
      <c r="M17" s="606"/>
      <c r="N17" s="1005"/>
      <c r="O17" s="609">
        <f>C17*$C$22+E17*$E$22+H17*$H$22+I17*$I$22+J17*$J$22+D17*$D$22+F17*$F$22+G17*$G$22+K17*$K$22+L17*$L$22</f>
        <v>1787.7460026253837</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7547.468468468468</v>
      </c>
      <c r="C20" s="588">
        <f>SUM(C17:C19)</f>
        <v>8850.2277357692255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1787.7460026253837</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13049</v>
      </c>
      <c r="C28" s="817">
        <v>2260</v>
      </c>
      <c r="D28" s="666" t="s">
        <v>882</v>
      </c>
      <c r="E28" s="665" t="s">
        <v>883</v>
      </c>
      <c r="F28" s="665" t="s">
        <v>884</v>
      </c>
      <c r="G28" s="665" t="s">
        <v>885</v>
      </c>
      <c r="H28" s="665" t="s">
        <v>886</v>
      </c>
      <c r="I28" s="665" t="s">
        <v>883</v>
      </c>
      <c r="J28" s="816">
        <v>39651</v>
      </c>
      <c r="K28" s="816">
        <v>39651</v>
      </c>
      <c r="L28" s="665" t="s">
        <v>887</v>
      </c>
      <c r="M28" s="665">
        <v>1169</v>
      </c>
      <c r="N28" s="665">
        <v>5260.5</v>
      </c>
      <c r="O28" s="665">
        <v>7515</v>
      </c>
      <c r="P28" s="665">
        <v>15030.000000000002</v>
      </c>
      <c r="Q28" s="665">
        <v>0</v>
      </c>
      <c r="R28" s="665">
        <v>0</v>
      </c>
      <c r="S28" s="665">
        <v>0</v>
      </c>
      <c r="T28" s="665">
        <v>0</v>
      </c>
      <c r="U28" s="665">
        <v>0</v>
      </c>
      <c r="V28" s="665">
        <v>0</v>
      </c>
      <c r="W28" s="665">
        <v>0</v>
      </c>
      <c r="X28" s="665">
        <v>10</v>
      </c>
      <c r="Y28" s="665" t="s">
        <v>111</v>
      </c>
      <c r="Z28" s="667" t="s">
        <v>111</v>
      </c>
    </row>
    <row r="29" spans="1:26" s="619" customFormat="1" ht="25.5">
      <c r="A29" s="618"/>
      <c r="B29" s="817">
        <v>13049</v>
      </c>
      <c r="C29" s="817">
        <v>2260</v>
      </c>
      <c r="D29" s="666" t="s">
        <v>888</v>
      </c>
      <c r="E29" s="665" t="s">
        <v>889</v>
      </c>
      <c r="F29" s="665" t="s">
        <v>890</v>
      </c>
      <c r="G29" s="665" t="s">
        <v>891</v>
      </c>
      <c r="H29" s="665" t="s">
        <v>891</v>
      </c>
      <c r="I29" s="665" t="s">
        <v>889</v>
      </c>
      <c r="J29" s="816">
        <v>42343</v>
      </c>
      <c r="K29" s="816">
        <v>42343</v>
      </c>
      <c r="L29" s="665" t="s">
        <v>887</v>
      </c>
      <c r="M29" s="665">
        <v>1.7</v>
      </c>
      <c r="N29" s="665">
        <v>0</v>
      </c>
      <c r="O29" s="665">
        <v>0</v>
      </c>
      <c r="P29" s="665">
        <v>0</v>
      </c>
      <c r="Q29" s="665">
        <v>0</v>
      </c>
      <c r="R29" s="665">
        <v>0</v>
      </c>
      <c r="S29" s="665">
        <v>0</v>
      </c>
      <c r="T29" s="665">
        <v>0</v>
      </c>
      <c r="U29" s="665">
        <v>0</v>
      </c>
      <c r="V29" s="665">
        <v>0</v>
      </c>
      <c r="W29" s="665">
        <v>0</v>
      </c>
      <c r="X29" s="665">
        <v>10</v>
      </c>
      <c r="Y29" s="665" t="s">
        <v>111</v>
      </c>
      <c r="Z29" s="667" t="s">
        <v>111</v>
      </c>
    </row>
    <row r="30" spans="1:26" s="619" customFormat="1" ht="12.75">
      <c r="A30" s="618"/>
      <c r="B30" s="817">
        <v>13049</v>
      </c>
      <c r="C30" s="817">
        <v>2260</v>
      </c>
      <c r="D30" s="666" t="s">
        <v>892</v>
      </c>
      <c r="E30" s="665"/>
      <c r="F30" s="665" t="s">
        <v>893</v>
      </c>
      <c r="G30" s="665" t="s">
        <v>894</v>
      </c>
      <c r="H30" s="665" t="s">
        <v>891</v>
      </c>
      <c r="I30" s="665" t="s">
        <v>895</v>
      </c>
      <c r="J30" s="816">
        <v>42919</v>
      </c>
      <c r="K30" s="816">
        <v>42829</v>
      </c>
      <c r="L30" s="665" t="s">
        <v>896</v>
      </c>
      <c r="M30" s="665">
        <v>6.8</v>
      </c>
      <c r="N30" s="665">
        <v>22.666666666666664</v>
      </c>
      <c r="O30" s="665">
        <v>32.468468468468465</v>
      </c>
      <c r="P30" s="665">
        <v>15.315315315315313</v>
      </c>
      <c r="Q30" s="665">
        <v>0</v>
      </c>
      <c r="R30" s="665">
        <v>0</v>
      </c>
      <c r="S30" s="665">
        <v>0</v>
      </c>
      <c r="T30" s="665">
        <v>0</v>
      </c>
      <c r="U30" s="665">
        <v>0</v>
      </c>
      <c r="V30" s="665">
        <v>0</v>
      </c>
      <c r="W30" s="665">
        <v>0</v>
      </c>
      <c r="X30" s="665">
        <v>1200</v>
      </c>
      <c r="Y30" s="665" t="s">
        <v>52</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1177.5</v>
      </c>
      <c r="N58" s="623">
        <f>SUM(N28:N57)</f>
        <v>5283.166666666667</v>
      </c>
      <c r="O58" s="623">
        <f t="shared" ref="O58:W58" si="2">SUM(O28:O57)</f>
        <v>7547.468468468468</v>
      </c>
      <c r="P58" s="623">
        <f t="shared" si="2"/>
        <v>15045.315315315318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6.8</v>
      </c>
      <c r="N60" s="623">
        <f ca="1">SUMIF($Z$28:AD57,"tertiair",N28:N57)</f>
        <v>22.666666666666664</v>
      </c>
      <c r="O60" s="623">
        <f ca="1">SUMIF($Z$28:AE57,"tertiair",O28:O57)</f>
        <v>32.468468468468465</v>
      </c>
      <c r="P60" s="623">
        <f ca="1">SUMIF($Z$28:AF57,"tertiair",P28:P57)</f>
        <v>15.315315315315313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1170.7</v>
      </c>
      <c r="N61" s="628">
        <f t="shared" si="4"/>
        <v>5260.5</v>
      </c>
      <c r="O61" s="628">
        <f t="shared" si="4"/>
        <v>7515</v>
      </c>
      <c r="P61" s="628">
        <f t="shared" si="4"/>
        <v>15030.000000000002</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0.58823810271095955</v>
      </c>
      <c r="C98" s="648">
        <f>IF(ISERROR(N58/(O58+N58)),0,N58/(N58+O58))</f>
        <v>0.41176189728904045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6195.0875795460934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8850.2277357692255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40592.38222416518</v>
      </c>
      <c r="C4" s="478">
        <f>huishoudens!C8</f>
        <v>0</v>
      </c>
      <c r="D4" s="478">
        <f>huishoudens!D8</f>
        <v>100460.22278666002</v>
      </c>
      <c r="E4" s="478">
        <f>huishoudens!E8</f>
        <v>17359.074488541319</v>
      </c>
      <c r="F4" s="478">
        <f>huishoudens!F8</f>
        <v>25095.964856091174</v>
      </c>
      <c r="G4" s="478">
        <f>huishoudens!G8</f>
        <v>0</v>
      </c>
      <c r="H4" s="478">
        <f>huishoudens!H8</f>
        <v>0</v>
      </c>
      <c r="I4" s="478">
        <f>huishoudens!I8</f>
        <v>0</v>
      </c>
      <c r="J4" s="478">
        <f>huishoudens!J8</f>
        <v>0</v>
      </c>
      <c r="K4" s="478">
        <f>huishoudens!K8</f>
        <v>0</v>
      </c>
      <c r="L4" s="478">
        <f>huishoudens!L8</f>
        <v>0</v>
      </c>
      <c r="M4" s="478">
        <f>huishoudens!M8</f>
        <v>0</v>
      </c>
      <c r="N4" s="478">
        <f>huishoudens!N8</f>
        <v>33518.872265184109</v>
      </c>
      <c r="O4" s="478">
        <f>huishoudens!O8</f>
        <v>464.24622333656549</v>
      </c>
      <c r="P4" s="479">
        <f>huishoudens!P8</f>
        <v>2349.0729256137602</v>
      </c>
      <c r="Q4" s="480">
        <f>SUM(B4:P4)</f>
        <v>219839.83576959211</v>
      </c>
    </row>
    <row r="5" spans="1:17">
      <c r="A5" s="477" t="s">
        <v>155</v>
      </c>
      <c r="B5" s="478">
        <f ca="1">tertiair!B16</f>
        <v>37385.005408666671</v>
      </c>
      <c r="C5" s="478">
        <f ca="1">tertiair!C16</f>
        <v>32.468468468468465</v>
      </c>
      <c r="D5" s="478">
        <f ca="1">tertiair!D16</f>
        <v>37661.518262232683</v>
      </c>
      <c r="E5" s="478">
        <f>tertiair!E16</f>
        <v>527.47957033947421</v>
      </c>
      <c r="F5" s="478">
        <f ca="1">tertiair!F16</f>
        <v>4418.2667435389403</v>
      </c>
      <c r="G5" s="478">
        <f>tertiair!G16</f>
        <v>0</v>
      </c>
      <c r="H5" s="478">
        <f>tertiair!H16</f>
        <v>0</v>
      </c>
      <c r="I5" s="478">
        <f>tertiair!I16</f>
        <v>0</v>
      </c>
      <c r="J5" s="478">
        <f>tertiair!J16</f>
        <v>0.14207321128071793</v>
      </c>
      <c r="K5" s="478">
        <f>tertiair!K16</f>
        <v>0</v>
      </c>
      <c r="L5" s="478">
        <f ca="1">tertiair!L16</f>
        <v>0</v>
      </c>
      <c r="M5" s="478">
        <f>tertiair!M16</f>
        <v>0</v>
      </c>
      <c r="N5" s="478">
        <f ca="1">tertiair!N16</f>
        <v>5558.4635137925716</v>
      </c>
      <c r="O5" s="478">
        <f>tertiair!O16</f>
        <v>24.486303829205774</v>
      </c>
      <c r="P5" s="479">
        <f>tertiair!P16</f>
        <v>0</v>
      </c>
      <c r="Q5" s="477">
        <f t="shared" ref="Q5:Q14" ca="1" si="0">SUM(B5:P5)</f>
        <v>85607.830344079295</v>
      </c>
    </row>
    <row r="6" spans="1:17">
      <c r="A6" s="477" t="s">
        <v>193</v>
      </c>
      <c r="B6" s="478">
        <f>'openbare verlichting'!B8</f>
        <v>2080.328</v>
      </c>
      <c r="C6" s="478"/>
      <c r="D6" s="478"/>
      <c r="E6" s="478"/>
      <c r="F6" s="478"/>
      <c r="G6" s="478"/>
      <c r="H6" s="478"/>
      <c r="I6" s="478"/>
      <c r="J6" s="478"/>
      <c r="K6" s="478"/>
      <c r="L6" s="478"/>
      <c r="M6" s="478"/>
      <c r="N6" s="478"/>
      <c r="O6" s="478"/>
      <c r="P6" s="479"/>
      <c r="Q6" s="477">
        <f t="shared" si="0"/>
        <v>2080.328</v>
      </c>
    </row>
    <row r="7" spans="1:17">
      <c r="A7" s="477" t="s">
        <v>111</v>
      </c>
      <c r="B7" s="478">
        <f>landbouw!B8</f>
        <v>3795.2370149999997</v>
      </c>
      <c r="C7" s="478">
        <f>landbouw!C8</f>
        <v>7515</v>
      </c>
      <c r="D7" s="478">
        <f>landbouw!D8</f>
        <v>377.94261357999676</v>
      </c>
      <c r="E7" s="478">
        <f>landbouw!E8</f>
        <v>118.44809572337917</v>
      </c>
      <c r="F7" s="478">
        <f>landbouw!F8</f>
        <v>13412.788036025137</v>
      </c>
      <c r="G7" s="478">
        <f>landbouw!G8</f>
        <v>0</v>
      </c>
      <c r="H7" s="478">
        <f>landbouw!H8</f>
        <v>0</v>
      </c>
      <c r="I7" s="478">
        <f>landbouw!I8</f>
        <v>0</v>
      </c>
      <c r="J7" s="478">
        <f>landbouw!J8</f>
        <v>1045.6141173705346</v>
      </c>
      <c r="K7" s="478">
        <f>landbouw!K8</f>
        <v>0</v>
      </c>
      <c r="L7" s="478">
        <f>landbouw!L8</f>
        <v>0</v>
      </c>
      <c r="M7" s="478">
        <f>landbouw!M8</f>
        <v>0</v>
      </c>
      <c r="N7" s="478">
        <f>landbouw!N8</f>
        <v>0</v>
      </c>
      <c r="O7" s="478">
        <f>landbouw!O8</f>
        <v>0</v>
      </c>
      <c r="P7" s="479">
        <f>landbouw!P8</f>
        <v>0</v>
      </c>
      <c r="Q7" s="477">
        <f t="shared" si="0"/>
        <v>26265.029877699046</v>
      </c>
    </row>
    <row r="8" spans="1:17">
      <c r="A8" s="477" t="s">
        <v>629</v>
      </c>
      <c r="B8" s="478">
        <f>industrie!B18</f>
        <v>143669.78215000001</v>
      </c>
      <c r="C8" s="478">
        <f>industrie!C18</f>
        <v>0</v>
      </c>
      <c r="D8" s="478">
        <f>industrie!D18</f>
        <v>60564.603663938004</v>
      </c>
      <c r="E8" s="478">
        <f>industrie!E18</f>
        <v>6606.7351092722956</v>
      </c>
      <c r="F8" s="478">
        <f>industrie!F18</f>
        <v>24665.493645335573</v>
      </c>
      <c r="G8" s="478">
        <f>industrie!G18</f>
        <v>0</v>
      </c>
      <c r="H8" s="478">
        <f>industrie!H18</f>
        <v>0</v>
      </c>
      <c r="I8" s="478">
        <f>industrie!I18</f>
        <v>0</v>
      </c>
      <c r="J8" s="478">
        <f>industrie!J18</f>
        <v>1083.6806641204157</v>
      </c>
      <c r="K8" s="478">
        <f>industrie!K18</f>
        <v>0</v>
      </c>
      <c r="L8" s="478">
        <f>industrie!L18</f>
        <v>0</v>
      </c>
      <c r="M8" s="478">
        <f>industrie!M18</f>
        <v>0</v>
      </c>
      <c r="N8" s="478">
        <f>industrie!N18</f>
        <v>5259.6632102580534</v>
      </c>
      <c r="O8" s="478">
        <f>industrie!O18</f>
        <v>0</v>
      </c>
      <c r="P8" s="479">
        <f>industrie!P18</f>
        <v>0</v>
      </c>
      <c r="Q8" s="477">
        <f t="shared" si="0"/>
        <v>241849.95844292437</v>
      </c>
    </row>
    <row r="9" spans="1:17" s="483" customFormat="1">
      <c r="A9" s="481" t="s">
        <v>555</v>
      </c>
      <c r="B9" s="482">
        <f>transport!B14</f>
        <v>124.99108241249999</v>
      </c>
      <c r="C9" s="482">
        <f>transport!C14</f>
        <v>0</v>
      </c>
      <c r="D9" s="482">
        <f>transport!D14</f>
        <v>473.79720173813996</v>
      </c>
      <c r="E9" s="482">
        <f>transport!E14</f>
        <v>403.9151624871389</v>
      </c>
      <c r="F9" s="482">
        <f>transport!F14</f>
        <v>0</v>
      </c>
      <c r="G9" s="482">
        <f>transport!G14</f>
        <v>158601.24696208228</v>
      </c>
      <c r="H9" s="482">
        <f>transport!H14</f>
        <v>35997.511066669358</v>
      </c>
      <c r="I9" s="482">
        <f>transport!I14</f>
        <v>0</v>
      </c>
      <c r="J9" s="482">
        <f>transport!J14</f>
        <v>0</v>
      </c>
      <c r="K9" s="482">
        <f>transport!K14</f>
        <v>0</v>
      </c>
      <c r="L9" s="482">
        <f>transport!L14</f>
        <v>0</v>
      </c>
      <c r="M9" s="482">
        <f>transport!M14</f>
        <v>11510.91983241142</v>
      </c>
      <c r="N9" s="482">
        <f>transport!N14</f>
        <v>0</v>
      </c>
      <c r="O9" s="482">
        <f>transport!O14</f>
        <v>0</v>
      </c>
      <c r="P9" s="482">
        <f>transport!P14</f>
        <v>0</v>
      </c>
      <c r="Q9" s="481">
        <f>SUM(B9:P9)</f>
        <v>207112.38130780085</v>
      </c>
    </row>
    <row r="10" spans="1:17">
      <c r="A10" s="477" t="s">
        <v>545</v>
      </c>
      <c r="B10" s="478">
        <f>transport!B54</f>
        <v>0</v>
      </c>
      <c r="C10" s="478">
        <f>transport!C54</f>
        <v>0</v>
      </c>
      <c r="D10" s="478">
        <f>transport!D54</f>
        <v>0</v>
      </c>
      <c r="E10" s="478">
        <f>transport!E54</f>
        <v>0</v>
      </c>
      <c r="F10" s="478">
        <f>transport!F54</f>
        <v>0</v>
      </c>
      <c r="G10" s="478">
        <f>transport!G54</f>
        <v>1702.7137178272012</v>
      </c>
      <c r="H10" s="478">
        <f>transport!H54</f>
        <v>0</v>
      </c>
      <c r="I10" s="478">
        <f>transport!I54</f>
        <v>0</v>
      </c>
      <c r="J10" s="478">
        <f>transport!J54</f>
        <v>0</v>
      </c>
      <c r="K10" s="478">
        <f>transport!K54</f>
        <v>0</v>
      </c>
      <c r="L10" s="478">
        <f>transport!L54</f>
        <v>0</v>
      </c>
      <c r="M10" s="478">
        <f>transport!M54</f>
        <v>94.637016831759226</v>
      </c>
      <c r="N10" s="478">
        <f>transport!N54</f>
        <v>0</v>
      </c>
      <c r="O10" s="478">
        <f>transport!O54</f>
        <v>0</v>
      </c>
      <c r="P10" s="479">
        <f>transport!P54</f>
        <v>0</v>
      </c>
      <c r="Q10" s="477">
        <f t="shared" si="0"/>
        <v>1797.3507346589604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970.46186399999999</v>
      </c>
      <c r="C14" s="485"/>
      <c r="D14" s="485">
        <f>'SEAP template'!E25</f>
        <v>1790.885775</v>
      </c>
      <c r="E14" s="485"/>
      <c r="F14" s="485"/>
      <c r="G14" s="485"/>
      <c r="H14" s="485"/>
      <c r="I14" s="485"/>
      <c r="J14" s="485"/>
      <c r="K14" s="485"/>
      <c r="L14" s="485"/>
      <c r="M14" s="485"/>
      <c r="N14" s="485"/>
      <c r="O14" s="485"/>
      <c r="P14" s="486"/>
      <c r="Q14" s="477">
        <f t="shared" si="0"/>
        <v>2761.3476390000001</v>
      </c>
    </row>
    <row r="15" spans="1:17" s="489" customFormat="1">
      <c r="A15" s="487" t="s">
        <v>549</v>
      </c>
      <c r="B15" s="488">
        <f ca="1">SUM(B4:B14)</f>
        <v>228618.18774424438</v>
      </c>
      <c r="C15" s="488">
        <f t="shared" ref="C15:Q15" ca="1" si="1">SUM(C4:C14)</f>
        <v>7547.468468468468</v>
      </c>
      <c r="D15" s="488">
        <f t="shared" ca="1" si="1"/>
        <v>201328.97030314885</v>
      </c>
      <c r="E15" s="488">
        <f t="shared" si="1"/>
        <v>25015.652426363606</v>
      </c>
      <c r="F15" s="488">
        <f t="shared" ca="1" si="1"/>
        <v>67592.513280990825</v>
      </c>
      <c r="G15" s="488">
        <f t="shared" si="1"/>
        <v>160303.96067990948</v>
      </c>
      <c r="H15" s="488">
        <f t="shared" si="1"/>
        <v>35997.511066669358</v>
      </c>
      <c r="I15" s="488">
        <f t="shared" si="1"/>
        <v>0</v>
      </c>
      <c r="J15" s="488">
        <f t="shared" si="1"/>
        <v>2129.4368547022314</v>
      </c>
      <c r="K15" s="488">
        <f t="shared" si="1"/>
        <v>0</v>
      </c>
      <c r="L15" s="488">
        <f t="shared" ca="1" si="1"/>
        <v>0</v>
      </c>
      <c r="M15" s="488">
        <f t="shared" si="1"/>
        <v>11605.556849243179</v>
      </c>
      <c r="N15" s="488">
        <f t="shared" ca="1" si="1"/>
        <v>44336.998989234737</v>
      </c>
      <c r="O15" s="488">
        <f t="shared" si="1"/>
        <v>488.73252716577127</v>
      </c>
      <c r="P15" s="488">
        <f t="shared" si="1"/>
        <v>2349.0729256137602</v>
      </c>
      <c r="Q15" s="488">
        <f t="shared" ca="1" si="1"/>
        <v>787314.0621157547</v>
      </c>
    </row>
    <row r="17" spans="1:17">
      <c r="A17" s="490" t="s">
        <v>550</v>
      </c>
      <c r="B17" s="807">
        <f ca="1">huishoudens!B10</f>
        <v>0.19226337998186652</v>
      </c>
      <c r="C17" s="807">
        <f ca="1">huishoudens!C10</f>
        <v>0.23686697203097465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7804.4286079338335</v>
      </c>
      <c r="C22" s="478">
        <f t="shared" ref="C22:C32" ca="1" si="3">C4*$C$17</f>
        <v>0</v>
      </c>
      <c r="D22" s="478">
        <f t="shared" ref="D22:D32" si="4">D4*$D$17</f>
        <v>20292.965002905323</v>
      </c>
      <c r="E22" s="478">
        <f t="shared" ref="E22:E32" si="5">E4*$E$17</f>
        <v>3940.5099088988795</v>
      </c>
      <c r="F22" s="478">
        <f t="shared" ref="F22:F32" si="6">F4*$F$17</f>
        <v>6700.6226165763437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38738.52613631438</v>
      </c>
    </row>
    <row r="23" spans="1:17">
      <c r="A23" s="477" t="s">
        <v>155</v>
      </c>
      <c r="B23" s="478">
        <f t="shared" ca="1" si="2"/>
        <v>7187.7675005106148</v>
      </c>
      <c r="C23" s="478">
        <f t="shared" ca="1" si="3"/>
        <v>7.6907078126093023</v>
      </c>
      <c r="D23" s="478">
        <f t="shared" ca="1" si="4"/>
        <v>7607.6266889710023</v>
      </c>
      <c r="E23" s="478">
        <f t="shared" si="5"/>
        <v>119.73786246706065</v>
      </c>
      <c r="F23" s="478">
        <f t="shared" ca="1" si="6"/>
        <v>1179.6772205248972</v>
      </c>
      <c r="G23" s="478">
        <f t="shared" si="7"/>
        <v>0</v>
      </c>
      <c r="H23" s="478">
        <f t="shared" si="8"/>
        <v>0</v>
      </c>
      <c r="I23" s="478">
        <f t="shared" si="9"/>
        <v>0</v>
      </c>
      <c r="J23" s="478">
        <f t="shared" si="10"/>
        <v>5.0293916793374145E-2</v>
      </c>
      <c r="K23" s="478">
        <f t="shared" si="11"/>
        <v>0</v>
      </c>
      <c r="L23" s="478">
        <f t="shared" ca="1" si="12"/>
        <v>0</v>
      </c>
      <c r="M23" s="478">
        <f t="shared" si="13"/>
        <v>0</v>
      </c>
      <c r="N23" s="478">
        <f t="shared" ca="1" si="14"/>
        <v>0</v>
      </c>
      <c r="O23" s="478">
        <f t="shared" si="15"/>
        <v>0</v>
      </c>
      <c r="P23" s="479">
        <f t="shared" si="16"/>
        <v>0</v>
      </c>
      <c r="Q23" s="477">
        <f t="shared" ref="Q23:Q31" ca="1" si="17">SUM(B23:P23)</f>
        <v>16102.550274202975</v>
      </c>
    </row>
    <row r="24" spans="1:17">
      <c r="A24" s="477" t="s">
        <v>193</v>
      </c>
      <c r="B24" s="478">
        <f t="shared" ca="1" si="2"/>
        <v>399.97089275091639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399.97089275091639</v>
      </c>
    </row>
    <row r="25" spans="1:17">
      <c r="A25" s="477" t="s">
        <v>111</v>
      </c>
      <c r="B25" s="478">
        <f t="shared" ca="1" si="2"/>
        <v>729.68509633618976</v>
      </c>
      <c r="C25" s="478">
        <f t="shared" ca="1" si="3"/>
        <v>1780.0552948127745</v>
      </c>
      <c r="D25" s="478">
        <f t="shared" si="4"/>
        <v>76.344407943159354</v>
      </c>
      <c r="E25" s="478">
        <f t="shared" si="5"/>
        <v>26.887717729207072</v>
      </c>
      <c r="F25" s="478">
        <f t="shared" si="6"/>
        <v>3581.2144056187117</v>
      </c>
      <c r="G25" s="478">
        <f t="shared" si="7"/>
        <v>0</v>
      </c>
      <c r="H25" s="478">
        <f t="shared" si="8"/>
        <v>0</v>
      </c>
      <c r="I25" s="478">
        <f t="shared" si="9"/>
        <v>0</v>
      </c>
      <c r="J25" s="478">
        <f t="shared" si="10"/>
        <v>370.14739754916923</v>
      </c>
      <c r="K25" s="478">
        <f t="shared" si="11"/>
        <v>0</v>
      </c>
      <c r="L25" s="478">
        <f t="shared" si="12"/>
        <v>0</v>
      </c>
      <c r="M25" s="478">
        <f t="shared" si="13"/>
        <v>0</v>
      </c>
      <c r="N25" s="478">
        <f t="shared" si="14"/>
        <v>0</v>
      </c>
      <c r="O25" s="478">
        <f t="shared" si="15"/>
        <v>0</v>
      </c>
      <c r="P25" s="479">
        <f t="shared" si="16"/>
        <v>0</v>
      </c>
      <c r="Q25" s="477">
        <f t="shared" ca="1" si="17"/>
        <v>6564.3343199892106</v>
      </c>
    </row>
    <row r="26" spans="1:17">
      <c r="A26" s="477" t="s">
        <v>629</v>
      </c>
      <c r="B26" s="478">
        <f t="shared" ca="1" si="2"/>
        <v>27622.437917417436</v>
      </c>
      <c r="C26" s="478">
        <f t="shared" ca="1" si="3"/>
        <v>0</v>
      </c>
      <c r="D26" s="478">
        <f t="shared" si="4"/>
        <v>12234.049940115478</v>
      </c>
      <c r="E26" s="478">
        <f t="shared" si="5"/>
        <v>1499.7288698048112</v>
      </c>
      <c r="F26" s="478">
        <f t="shared" si="6"/>
        <v>6585.6868033045985</v>
      </c>
      <c r="G26" s="478">
        <f t="shared" si="7"/>
        <v>0</v>
      </c>
      <c r="H26" s="478">
        <f t="shared" si="8"/>
        <v>0</v>
      </c>
      <c r="I26" s="478">
        <f t="shared" si="9"/>
        <v>0</v>
      </c>
      <c r="J26" s="478">
        <f t="shared" si="10"/>
        <v>383.62295509862713</v>
      </c>
      <c r="K26" s="478">
        <f t="shared" si="11"/>
        <v>0</v>
      </c>
      <c r="L26" s="478">
        <f t="shared" si="12"/>
        <v>0</v>
      </c>
      <c r="M26" s="478">
        <f t="shared" si="13"/>
        <v>0</v>
      </c>
      <c r="N26" s="478">
        <f t="shared" si="14"/>
        <v>0</v>
      </c>
      <c r="O26" s="478">
        <f t="shared" si="15"/>
        <v>0</v>
      </c>
      <c r="P26" s="479">
        <f t="shared" si="16"/>
        <v>0</v>
      </c>
      <c r="Q26" s="477">
        <f t="shared" ca="1" si="17"/>
        <v>48325.526485740949</v>
      </c>
    </row>
    <row r="27" spans="1:17" s="483" customFormat="1">
      <c r="A27" s="481" t="s">
        <v>555</v>
      </c>
      <c r="B27" s="801">
        <f t="shared" ca="1" si="2"/>
        <v>24.031207972219278</v>
      </c>
      <c r="C27" s="482">
        <f t="shared" ca="1" si="3"/>
        <v>0</v>
      </c>
      <c r="D27" s="482">
        <f t="shared" si="4"/>
        <v>95.707034751104274</v>
      </c>
      <c r="E27" s="482">
        <f t="shared" si="5"/>
        <v>91.688741884580537</v>
      </c>
      <c r="F27" s="482">
        <f t="shared" si="6"/>
        <v>0</v>
      </c>
      <c r="G27" s="482">
        <f t="shared" si="7"/>
        <v>42346.532938875971</v>
      </c>
      <c r="H27" s="482">
        <f t="shared" si="8"/>
        <v>8963.3802556006704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51521.340179084546</v>
      </c>
    </row>
    <row r="28" spans="1:17" ht="16.5" customHeight="1">
      <c r="A28" s="477" t="s">
        <v>545</v>
      </c>
      <c r="B28" s="478">
        <f t="shared" ca="1" si="2"/>
        <v>0</v>
      </c>
      <c r="C28" s="478">
        <f t="shared" ca="1" si="3"/>
        <v>0</v>
      </c>
      <c r="D28" s="478">
        <f t="shared" si="4"/>
        <v>0</v>
      </c>
      <c r="E28" s="478">
        <f t="shared" si="5"/>
        <v>0</v>
      </c>
      <c r="F28" s="478">
        <f t="shared" si="6"/>
        <v>0</v>
      </c>
      <c r="G28" s="478">
        <f t="shared" si="7"/>
        <v>454.62456265986276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454.62456265986276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186.58427811614246</v>
      </c>
      <c r="C32" s="478">
        <f t="shared" ca="1" si="3"/>
        <v>0</v>
      </c>
      <c r="D32" s="478">
        <f t="shared" si="4"/>
        <v>361.75892655000001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548.34320466614247</v>
      </c>
    </row>
    <row r="33" spans="1:17" s="489" customFormat="1">
      <c r="A33" s="487" t="s">
        <v>549</v>
      </c>
      <c r="B33" s="488">
        <f ca="1">SUM(B22:B32)</f>
        <v>43954.905501037349</v>
      </c>
      <c r="C33" s="488">
        <f t="shared" ref="C33:Q33" ca="1" si="19">SUM(C22:C32)</f>
        <v>1787.7460026253839</v>
      </c>
      <c r="D33" s="488">
        <f t="shared" ca="1" si="19"/>
        <v>40668.452001236066</v>
      </c>
      <c r="E33" s="488">
        <f t="shared" si="19"/>
        <v>5678.5531007845393</v>
      </c>
      <c r="F33" s="488">
        <f t="shared" ca="1" si="19"/>
        <v>18047.201046024551</v>
      </c>
      <c r="G33" s="488">
        <f t="shared" si="19"/>
        <v>42801.157501535832</v>
      </c>
      <c r="H33" s="488">
        <f t="shared" si="19"/>
        <v>8963.3802556006704</v>
      </c>
      <c r="I33" s="488">
        <f t="shared" si="19"/>
        <v>0</v>
      </c>
      <c r="J33" s="488">
        <f t="shared" si="19"/>
        <v>753.82064656458965</v>
      </c>
      <c r="K33" s="488">
        <f t="shared" si="19"/>
        <v>0</v>
      </c>
      <c r="L33" s="488">
        <f t="shared" ca="1" si="19"/>
        <v>0</v>
      </c>
      <c r="M33" s="488">
        <f t="shared" si="19"/>
        <v>0</v>
      </c>
      <c r="N33" s="488">
        <f t="shared" ca="1" si="19"/>
        <v>0</v>
      </c>
      <c r="O33" s="488">
        <f t="shared" si="19"/>
        <v>0</v>
      </c>
      <c r="P33" s="488">
        <f t="shared" si="19"/>
        <v>0</v>
      </c>
      <c r="Q33" s="488">
        <f t="shared" ca="1" si="19"/>
        <v>162655.21605540896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20005.280176879856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15384.41068967655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5283.166666666667</v>
      </c>
      <c r="D8" s="1062">
        <f>'SEAP template'!D76</f>
        <v>6195.0875795460934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1251.4076910683109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35389.690866556404</v>
      </c>
      <c r="C10" s="1064">
        <f>SUM(C4:C9)</f>
        <v>5283.166666666667</v>
      </c>
      <c r="D10" s="1064">
        <f t="shared" ref="D10:H10" si="0">SUM(D8:D9)</f>
        <v>6195.0875795460934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1251.4076910683109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0.19226337998186652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7547.468468468468</v>
      </c>
      <c r="D17" s="1063">
        <f>'SEAP template'!D87</f>
        <v>8850.2277357692255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1787.7460026253837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7547.468468468468</v>
      </c>
      <c r="D20" s="1064">
        <f t="shared" ref="D20:H20" si="2">SUM(D17:D19)</f>
        <v>8850.2277357692255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1787.7460026253837</v>
      </c>
    </row>
    <row r="21" spans="1:16">
      <c r="B21" s="913"/>
    </row>
    <row r="22" spans="1:16">
      <c r="A22" s="490" t="s">
        <v>815</v>
      </c>
      <c r="B22" s="807" t="s">
        <v>813</v>
      </c>
      <c r="C22" s="807">
        <f ca="1">'EF ele_warmte'!B22</f>
        <v>0.23686697203097465</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0.19226337998186652</v>
      </c>
      <c r="C17" s="527">
        <f ca="1">'EF ele_warmte'!B22</f>
        <v>0.23686697203097465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3</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4.6900000000000004</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2019-06-29T17:08:38Z</dcterms:modified>
</cp:coreProperties>
</file>