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<sst xmlns="http://schemas.openxmlformats.org/spreadsheetml/2006/main" count="2401" uniqueCount="900">
  <si>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</si>
  <si>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</si>
  <si>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</si>
  <si>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</si>
  <si>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</si>
  <si>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</si>
  <si>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</si>
  <si>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</si>
  <si>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</si>
  <si>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</si>
  <si>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</si>
  <si>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</si>
  <si>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</si>
  <si>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</si>
  <si>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</si>
  <si>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</si>
  <si>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</si>
  <si>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</si>
  <si>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</si>
  <si>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</si>
  <si>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</si>
  <si>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</si>
  <si>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</si>
  <si>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</si>
  <si>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</si>
  <si>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</si>
  <si>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</si>
  <si>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</si>
  <si>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</si>
  <si>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</si>
  <si>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</si>
  <si>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</si>
  <si>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</si>
  <si>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</si>
  <si>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</si>
  <si>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</si>
  <si>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</si>
  <si>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</si>
  <si>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</si>
  <si>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</si>
  <si>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</si>
  <si>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</si>
  <si>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</si>
  <si>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</si>
  <si>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</si>
  <si>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</si>
  <si>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</si>
  <si>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</si>
  <si>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</si>
  <si>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</si>
  <si>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</si>
  <si>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</si>
  <si>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</si>
  <si>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</si>
  <si>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</si>
  <si>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</si>
  <si>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</si>
  <si>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</si>
  <si>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</si>
  <si>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</si>
  <si>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</si>
  <si>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</si>
  <si>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</si>
  <si>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</si>
  <si>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</si>
  <si>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</si>
  <si>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</si>
  <si>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</si>
  <si>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</si>
  <si>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</si>
  <si>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</si>
  <si>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</si>
  <si>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</si>
  <si>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</si>
  <si>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</si>
  <si>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</si>
  <si>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</si>
  <si>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</si>
  <si>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</si>
  <si>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</si>
  <si>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</si>
  <si>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</si>
  <si>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</si>
  <si>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</si>
  <si>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</si>
  <si>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</si>
  <si>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</si>
  <si>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</si>
  <si>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</si>
  <si>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</si>
  <si>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</si>
  <si>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</si>
  <si>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</si>
  <si>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</si>
  <si>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</si>
  <si>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</si>
  <si>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</si>
  <si>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</si>
  <si>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</si>
  <si>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</si>
  <si>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</si>
  <si>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</si>
  <si>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</si>
  <si>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</si>
  <si>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</si>
  <si>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</si>
  <si>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</si>
  <si>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</si>
  <si>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</si>
  <si>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</si>
  <si>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</si>
  <si>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</si>
  <si>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</si>
  <si>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</si>
  <si>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</si>
  <si>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</si>
  <si>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</si>
  <si>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</si>
  <si>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</si>
  <si>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</si>
  <si>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</si>
  <si>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</si>
  <si>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</si>
  <si>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</si>
  <si>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</si>
  <si>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</si>
  <si>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</si>
  <si>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</si>
  <si>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</si>
  <si>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</si>
  <si>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</si>
  <si>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</si>
  <si>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</si>
  <si>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</si>
  <si>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</si>
  <si>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</si>
  <si>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</si>
  <si>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</si>
  <si>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</si>
  <si>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</si>
  <si>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</si>
  <si>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</si>
  <si>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</si>
  <si>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</si>
  <si>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</si>
  <si>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</si>
  <si>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</si>
  <si>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</si>
  <si>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</si>
  <si>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</si>
  <si>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</si>
  <si>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</si>
  <si>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</si>
  <si>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</si>
  <si>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</si>
  <si>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</si>
  <si>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</si>
  <si>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</si>
  <si>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</si>
  <si>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</si>
  <si>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</si>
  <si>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</si>
  <si>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</si>
  <si>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</si>
  <si>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</si>
  <si>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</si>
  <si>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</si>
  <si>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</si>
  <si>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</si>
  <si>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</si>
  <si>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</si>
  <si>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</si>
  <si>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</si>
  <si>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</si>
  <si>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</si>
  <si>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</si>
  <si>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</si>
  <si>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</si>
  <si>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</si>
  <si>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</si>
  <si>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</si>
  <si>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</si>
  <si>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</si>
  <si>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</si>
  <si>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</si>
  <si>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</si>
  <si>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</si>
  <si>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</si>
  <si>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</si>
  <si>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</si>
  <si>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</si>
  <si>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</si>
  <si>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</si>
  <si>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</si>
  <si>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</si>
  <si>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</si>
  <si>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</si>
  <si>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</si>
  <si>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</si>
  <si>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</si>
  <si>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</si>
  <si>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</si>
  <si>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</si>
  <si>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</si>
  <si>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</si>
  <si>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</si>
  <si>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</si>
  <si>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</si>
  <si>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</si>
  <si>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</si>
  <si>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</si>
  <si>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</si>
  <si>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</si>
  <si>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</si>
  <si>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</si>
  <si>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</si>
  <si>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</si>
  <si>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</si>
  <si>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</si>
  <si>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</si>
  <si>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</si>
  <si>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</si>
  <si>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</si>
  <si>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</si>
  <si>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</si>
  <si>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</si>
  <si>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</si>
  <si>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</si>
  <si>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</si>
  <si>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</si>
  <si>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</si>
  <si>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</si>
  <si>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</si>
  <si>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</si>
  <si>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</si>
  <si>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</si>
  <si>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</si>
  <si>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</si>
  <si>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</si>
  <si>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</si>
  <si>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</si>
  <si>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</si>
  <si>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</si>
  <si>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</si>
  <si>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</si>
  <si>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</si>
  <si>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</si>
  <si>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</si>
  <si>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</si>
  <si>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</si>
  <si>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</si>
  <si>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</si>
  <si>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</si>
  <si>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</si>
  <si>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</si>
  <si>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</si>
  <si>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</si>
  <si>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</si>
  <si>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</si>
  <si>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</si>
  <si>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</si>
  <si>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</si>
  <si>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</si>
  <si>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</si>
  <si>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</si>
  <si>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</si>
  <si>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</si>
  <si>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</si>
  <si>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</si>
  <si>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</si>
  <si>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</si>
  <si>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</si>
  <si>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</si>
  <si>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</si>
  <si>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</si>
  <si>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</si>
  <si>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</si>
  <si>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</si>
  <si>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</si>
  <si>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</si>
  <si>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</si>
  <si>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</si>
  <si>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</si>
  <si>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</si>
  <si>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</si>
  <si>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</si>
  <si>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</si>
  <si>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</si>
  <si>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</si>
  <si>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</si>
  <si>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</si>
  <si>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</si>
  <si>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</si>
  <si>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</si>
  <si>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</si>
  <si>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</si>
  <si>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</si>
  <si>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</si>
  <si>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</si>
  <si>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</si>
  <si>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</si>
  <si>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</si>
  <si>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</si>
  <si>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</si>
  <si>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</si>
  <si>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</si>
  <si>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</si>
  <si>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</si>
  <si>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</si>
  <si>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</si>
  <si>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</si>
  <si>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</si>
  <si>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</si>
  <si>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</si>
  <si>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</si>
  <si>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</si>
  <si>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</si>
  <si>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</si>
  <si>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</si>
  <si>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</si>
  <si>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</si>
  <si>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</si>
  <si>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</si>
  <si>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</si>
  <si>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</si>
  <si>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</si>
  <si>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</si>
  <si>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</si>
  <si>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</si>
  <si>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</si>
  <si>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</si>
  <si>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</si>
  <si>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</si>
  <si>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</si>
  <si>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</si>
  <si>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</si>
  <si>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</si>
  <si>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</si>
  <si>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</si>
  <si>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</si>
  <si>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</si>
  <si>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</si>
  <si>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</si>
  <si>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</si>
  <si>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</si>
  <si>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</si>
  <si>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</si>
  <si>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</si>
  <si>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</si>
  <si>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</si>
  <si>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</si>
  <si>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</si>
  <si>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</si>
  <si>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</si>
  <si>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</si>
  <si>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</si>
  <si>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</si>
  <si>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</si>
  <si>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</si>
  <si>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</si>
  <si>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</si>
  <si>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</si>
  <si>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</si>
  <si>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</si>
  <si>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</si>
  <si>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</si>
  <si>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</si>
  <si>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</si>
  <si>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</si>
  <si>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</si>
  <si>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</si>
  <si>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</si>
  <si>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</si>
  <si>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</si>
  <si>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</si>
  <si>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</si>
  <si>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</si>
  <si>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</si>
  <si>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</si>
  <si>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</si>
  <si>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</si>
  <si>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</si>
  <si>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</si>
  <si>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</si>
  <si>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</si>
  <si>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</si>
  <si>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</si>
  <si>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</si>
  <si>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</si>
  <si>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</si>
  <si>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</si>
  <si>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</si>
  <si>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</si>
  <si>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</si>
  <si>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</si>
  <si>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</si>
  <si>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</si>
  <si>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</si>
  <si>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</si>
  <si>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</si>
  <si>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</si>
  <si>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</si>
  <si>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</si>
  <si>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</si>
  <si>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</si>
  <si>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</si>
  <si>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</si>
  <si>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</si>
  <si>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</si>
  <si>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</si>
  <si>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</si>
  <si>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</si>
  <si>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</si>
  <si>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</si>
  <si>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</si>
  <si>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</si>
  <si>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</si>
  <si>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</si>
  <si>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</si>
  <si>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</si>
  <si>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</si>
  <si>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</si>
  <si>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</si>
  <si>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</si>
  <si>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</si>
  <si>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</si>
  <si>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</si>
  <si>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</si>
  <si>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</si>
  <si>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</si>
  <si>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</si>
  <si>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</si>
  <si>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</si>
  <si>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</si>
  <si>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</si>
  <si>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</si>
  <si>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</si>
  <si>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</si>
  <si>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</si>
  <si>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</si>
  <si>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</si>
  <si>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</si>
  <si>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</si>
  <si>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</si>
  <si>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</si>
  <si>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</si>
  <si>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</si>
  <si>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</si>
  <si>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</si>
  <si>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</si>
  <si>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</si>
  <si>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</si>
  <si>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</si>
  <si>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</si>
  <si>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</si>
  <si>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</si>
  <si>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</si>
  <si>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</si>
  <si>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</si>
  <si>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</si>
  <si>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</si>
  <si>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</si>
  <si>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</si>
  <si>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</si>
  <si>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</si>
  <si>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</si>
  <si>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</si>
  <si>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</si>
  <si>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</si>
  <si>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</si>
  <si>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</si>
  <si>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</si>
  <si>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</si>
  <si>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</si>
  <si>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</si>
  <si>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</si>
  <si>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</si>
  <si>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</si>
  <si>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</si>
  <si>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</si>
  <si>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</si>
  <si>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</si>
  <si>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</si>
  <si>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</si>
  <si>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</si>
  <si>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</si>
  <si>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</si>
  <si>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</si>
  <si>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</si>
  <si>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</si>
  <si>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</si>
  <si>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</si>
  <si>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</si>
  <si>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</si>
  <si>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</si>
  <si>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</si>
  <si>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</si>
  <si>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</si>
  <si>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</si>
  <si>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</si>
  <si>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</si>
  <si>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</si>
  <si>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</si>
  <si>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</si>
  <si>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</si>
  <si>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</si>
  <si>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</si>
  <si>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</si>
  <si>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</si>
  <si>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</si>
  <si>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</si>
  <si>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</si>
  <si>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</si>
  <si>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</si>
  <si>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</si>
  <si>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</si>
  <si>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</si>
  <si>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</si>
  <si>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</si>
  <si>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</si>
  <si>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</si>
  <si>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</si>
  <si>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</si>
  <si>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</si>
  <si>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</si>
  <si>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</si>
  <si>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</si>
  <si>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</si>
  <si>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</si>
  <si>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</si>
  <si>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</si>
  <si>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</si>
  <si>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</si>
  <si>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</si>
  <si>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</si>
  <si>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</si>
  <si>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</si>
  <si>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</si>
  <si>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</si>
  <si>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</si>
  <si>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</si>
  <si>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</si>
  <si>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</si>
  <si>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</si>
  <si>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</si>
  <si>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</si>
  <si>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</si>
  <si>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</si>
  <si>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</si>
  <si>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</si>
  <si>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</si>
  <si>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</si>
  <si>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</si>
  <si>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</si>
  <si>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</si>
  <si>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</si>
  <si>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</si>
  <si>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</si>
  <si>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</si>
  <si>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</si>
  <si>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</si>
  <si>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</si>
  <si>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</si>
  <si>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</si>
  <si>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</si>
  <si>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</si>
  <si>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</si>
  <si>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</si>
  <si>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</si>
  <si>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</si>
  <si>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</si>
  <si>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</si>
  <si>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</si>
  <si>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</si>
  <si>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</si>
  <si>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</si>
  <si>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</si>
  <si>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</si>
  <si>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</si>
  <si>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</si>
  <si>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</si>
  <si>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</si>
  <si>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</si>
  <si>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</si>
  <si>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</si>
  <si>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</si>
  <si>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</si>
  <si>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</si>
  <si>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</si>
  <si>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</si>
  <si>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</si>
  <si>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</si>
  <si>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</si>
  <si>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</si>
  <si>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</si>
  <si>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</si>
  <si>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</si>
  <si>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</si>
  <si>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</si>
  <si>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</si>
  <si>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</si>
  <si>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</si>
  <si>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</si>
  <si>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</si>
  <si>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</si>
  <si>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</si>
  <si>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</si>
  <si>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</si>
  <si>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</si>
  <si>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</si>
  <si>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</si>
  <si>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</si>
  <si>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</si>
  <si>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</si>
  <si>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</si>
  <si>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</si>
  <si>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</si>
  <si>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</si>
  <si>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</si>
  <si>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</si>
  <si>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</si>
  <si>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</si>
  <si>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</si>
  <si>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</si>
  <si>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</si>
  <si>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</si>
  <si>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</si>
  <si>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</si>
  <si>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</si>
  <si>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</si>
  <si>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</si>
  <si>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</si>
  <si>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</si>
  <si>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</si>
  <si>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</si>
  <si>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</si>
  <si>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</si>
  <si>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</si>
  <si>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</si>
  <si>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</si>
  <si>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</si>
  <si>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</si>
  <si>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</si>
  <si>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</si>
  <si>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</si>
  <si>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</si>
  <si>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</si>
  <si>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</si>
  <si>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</si>
  <si>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</si>
  <si>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</si>
  <si>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</si>
  <si>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</si>
  <si>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</si>
  <si>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</si>
  <si>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</si>
  <si>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</si>
  <si>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</si>
  <si>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</si>
  <si>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</si>
  <si>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</si>
  <si>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</si>
  <si>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</si>
  <si>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</si>
  <si>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</si>
  <si>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</si>
  <si>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</si>
  <si>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</si>
  <si>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</si>
  <si>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</si>
  <si>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</si>
  <si>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</si>
  <si>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</si>
  <si>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</si>
  <si>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</si>
  <si>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</si>
  <si>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</si>
  <si>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</si>
  <si>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</si>
  <si>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</si>
  <si>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</si>
  <si>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</si>
  <si>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</si>
  <si>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</si>
  <si>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</si>
  <si>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</si>
  <si>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</si>
  <si>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</si>
  <si>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</si>
  <si>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</si>
  <si>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</si>
  <si>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</si>
  <si>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</si>
  <si>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</si>
  <si>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</si>
  <si>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</si>
  <si>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</si>
  <si>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</si>
  <si>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</si>
  <si>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</si>
  <si>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</si>
  <si>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</si>
  <si>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</si>
  <si>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</si>
  <si>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</si>
  <si>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</si>
  <si>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</si>
  <si>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</si>
  <si>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</si>
  <si>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</si>
  <si>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</si>
  <si>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</si>
  <si>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</si>
  <si>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</si>
  <si>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</si>
  <si>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</si>
  <si>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</si>
  <si>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</si>
  <si>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</si>
  <si>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</si>
  <si>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</si>
  <si>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</si>
  <si>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</si>
  <si>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</si>
  <si>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</si>
  <si>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</si>
  <si>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</si>
  <si>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</si>
  <si>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</si>
  <si>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</si>
  <si>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</si>
  <si>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</si>
  <si>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</si>
  <si>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</si>
  <si>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</si>
  <si>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</si>
  <si>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</si>
  <si>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</si>
  <si>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</si>
  <si>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</si>
  <si>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</si>
  <si>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</si>
  <si>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</si>
  <si>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</si>
  <si>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</si>
  <si>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</si>
  <si>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</si>
  <si>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</si>
  <si>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</si>
  <si>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</si>
  <si>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</si>
  <si>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</si>
  <si>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</si>
  <si>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</si>
  <si>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</si>
  <si>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</si>
  <si>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</si>
  <si>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</si>
  <si>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</si>
  <si>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</si>
  <si>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</si>
  <si>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</si>
  <si>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</si>
  <si>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</si>
  <si>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</si>
  <si>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</si>
  <si>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</si>
  <si>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</si>
  <si>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</si>
  <si>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</si>
  <si>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</si>
  <si>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</si>
  <si>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</si>
  <si>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</si>
  <si>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</si>
  <si>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</si>
  <si>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</si>
  <si>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</si>
  <si>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</si>
  <si>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</si>
  <si>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</si>
  <si>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</si>
  <si>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</si>
  <si>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</si>
  <si>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</si>
  <si>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</si>
  <si>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</si>
  <si>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</si>
  <si>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</si>
  <si>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</si>
  <si>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</si>
  <si>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</si>
  <si>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</si>
  <si>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</si>
  <si>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</si>
  <si>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</si>
  <si>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</si>
  <si>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</si>
  <si>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</si>
  <si>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</si>
  <si>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</si>
  <si>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</si>
  <si>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</si>
  <si>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</si>
  <si>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</si>
  <si>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</si>
  <si>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</si>
  <si>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</si>
  <si>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</si>
  <si>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</si>
  <si>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</si>
  <si>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</si>
  <si>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</si>
  <si>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</si>
  <si>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</si>
  <si>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</si>
  <si>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</si>
  <si>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</si>
  <si>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</si>
  <si>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</si>
  <si>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</si>
  <si>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</si>
  <si>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</si>
  <si>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</si>
  <si>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</si>
  <si>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</si>
  <si>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</si>
  <si>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</si>
  <si>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</si>
  <si>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</si>
  <si>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</si>
  <si>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</si>
  <si>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</si>
  <si>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</si>
  <si>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</si>
  <si>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</si>
  <si>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</si>
  <si>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</si>
  <si>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</si>
  <si>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</si>
  <si>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</si>
  <si>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</si>
  <si>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</si>
  <si>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</si>
  <si>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</si>
  <si>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</si>
  <si>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</si>
  <si>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</si>
  <si>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</si>
  <si>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</si>
  <si>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</si>
  <si>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</si>
  <si>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</si>
  <si>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</si>
  <si>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</si>
  <si>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</si>
  <si>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</si>
  <si>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</si>
  <si>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</si>
  <si>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</si>
  <si>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</si>
  <si>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</si>
  <si>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</si>
  <si>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</si>
  <si>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</si>
  <si>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</si>
  <si>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</si>
  <si>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</si>
  <si>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</si>
  <si>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</si>
  <si>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</si>
  <si>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</si>
  <si>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</si>
  <si>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</si>
  <si>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13001</t>
  </si>
  <si>
    <t>ARENDONK</t>
  </si>
  <si>
    <t>Mestbank (maart 2019)</t>
  </si>
  <si>
    <t>Fluvius (februari 2019)</t>
  </si>
  <si>
    <t>referentietaak LNE (2017); Jaarverslag De Lijn (2018)</t>
  </si>
  <si>
    <t>VEA (30 april 2019)</t>
  </si>
  <si>
    <t>VEA (mei 2018)</t>
  </si>
  <si>
    <t>VEA (mei 2019)</t>
  </si>
  <si>
    <t>Biogas De Biezen</t>
  </si>
  <si>
    <t>De Biezen 6 , 2370 Arendonk</t>
  </si>
  <si>
    <t>WKK-0237 Biogas De Biezen</t>
  </si>
  <si>
    <t>interne verbrandingsmotor</t>
  </si>
  <si>
    <t>WKK interne verbrandinsgmotor (gas)</t>
  </si>
  <si>
    <t>IVEKA</t>
  </si>
  <si>
    <t>Arbio bvba</t>
  </si>
  <si>
    <t>Watering 20 A, 2370 Arendonk</t>
  </si>
  <si>
    <t>WKK-0531 Arbio</t>
  </si>
  <si>
    <t>Van Lint</t>
  </si>
  <si>
    <t>WKK-0829</t>
  </si>
  <si>
    <t>Brandstofcel</t>
  </si>
  <si>
    <t>brandstofcel</t>
  </si>
  <si>
    <t>Madritten 5</t>
  </si>
  <si>
    <t>IVEKA (via EANDIS)</t>
  </si>
  <si>
    <t>Van Lint II</t>
  </si>
  <si>
    <t>WKK-0850</t>
  </si>
  <si>
    <t>Madritten  3</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</si>
</sst>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123031.16941927107</c:v>
                </c:pt>
                <c:pt idx="1">
                  <c:v>89721.238297747332</c:v>
                </c:pt>
                <c:pt idx="2">
                  <c:v>841.68100000000004</c:v>
                </c:pt>
                <c:pt idx="3">
                  <c:v>72048.027189465836</c:v>
                </c:pt>
                <c:pt idx="4">
                  <c:v>29342.182148383599</c:v>
                </c:pt>
                <c:pt idx="5">
                  <c:v>97395.81533119113</c:v>
                </c:pt>
                <c:pt idx="6">
                  <c:v>726.78802505317219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797632"/>
        <c:axId val="181799168"/>
      </c:barChart>
      <c:catAx>
        <c:axId val="181797632"/>
        <c:scaling>
          <c:orientation val="minMax"/>
        </c:scaling>
        <c:axPos val="b"/>
        <c:numFmt formatCode="General" sourceLinked="0"/>
        <c:tickLblPos val="nextTo"/>
        <c:crossAx val="181799168"/>
        <c:crosses val="autoZero"/>
        <c:auto val="1"/>
        <c:lblAlgn val="ctr"/>
        <c:lblOffset val="100"/>
      </c:catAx>
      <c:valAx>
        <c:axId val="181799168"/>
        <c:scaling>
          <c:orientation val="minMax"/>
        </c:scaling>
        <c:axPos val="l"/>
        <c:majorGridlines/>
        <c:numFmt formatCode="#,##0" sourceLinked="1"/>
        <c:tickLblPos val="nextTo"/>
        <c:crossAx val="18179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123031.16941927107</c:v>
                </c:pt>
                <c:pt idx="1">
                  <c:v>89721.238297747332</c:v>
                </c:pt>
                <c:pt idx="2">
                  <c:v>841.68100000000004</c:v>
                </c:pt>
                <c:pt idx="3">
                  <c:v>72048.027189465836</c:v>
                </c:pt>
                <c:pt idx="4">
                  <c:v>29342.182148383599</c:v>
                </c:pt>
                <c:pt idx="5">
                  <c:v>97395.81533119113</c:v>
                </c:pt>
                <c:pt idx="6">
                  <c:v>726.78802505317219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16373.955976076239</c:v>
                </c:pt>
                <c:pt idx="1">
                  <c:v>6998.9385001828414</c:v>
                </c:pt>
                <c:pt idx="2">
                  <c:v>46.187551637794492</c:v>
                </c:pt>
                <c:pt idx="3">
                  <c:v>6362.5197758122958</c:v>
                </c:pt>
                <c:pt idx="4">
                  <c:v>3701.1693802091959</c:v>
                </c:pt>
                <c:pt idx="5">
                  <c:v>24303.591125299485</c:v>
                </c:pt>
                <c:pt idx="6">
                  <c:v>183.83484183954712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48480"/>
        <c:axId val="182203520"/>
      </c:barChart>
      <c:catAx>
        <c:axId val="182148480"/>
        <c:scaling>
          <c:orientation val="minMax"/>
        </c:scaling>
        <c:axPos val="b"/>
        <c:numFmt formatCode="General" sourceLinked="0"/>
        <c:tickLblPos val="nextTo"/>
        <c:crossAx val="182203520"/>
        <c:crosses val="autoZero"/>
        <c:auto val="1"/>
        <c:lblAlgn val="ctr"/>
        <c:lblOffset val="100"/>
      </c:catAx>
      <c:valAx>
        <c:axId val="182203520"/>
        <c:scaling>
          <c:orientation val="minMax"/>
        </c:scaling>
        <c:axPos val="l"/>
        <c:majorGridlines/>
        <c:numFmt formatCode="#,##0" sourceLinked="1"/>
        <c:tickLblPos val="nextTo"/>
        <c:crossAx val="1821484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16373.955976076239</c:v>
                </c:pt>
                <c:pt idx="1">
                  <c:v>6998.9385001828414</c:v>
                </c:pt>
                <c:pt idx="2">
                  <c:v>46.187551637794492</c:v>
                </c:pt>
                <c:pt idx="3">
                  <c:v>6362.5197758122958</c:v>
                </c:pt>
                <c:pt idx="4">
                  <c:v>3701.1693802091959</c:v>
                </c:pt>
                <c:pt idx="5">
                  <c:v>24303.591125299485</c:v>
                </c:pt>
                <c:pt idx="6">
                  <c:v>183.83484183954712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13001</v>
      </c>
      <c r="B6" s="415"/>
      <c r="C6" s="416"/>
    </row>
    <row r="7" spans="1:7" s="413" customFormat="1" ht="15.75" customHeight="1">
      <c r="A7" s="417" t="str">
        <f>txtMunicipality</f>
        <v>ARENDONK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5.4875364464440197E-2</v>
      </c>
      <c r="C17" s="527">
        <f ca="1">'EF ele_warmte'!B22</f>
        <v>2.4548078159414226E-5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5.4875364464440197E-2</v>
      </c>
      <c r="C29" s="528">
        <f ca="1">'EF ele_warmte'!B22</f>
        <v>2.4548078159414226E-5</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5317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2449.54</v>
      </c>
    </row>
    <row r="15" spans="1:6">
      <c r="A15" s="348" t="s">
        <v>183</v>
      </c>
      <c r="B15" s="334">
        <v>4233</v>
      </c>
    </row>
    <row r="16" spans="1:6">
      <c r="A16" s="348" t="s">
        <v>6</v>
      </c>
      <c r="B16" s="334">
        <v>1704</v>
      </c>
    </row>
    <row r="17" spans="1:6">
      <c r="A17" s="348" t="s">
        <v>7</v>
      </c>
      <c r="B17" s="334">
        <v>126</v>
      </c>
    </row>
    <row r="18" spans="1:6">
      <c r="A18" s="348" t="s">
        <v>8</v>
      </c>
      <c r="B18" s="334">
        <v>815</v>
      </c>
    </row>
    <row r="19" spans="1:6">
      <c r="A19" s="348" t="s">
        <v>9</v>
      </c>
      <c r="B19" s="334">
        <v>758</v>
      </c>
    </row>
    <row r="20" spans="1:6">
      <c r="A20" s="348" t="s">
        <v>10</v>
      </c>
      <c r="B20" s="334">
        <v>508</v>
      </c>
    </row>
    <row r="21" spans="1:6">
      <c r="A21" s="348" t="s">
        <v>11</v>
      </c>
      <c r="B21" s="334">
        <v>20558</v>
      </c>
    </row>
    <row r="22" spans="1:6">
      <c r="A22" s="348" t="s">
        <v>12</v>
      </c>
      <c r="B22" s="334">
        <v>12643</v>
      </c>
    </row>
    <row r="23" spans="1:6">
      <c r="A23" s="348" t="s">
        <v>13</v>
      </c>
      <c r="B23" s="334">
        <v>825</v>
      </c>
    </row>
    <row r="24" spans="1:6">
      <c r="A24" s="348" t="s">
        <v>14</v>
      </c>
      <c r="B24" s="334">
        <v>11</v>
      </c>
    </row>
    <row r="25" spans="1:6">
      <c r="A25" s="348" t="s">
        <v>15</v>
      </c>
      <c r="B25" s="334">
        <v>5117</v>
      </c>
    </row>
    <row r="26" spans="1:6">
      <c r="A26" s="348" t="s">
        <v>16</v>
      </c>
      <c r="B26" s="334">
        <v>6</v>
      </c>
    </row>
    <row r="27" spans="1:6">
      <c r="A27" s="348" t="s">
        <v>17</v>
      </c>
      <c r="B27" s="334">
        <v>0</v>
      </c>
    </row>
    <row r="28" spans="1:6" s="356" customFormat="1">
      <c r="A28" s="355" t="s">
        <v>18</v>
      </c>
      <c r="B28" s="355">
        <v>336322</v>
      </c>
    </row>
    <row r="29" spans="1:6">
      <c r="A29" s="355" t="s">
        <v>713</v>
      </c>
      <c r="B29" s="355">
        <v>71</v>
      </c>
      <c r="C29" s="356"/>
      <c r="D29" s="356"/>
      <c r="E29" s="356"/>
      <c r="F29" s="356"/>
    </row>
    <row r="30" spans="1:6">
      <c r="A30" s="341" t="s">
        <v>714</v>
      </c>
      <c r="B30" s="341">
        <v>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219.63300000000001</v>
      </c>
    </row>
    <row r="37" spans="1:6">
      <c r="A37" s="348" t="s">
        <v>24</v>
      </c>
      <c r="B37" s="348" t="s">
        <v>27</v>
      </c>
      <c r="C37" s="334">
        <v>0</v>
      </c>
      <c r="D37" s="334">
        <v>0</v>
      </c>
      <c r="E37" s="334">
        <v>0</v>
      </c>
      <c r="F37" s="334">
        <v>0</v>
      </c>
    </row>
    <row r="38" spans="1:6">
      <c r="A38" s="348" t="s">
        <v>24</v>
      </c>
      <c r="B38" s="348" t="s">
        <v>28</v>
      </c>
      <c r="C38" s="334">
        <v>2</v>
      </c>
      <c r="D38" s="334">
        <v>167291.299</v>
      </c>
      <c r="E38" s="334">
        <v>1</v>
      </c>
      <c r="F38" s="334">
        <v>7233.625</v>
      </c>
    </row>
    <row r="39" spans="1:6">
      <c r="A39" s="348" t="s">
        <v>29</v>
      </c>
      <c r="B39" s="348" t="s">
        <v>30</v>
      </c>
      <c r="C39" s="334">
        <v>3841</v>
      </c>
      <c r="D39" s="334">
        <v>64532744.530000001</v>
      </c>
      <c r="E39" s="334">
        <v>5148</v>
      </c>
      <c r="F39" s="334">
        <v>17428296.719999999</v>
      </c>
    </row>
    <row r="40" spans="1:6">
      <c r="A40" s="348" t="s">
        <v>29</v>
      </c>
      <c r="B40" s="348" t="s">
        <v>28</v>
      </c>
      <c r="C40" s="334">
        <v>0</v>
      </c>
      <c r="D40" s="334">
        <v>0</v>
      </c>
      <c r="E40" s="334">
        <v>0</v>
      </c>
      <c r="F40" s="334">
        <v>0</v>
      </c>
    </row>
    <row r="41" spans="1:6">
      <c r="A41" s="348" t="s">
        <v>31</v>
      </c>
      <c r="B41" s="348" t="s">
        <v>32</v>
      </c>
      <c r="C41" s="334">
        <v>79</v>
      </c>
      <c r="D41" s="334">
        <v>1905130.389</v>
      </c>
      <c r="E41" s="334">
        <v>154</v>
      </c>
      <c r="F41" s="334">
        <v>2250165.7829999998</v>
      </c>
    </row>
    <row r="42" spans="1:6">
      <c r="A42" s="348" t="s">
        <v>31</v>
      </c>
      <c r="B42" s="348" t="s">
        <v>33</v>
      </c>
      <c r="C42" s="334">
        <v>0</v>
      </c>
      <c r="D42" s="334">
        <v>0</v>
      </c>
      <c r="E42" s="334">
        <v>3</v>
      </c>
      <c r="F42" s="334">
        <v>236219.86900000001</v>
      </c>
    </row>
    <row r="43" spans="1:6">
      <c r="A43" s="348" t="s">
        <v>31</v>
      </c>
      <c r="B43" s="348" t="s">
        <v>34</v>
      </c>
      <c r="C43" s="334">
        <v>0</v>
      </c>
      <c r="D43" s="334">
        <v>0</v>
      </c>
      <c r="E43" s="334">
        <v>0</v>
      </c>
      <c r="F43" s="334">
        <v>0</v>
      </c>
    </row>
    <row r="44" spans="1:6">
      <c r="A44" s="348" t="s">
        <v>31</v>
      </c>
      <c r="B44" s="348" t="s">
        <v>35</v>
      </c>
      <c r="C44" s="334">
        <v>15</v>
      </c>
      <c r="D44" s="334">
        <v>4869275.8640000001</v>
      </c>
      <c r="E44" s="334">
        <v>23</v>
      </c>
      <c r="F44" s="334">
        <v>8421058.023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1561940.7879999999</v>
      </c>
    </row>
    <row r="48" spans="1:6">
      <c r="A48" s="348" t="s">
        <v>31</v>
      </c>
      <c r="B48" s="348" t="s">
        <v>28</v>
      </c>
      <c r="C48" s="334">
        <v>23</v>
      </c>
      <c r="D48" s="334">
        <v>1857441.4709999999</v>
      </c>
      <c r="E48" s="334">
        <v>25</v>
      </c>
      <c r="F48" s="334">
        <v>3573184.7659999998</v>
      </c>
    </row>
    <row r="49" spans="1:6">
      <c r="A49" s="348" t="s">
        <v>31</v>
      </c>
      <c r="B49" s="348" t="s">
        <v>39</v>
      </c>
      <c r="C49" s="334">
        <v>0</v>
      </c>
      <c r="D49" s="334">
        <v>0</v>
      </c>
      <c r="E49" s="334">
        <v>0</v>
      </c>
      <c r="F49" s="334">
        <v>0</v>
      </c>
    </row>
    <row r="50" spans="1:6">
      <c r="A50" s="348" t="s">
        <v>31</v>
      </c>
      <c r="B50" s="348" t="s">
        <v>40</v>
      </c>
      <c r="C50" s="334">
        <v>5</v>
      </c>
      <c r="D50" s="334">
        <v>383461.10600000003</v>
      </c>
      <c r="E50" s="334">
        <v>11</v>
      </c>
      <c r="F50" s="334">
        <v>351807.80099999998</v>
      </c>
    </row>
    <row r="51" spans="1:6">
      <c r="A51" s="348" t="s">
        <v>41</v>
      </c>
      <c r="B51" s="348" t="s">
        <v>42</v>
      </c>
      <c r="C51" s="334">
        <v>4</v>
      </c>
      <c r="D51" s="334">
        <v>1190044.8089999999</v>
      </c>
      <c r="E51" s="334">
        <v>66</v>
      </c>
      <c r="F51" s="334">
        <v>5506394.04</v>
      </c>
    </row>
    <row r="52" spans="1:6">
      <c r="A52" s="348" t="s">
        <v>41</v>
      </c>
      <c r="B52" s="348" t="s">
        <v>28</v>
      </c>
      <c r="C52" s="334">
        <v>6</v>
      </c>
      <c r="D52" s="334">
        <v>121873.776</v>
      </c>
      <c r="E52" s="334">
        <v>7</v>
      </c>
      <c r="F52" s="334">
        <v>43800.512999999999</v>
      </c>
    </row>
    <row r="53" spans="1:6">
      <c r="A53" s="348" t="s">
        <v>43</v>
      </c>
      <c r="B53" s="348" t="s">
        <v>44</v>
      </c>
      <c r="C53" s="334">
        <v>64</v>
      </c>
      <c r="D53" s="334">
        <v>1214170.0009999999</v>
      </c>
      <c r="E53" s="334">
        <v>155</v>
      </c>
      <c r="F53" s="334">
        <v>487039.17599999998</v>
      </c>
    </row>
    <row r="54" spans="1:6">
      <c r="A54" s="348" t="s">
        <v>45</v>
      </c>
      <c r="B54" s="348" t="s">
        <v>46</v>
      </c>
      <c r="C54" s="334">
        <v>0</v>
      </c>
      <c r="D54" s="334">
        <v>0</v>
      </c>
      <c r="E54" s="334">
        <v>1</v>
      </c>
      <c r="F54" s="334">
        <v>841681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43</v>
      </c>
      <c r="D57" s="334">
        <v>4761787.9280000003</v>
      </c>
      <c r="E57" s="334">
        <v>104</v>
      </c>
      <c r="F57" s="334">
        <v>35455008.979999997</v>
      </c>
    </row>
    <row r="58" spans="1:6">
      <c r="A58" s="348" t="s">
        <v>48</v>
      </c>
      <c r="B58" s="348" t="s">
        <v>50</v>
      </c>
      <c r="C58" s="334">
        <v>19</v>
      </c>
      <c r="D58" s="334">
        <v>443084.59899999999</v>
      </c>
      <c r="E58" s="334">
        <v>26</v>
      </c>
      <c r="F58" s="334">
        <v>149482.34</v>
      </c>
    </row>
    <row r="59" spans="1:6">
      <c r="A59" s="348" t="s">
        <v>48</v>
      </c>
      <c r="B59" s="348" t="s">
        <v>51</v>
      </c>
      <c r="C59" s="334">
        <v>74</v>
      </c>
      <c r="D59" s="334">
        <v>1937059.2819999999</v>
      </c>
      <c r="E59" s="334">
        <v>134</v>
      </c>
      <c r="F59" s="334">
        <v>3159329.929</v>
      </c>
    </row>
    <row r="60" spans="1:6">
      <c r="A60" s="348" t="s">
        <v>48</v>
      </c>
      <c r="B60" s="348" t="s">
        <v>52</v>
      </c>
      <c r="C60" s="334">
        <v>37</v>
      </c>
      <c r="D60" s="334">
        <v>1822507.6529999999</v>
      </c>
      <c r="E60" s="334">
        <v>46</v>
      </c>
      <c r="F60" s="334">
        <v>1164496.9790000001</v>
      </c>
    </row>
    <row r="61" spans="1:6">
      <c r="A61" s="348" t="s">
        <v>48</v>
      </c>
      <c r="B61" s="348" t="s">
        <v>53</v>
      </c>
      <c r="C61" s="334">
        <v>66</v>
      </c>
      <c r="D61" s="334">
        <v>1645354.014</v>
      </c>
      <c r="E61" s="334">
        <v>163</v>
      </c>
      <c r="F61" s="334">
        <v>1688904.63</v>
      </c>
    </row>
    <row r="62" spans="1:6">
      <c r="A62" s="348" t="s">
        <v>48</v>
      </c>
      <c r="B62" s="348" t="s">
        <v>54</v>
      </c>
      <c r="C62" s="334">
        <v>3</v>
      </c>
      <c r="D62" s="334">
        <v>978576.70799999998</v>
      </c>
      <c r="E62" s="334">
        <v>0</v>
      </c>
      <c r="F62" s="334">
        <v>0</v>
      </c>
    </row>
    <row r="63" spans="1:6">
      <c r="A63" s="348" t="s">
        <v>48</v>
      </c>
      <c r="B63" s="348" t="s">
        <v>28</v>
      </c>
      <c r="C63" s="334">
        <v>84</v>
      </c>
      <c r="D63" s="334">
        <v>3190888.3470000001</v>
      </c>
      <c r="E63" s="334">
        <v>86</v>
      </c>
      <c r="F63" s="334">
        <v>3838107.909</v>
      </c>
    </row>
    <row r="64" spans="1:6">
      <c r="A64" s="348" t="s">
        <v>55</v>
      </c>
      <c r="B64" s="348" t="s">
        <v>56</v>
      </c>
      <c r="C64" s="334">
        <v>0</v>
      </c>
      <c r="D64" s="334">
        <v>0</v>
      </c>
      <c r="E64" s="334">
        <v>0</v>
      </c>
      <c r="F64" s="334">
        <v>0</v>
      </c>
    </row>
    <row r="65" spans="1:6">
      <c r="A65" s="348" t="s">
        <v>55</v>
      </c>
      <c r="B65" s="348" t="s">
        <v>28</v>
      </c>
      <c r="C65" s="334">
        <v>2</v>
      </c>
      <c r="D65" s="334">
        <v>78576.667000000001</v>
      </c>
      <c r="E65" s="334">
        <v>0</v>
      </c>
      <c r="F65" s="334">
        <v>0</v>
      </c>
    </row>
    <row r="66" spans="1:6">
      <c r="A66" s="348" t="s">
        <v>55</v>
      </c>
      <c r="B66" s="348" t="s">
        <v>57</v>
      </c>
      <c r="C66" s="334">
        <v>0</v>
      </c>
      <c r="D66" s="334">
        <v>0</v>
      </c>
      <c r="E66" s="334">
        <v>5</v>
      </c>
      <c r="F66" s="334">
        <v>15830.251</v>
      </c>
    </row>
    <row r="67" spans="1:6">
      <c r="A67" s="355" t="s">
        <v>55</v>
      </c>
      <c r="B67" s="355" t="s">
        <v>58</v>
      </c>
      <c r="C67" s="334">
        <v>0</v>
      </c>
      <c r="D67" s="334">
        <v>0</v>
      </c>
      <c r="E67" s="334">
        <v>0</v>
      </c>
      <c r="F67" s="334">
        <v>0</v>
      </c>
    </row>
    <row r="68" spans="1:6">
      <c r="A68" s="341" t="s">
        <v>55</v>
      </c>
      <c r="B68" s="341" t="s">
        <v>59</v>
      </c>
      <c r="C68" s="334">
        <v>8</v>
      </c>
      <c r="D68" s="334">
        <v>219040.61600000001</v>
      </c>
      <c r="E68" s="334">
        <v>17</v>
      </c>
      <c r="F68" s="334">
        <v>237492.54300000001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32727042</v>
      </c>
      <c r="E73" s="476"/>
    </row>
    <row r="74" spans="1:6">
      <c r="A74" s="348" t="s">
        <v>63</v>
      </c>
      <c r="B74" s="348" t="s">
        <v>651</v>
      </c>
      <c r="C74" s="1307" t="s">
        <v>653</v>
      </c>
      <c r="D74" s="476">
        <v>1731323.5</v>
      </c>
      <c r="E74" s="476"/>
    </row>
    <row r="75" spans="1:6">
      <c r="A75" s="348" t="s">
        <v>64</v>
      </c>
      <c r="B75" s="348" t="s">
        <v>650</v>
      </c>
      <c r="C75" s="1307" t="s">
        <v>654</v>
      </c>
      <c r="D75" s="476">
        <v>11921356</v>
      </c>
      <c r="E75" s="476"/>
    </row>
    <row r="76" spans="1:6">
      <c r="A76" s="348" t="s">
        <v>64</v>
      </c>
      <c r="B76" s="348" t="s">
        <v>651</v>
      </c>
      <c r="C76" s="1307" t="s">
        <v>655</v>
      </c>
      <c r="D76" s="476">
        <v>500353.5</v>
      </c>
      <c r="E76" s="476"/>
    </row>
    <row r="77" spans="1:6">
      <c r="A77" s="348" t="s">
        <v>65</v>
      </c>
      <c r="B77" s="348" t="s">
        <v>650</v>
      </c>
      <c r="C77" s="1307" t="s">
        <v>656</v>
      </c>
      <c r="D77" s="476">
        <v>35880701</v>
      </c>
      <c r="E77" s="476"/>
    </row>
    <row r="78" spans="1:6">
      <c r="A78" s="341" t="s">
        <v>65</v>
      </c>
      <c r="B78" s="341" t="s">
        <v>651</v>
      </c>
      <c r="C78" s="341" t="s">
        <v>657</v>
      </c>
      <c r="D78" s="1308">
        <v>13986760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201911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28253.071126996994</v>
      </c>
    </row>
    <row r="91" spans="1:6">
      <c r="A91" s="348" t="s">
        <v>67</v>
      </c>
      <c r="B91" s="334">
        <v>3916.1824487188924</v>
      </c>
    </row>
    <row r="92" spans="1:6">
      <c r="A92" s="341" t="s">
        <v>68</v>
      </c>
      <c r="B92" s="342">
        <v>4776.4005477713135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2294</v>
      </c>
    </row>
    <row r="98" spans="1:6">
      <c r="A98" s="348" t="s">
        <v>71</v>
      </c>
      <c r="B98" s="334">
        <v>6</v>
      </c>
    </row>
    <row r="99" spans="1:6">
      <c r="A99" s="348" t="s">
        <v>72</v>
      </c>
      <c r="B99" s="334">
        <v>78</v>
      </c>
    </row>
    <row r="100" spans="1:6">
      <c r="A100" s="348" t="s">
        <v>73</v>
      </c>
      <c r="B100" s="334">
        <v>168</v>
      </c>
    </row>
    <row r="101" spans="1:6">
      <c r="A101" s="348" t="s">
        <v>74</v>
      </c>
      <c r="B101" s="334">
        <v>133</v>
      </c>
    </row>
    <row r="102" spans="1:6">
      <c r="A102" s="348" t="s">
        <v>75</v>
      </c>
      <c r="B102" s="334">
        <v>48</v>
      </c>
    </row>
    <row r="103" spans="1:6">
      <c r="A103" s="348" t="s">
        <v>76</v>
      </c>
      <c r="B103" s="334">
        <v>44</v>
      </c>
    </row>
    <row r="104" spans="1:6">
      <c r="A104" s="348" t="s">
        <v>77</v>
      </c>
      <c r="B104" s="334">
        <v>1624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4</v>
      </c>
      <c r="C121" s="334">
        <v>0</v>
      </c>
    </row>
    <row r="122" spans="1:6">
      <c r="A122" s="348" t="s">
        <v>86</v>
      </c>
      <c r="B122" s="334">
        <v>0</v>
      </c>
      <c r="C122" s="334">
        <v>0</v>
      </c>
    </row>
    <row r="123" spans="1:6">
      <c r="A123" s="348" t="s">
        <v>87</v>
      </c>
      <c r="B123" s="334">
        <v>38</v>
      </c>
      <c r="C123" s="334">
        <v>22</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186</v>
      </c>
    </row>
    <row r="130" spans="1:6">
      <c r="A130" s="348" t="s">
        <v>294</v>
      </c>
      <c r="B130" s="334">
        <v>5</v>
      </c>
    </row>
    <row r="131" spans="1:6">
      <c r="A131" s="348" t="s">
        <v>295</v>
      </c>
      <c r="B131" s="334">
        <v>2</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90130.291802648047</v>
      </c>
      <c r="C3" s="43" t="s">
        <v>169</v>
      </c>
      <c r="D3" s="43"/>
      <c r="E3" s="154"/>
      <c r="F3" s="43"/>
      <c r="G3" s="43"/>
      <c r="H3" s="43"/>
      <c r="I3" s="43"/>
      <c r="J3" s="43"/>
      <c r="K3" s="96"/>
    </row>
    <row r="4" spans="1:11">
      <c r="A4" s="383" t="s">
        <v>170</v>
      </c>
      <c r="B4" s="49">
        <f>IF(ISERROR('SEAP template'!B78),0,'SEAP template'!B78)</f>
        <v>67753.928681067569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0.75636208737220145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5.4875364464440197E-2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1.0805185432584288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44016.421010296006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2.4548078159414226E-5</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841.68100000000004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841.68100000000004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5.4875364464440197E-2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46.187551637794492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17428.296719999998</v>
      </c>
      <c r="C5" s="17">
        <f>IF(ISERROR('Eigen informatie GS &amp; warmtenet'!B59),0,'Eigen informatie GS &amp; warmtenet'!B59)</f>
        <v>0</v>
      </c>
      <c r="D5" s="30">
        <f>(SUM(HH_hh_gas_kWh,HH_rest_gas_kWh)/1000)*0.902</f>
        <v>58208.535566060003</v>
      </c>
      <c r="E5" s="17">
        <f>B46*B57</f>
        <v>9507.7992963936304</v>
      </c>
      <c r="F5" s="17">
        <f>B51*B62</f>
        <v>4817.510403609218</v>
      </c>
      <c r="G5" s="18"/>
      <c r="H5" s="17"/>
      <c r="I5" s="17"/>
      <c r="J5" s="17">
        <f>B50*B61+C50*C61</f>
        <v>0</v>
      </c>
      <c r="K5" s="17"/>
      <c r="L5" s="17"/>
      <c r="M5" s="17"/>
      <c r="N5" s="17">
        <f>B48*B59+C48*C59</f>
        <v>28055.474319857283</v>
      </c>
      <c r="O5" s="17">
        <f>B69*B70*B71</f>
        <v>412.6633096325026</v>
      </c>
      <c r="P5" s="17">
        <f>B77*B78*B79/1000-B77*B78*B79/1000/B80</f>
        <v>684.70735499952639</v>
      </c>
    </row>
    <row r="6" spans="1:16">
      <c r="A6" s="16" t="s">
        <v>615</v>
      </c>
      <c r="B6" s="809">
        <f>kWh_PV_kleiner_dan_10kW</f>
        <v>3916.1824487188924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21344.479168718892</v>
      </c>
      <c r="C8" s="21">
        <f>C5</f>
        <v>0</v>
      </c>
      <c r="D8" s="21">
        <f>D5</f>
        <v>58208.535566060003</v>
      </c>
      <c r="E8" s="21">
        <f>E5</f>
        <v>9507.7992963936304</v>
      </c>
      <c r="F8" s="21">
        <f>F5</f>
        <v>4817.510403609218</v>
      </c>
      <c r="G8" s="21"/>
      <c r="H8" s="21"/>
      <c r="I8" s="21"/>
      <c r="J8" s="21">
        <f>J5</f>
        <v>0</v>
      </c>
      <c r="K8" s="21"/>
      <c r="L8" s="21">
        <f>L5</f>
        <v>0</v>
      </c>
      <c r="M8" s="21">
        <f>M5</f>
        <v>0</v>
      </c>
      <c r="N8" s="21">
        <f>N5</f>
        <v>28055.474319857283</v>
      </c>
      <c r="O8" s="21">
        <f>O5</f>
        <v>412.6633096325026</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5.4875364464440197E-2</v>
      </c>
      <c r="C10" s="25">
        <f ca="1">'EF ele_warmte'!B22</f>
        <v>2.4548078159414226E-5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1171.2860736871007</v>
      </c>
      <c r="C12" s="23">
        <f ca="1">C10*C8</f>
        <v>0</v>
      </c>
      <c r="D12" s="23">
        <f>D8*D10</f>
        <v>11758.124184344122</v>
      </c>
      <c r="E12" s="23">
        <f>E10*E8</f>
        <v>2158.2704402813542</v>
      </c>
      <c r="F12" s="23">
        <f>F10*F8</f>
        <v>1286.2752777636613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2294</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20.580474934036939</v>
      </c>
      <c r="D20" s="229"/>
      <c r="E20" s="15"/>
    </row>
    <row r="21" spans="1:7">
      <c r="A21" s="171" t="s">
        <v>73</v>
      </c>
      <c r="B21" s="37">
        <f>aantalw2001_elektriciteit</f>
        <v>168</v>
      </c>
      <c r="C21" s="167">
        <f>IF(ISERROR(B21/SUM($B$20,$B$21,$B$22)*100),0,B21/SUM($B$20,$B$21,$B$22)*100)</f>
        <v>44.327176781002635</v>
      </c>
      <c r="D21" s="229"/>
      <c r="E21" s="15"/>
    </row>
    <row r="22" spans="1:7">
      <c r="A22" s="171" t="s">
        <v>74</v>
      </c>
      <c r="B22" s="37">
        <f>aantalw2001_hout</f>
        <v>133</v>
      </c>
      <c r="C22" s="167">
        <f>IF(ISERROR(B22/SUM($B$20,$B$21,$B$22)*100),0,B22/SUM($B$20,$B$21,$B$22)*100)</f>
        <v>35.092348284960423</v>
      </c>
      <c r="D22" s="229"/>
      <c r="E22" s="15"/>
    </row>
    <row r="23" spans="1:7">
      <c r="A23" s="171" t="s">
        <v>75</v>
      </c>
      <c r="B23" s="37">
        <f>aantalw2001_niet_gespec</f>
        <v>48</v>
      </c>
      <c r="C23" s="166" t="s">
        <v>110</v>
      </c>
      <c r="D23" s="228"/>
      <c r="E23" s="15"/>
    </row>
    <row r="24" spans="1:7">
      <c r="A24" s="171" t="s">
        <v>76</v>
      </c>
      <c r="B24" s="37">
        <f>aantalw2001_steenkool</f>
        <v>44</v>
      </c>
      <c r="C24" s="166" t="s">
        <v>110</v>
      </c>
      <c r="D24" s="229"/>
      <c r="E24" s="15"/>
    </row>
    <row r="25" spans="1:7">
      <c r="A25" s="171" t="s">
        <v>77</v>
      </c>
      <c r="B25" s="37">
        <f>aantalw2001_stookolie</f>
        <v>1624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5317</v>
      </c>
      <c r="C28" s="36"/>
      <c r="D28" s="228"/>
    </row>
    <row r="29" spans="1:7" s="15" customFormat="1">
      <c r="A29" s="230" t="s">
        <v>838</v>
      </c>
      <c r="B29" s="37">
        <f>SUM(HH_hh_gas_aantal,HH_rest_gas_aantal)</f>
        <v>3841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3841</v>
      </c>
      <c r="C32" s="167">
        <f>IF(ISERROR(B32/SUM($B$32,$B$34,$B$35,$B$36,$B$38,$B$39)*100),0,B32/SUM($B$32,$B$34,$B$35,$B$36,$B$38,$B$39)*100)</f>
        <v>73.134044173648135</v>
      </c>
      <c r="D32" s="233"/>
      <c r="G32" s="15"/>
    </row>
    <row r="33" spans="1:7">
      <c r="A33" s="171" t="s">
        <v>71</v>
      </c>
      <c r="B33" s="34" t="s">
        <v>110</v>
      </c>
      <c r="C33" s="167"/>
      <c r="D33" s="233"/>
      <c r="G33" s="15"/>
    </row>
    <row r="34" spans="1:7">
      <c r="A34" s="171" t="s">
        <v>72</v>
      </c>
      <c r="B34" s="33">
        <f>IF((($B$28-$B$32-$B$39-$B$77-$B$38)*C20/100)&lt;0,0,($B$28-$B$32-$B$39-$B$77-$B$38)*C20/100)</f>
        <v>242.70554089709759</v>
      </c>
      <c r="C34" s="167">
        <f>IF(ISERROR(B34/SUM($B$32,$B$34,$B$35,$B$36,$B$38,$B$39)*100),0,B34/SUM($B$32,$B$34,$B$35,$B$36,$B$38,$B$39)*100)</f>
        <v>4.6212022257634731</v>
      </c>
      <c r="D34" s="233"/>
      <c r="G34" s="15"/>
    </row>
    <row r="35" spans="1:7">
      <c r="A35" s="171" t="s">
        <v>73</v>
      </c>
      <c r="B35" s="33">
        <f>IF((($B$28-$B$32-$B$39-$B$77-$B$38)*C21/100)&lt;0,0,($B$28-$B$32-$B$39-$B$77-$B$38)*C21/100)</f>
        <v>522.75039577836401</v>
      </c>
      <c r="C35" s="167">
        <f>IF(ISERROR(B35/SUM($B$32,$B$34,$B$35,$B$36,$B$38,$B$39)*100),0,B35/SUM($B$32,$B$34,$B$35,$B$36,$B$38,$B$39)*100)</f>
        <v>9.9533586401059395</v>
      </c>
      <c r="D35" s="233"/>
      <c r="G35" s="15"/>
    </row>
    <row r="36" spans="1:7">
      <c r="A36" s="171" t="s">
        <v>74</v>
      </c>
      <c r="B36" s="33">
        <f>IF((($B$28-$B$32-$B$39-$B$77-$B$38)*C22/100)&lt;0,0,($B$28-$B$32-$B$39-$B$77-$B$38)*C22/100)</f>
        <v>413.84406332453824</v>
      </c>
      <c r="C36" s="167">
        <f>IF(ISERROR(B36/SUM($B$32,$B$34,$B$35,$B$36,$B$38,$B$39)*100),0,B36/SUM($B$32,$B$34,$B$35,$B$36,$B$38,$B$39)*100)</f>
        <v>7.8797422567505384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231.70000000000005</v>
      </c>
      <c r="C39" s="167">
        <f>IF(ISERROR(B39/SUM($B$32,$B$34,$B$35,$B$36,$B$38,$B$39)*100),0,B39/SUM($B$32,$B$34,$B$35,$B$36,$B$38,$B$39)*100)</f>
        <v>4.411652703731912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3841</v>
      </c>
      <c r="C44" s="34" t="s">
        <v>110</v>
      </c>
      <c r="D44" s="174"/>
    </row>
    <row r="45" spans="1:7">
      <c r="A45" s="171" t="s">
        <v>71</v>
      </c>
      <c r="B45" s="33" t="str">
        <f t="shared" si="0"/>
        <v>-</v>
      </c>
      <c r="C45" s="34" t="s">
        <v>110</v>
      </c>
      <c r="D45" s="174"/>
    </row>
    <row r="46" spans="1:7">
      <c r="A46" s="171" t="s">
        <v>72</v>
      </c>
      <c r="B46" s="33">
        <f t="shared" si="0"/>
        <v>242.70554089709759</v>
      </c>
      <c r="C46" s="34" t="s">
        <v>110</v>
      </c>
      <c r="D46" s="174"/>
    </row>
    <row r="47" spans="1:7">
      <c r="A47" s="171" t="s">
        <v>73</v>
      </c>
      <c r="B47" s="33">
        <f t="shared" si="0"/>
        <v>522.75039577836401</v>
      </c>
      <c r="C47" s="34" t="s">
        <v>110</v>
      </c>
      <c r="D47" s="174"/>
    </row>
    <row r="48" spans="1:7">
      <c r="A48" s="171" t="s">
        <v>74</v>
      </c>
      <c r="B48" s="33">
        <f t="shared" si="0"/>
        <v>413.84406332453824</v>
      </c>
      <c r="C48" s="33">
        <f>B48*10</f>
        <v>4138.4406332453827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231.70000000000005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45455.330766999999</v>
      </c>
      <c r="C5" s="17">
        <f>IF(ISERROR('Eigen informatie GS &amp; warmtenet'!B60),0,'Eigen informatie GS &amp; warmtenet'!B60)</f>
        <v>0</v>
      </c>
      <c r="D5" s="30">
        <f>SUM(D6:D12)</f>
        <v>13330.891194962001</v>
      </c>
      <c r="E5" s="17">
        <f>SUM(E6:E12)</f>
        <v>215.35887461725602</v>
      </c>
      <c r="F5" s="17">
        <f>SUM(F6:F12)</f>
        <v>6605.6793125546646</v>
      </c>
      <c r="G5" s="18"/>
      <c r="H5" s="17"/>
      <c r="I5" s="17"/>
      <c r="J5" s="17">
        <f>SUM(J6:J12)</f>
        <v>0.60924169990660182</v>
      </c>
      <c r="K5" s="17"/>
      <c r="L5" s="17"/>
      <c r="M5" s="17"/>
      <c r="N5" s="17">
        <f>SUM(N6:N12)</f>
        <v>23750.004755227314</v>
      </c>
      <c r="O5" s="17">
        <f>B38*B39*B40</f>
        <v>24.486303829205774</v>
      </c>
      <c r="P5" s="17">
        <f>B46*B47*B48/1000-B46*B47*B48/1000/B49</f>
        <v>315.23482983897009</v>
      </c>
      <c r="R5" s="32"/>
    </row>
    <row r="6" spans="1:18">
      <c r="A6" s="32" t="s">
        <v>53</v>
      </c>
      <c r="B6" s="37">
        <f>B26</f>
        <v>1688.90463</v>
      </c>
      <c r="C6" s="33"/>
      <c r="D6" s="37">
        <f>IF(ISERROR(TER_kantoor_gas_kWh/1000),0,TER_kantoor_gas_kWh/1000)*0.902</f>
        <v>1484.109320628</v>
      </c>
      <c r="E6" s="33">
        <f>$C$26*'E Balans VL '!I12/100/3.6*1000000</f>
        <v>13.590074052124523</v>
      </c>
      <c r="F6" s="33">
        <f>$C$26*('E Balans VL '!L12+'E Balans VL '!N12)/100/3.6*1000000</f>
        <v>206.48635772539478</v>
      </c>
      <c r="G6" s="34"/>
      <c r="H6" s="33"/>
      <c r="I6" s="33"/>
      <c r="J6" s="33">
        <f>$C$26*('E Balans VL '!D12+'E Balans VL '!E12)/100/3.6*1000000</f>
        <v>0</v>
      </c>
      <c r="K6" s="33"/>
      <c r="L6" s="33"/>
      <c r="M6" s="33"/>
      <c r="N6" s="33">
        <f>$C$26*'E Balans VL '!Y12/100/3.6*1000000</f>
        <v>0.90770306907378695</v>
      </c>
      <c r="O6" s="33"/>
      <c r="P6" s="33"/>
      <c r="R6" s="32"/>
    </row>
    <row r="7" spans="1:18">
      <c r="A7" s="32" t="s">
        <v>52</v>
      </c>
      <c r="B7" s="37">
        <f t="shared" ref="B7:B12" si="0">B27</f>
        <v>1164.496979</v>
      </c>
      <c r="C7" s="33"/>
      <c r="D7" s="37">
        <f>IF(ISERROR(TER_horeca_gas_kWh/1000),0,TER_horeca_gas_kWh/1000)*0.902</f>
        <v>1643.9019030059999</v>
      </c>
      <c r="E7" s="33">
        <f>$C$27*'E Balans VL '!I9/100/3.6*1000000</f>
        <v>12.503838049801821</v>
      </c>
      <c r="F7" s="33">
        <f>$C$27*('E Balans VL '!L9+'E Balans VL '!N9)/100/3.6*1000000</f>
        <v>140.06074904429983</v>
      </c>
      <c r="G7" s="34"/>
      <c r="H7" s="33"/>
      <c r="I7" s="33"/>
      <c r="J7" s="33">
        <f>$C$27*('E Balans VL '!D9+'E Balans VL '!E9)/100/3.6*1000000</f>
        <v>0</v>
      </c>
      <c r="K7" s="33"/>
      <c r="L7" s="33"/>
      <c r="M7" s="33"/>
      <c r="N7" s="33">
        <f>$C$27*'E Balans VL '!Y9/100/3.6*1000000</f>
        <v>0.17458169876575161</v>
      </c>
      <c r="O7" s="33"/>
      <c r="P7" s="33"/>
      <c r="R7" s="32"/>
    </row>
    <row r="8" spans="1:18">
      <c r="A8" s="6" t="s">
        <v>51</v>
      </c>
      <c r="B8" s="37">
        <f t="shared" si="0"/>
        <v>3159.329929</v>
      </c>
      <c r="C8" s="33"/>
      <c r="D8" s="37">
        <f>IF(ISERROR(TER_handel_gas_kWh/1000),0,TER_handel_gas_kWh/1000)*0.902</f>
        <v>1747.2274723640001</v>
      </c>
      <c r="E8" s="33">
        <f>$C$28*'E Balans VL '!I13/100/3.6*1000000</f>
        <v>84.78674309961032</v>
      </c>
      <c r="F8" s="33">
        <f>$C$28*('E Balans VL '!L13+'E Balans VL '!N13)/100/3.6*1000000</f>
        <v>301.49744828575211</v>
      </c>
      <c r="G8" s="34"/>
      <c r="H8" s="33"/>
      <c r="I8" s="33"/>
      <c r="J8" s="33">
        <f>$C$28*('E Balans VL '!D13+'E Balans VL '!E13)/100/3.6*1000000</f>
        <v>0</v>
      </c>
      <c r="K8" s="33"/>
      <c r="L8" s="33"/>
      <c r="M8" s="33"/>
      <c r="N8" s="33">
        <f>$C$28*'E Balans VL '!Y13/100/3.6*1000000</f>
        <v>1.2523943066547532</v>
      </c>
      <c r="O8" s="33"/>
      <c r="P8" s="33"/>
      <c r="R8" s="32"/>
    </row>
    <row r="9" spans="1:18">
      <c r="A9" s="32" t="s">
        <v>50</v>
      </c>
      <c r="B9" s="37">
        <f t="shared" si="0"/>
        <v>149.48233999999999</v>
      </c>
      <c r="C9" s="33"/>
      <c r="D9" s="37">
        <f>IF(ISERROR(TER_gezond_gas_kWh/1000),0,TER_gezond_gas_kWh/1000)*0.902</f>
        <v>399.66230829799997</v>
      </c>
      <c r="E9" s="33">
        <f>$C$29*'E Balans VL '!I10/100/3.6*1000000</f>
        <v>0.28017857872349505</v>
      </c>
      <c r="F9" s="33">
        <f>$C$29*('E Balans VL '!L10+'E Balans VL '!N10)/100/3.6*1000000</f>
        <v>12.288812269257846</v>
      </c>
      <c r="G9" s="34"/>
      <c r="H9" s="33"/>
      <c r="I9" s="33"/>
      <c r="J9" s="33">
        <f>$C$29*('E Balans VL '!D10+'E Balans VL '!E10)/100/3.6*1000000</f>
        <v>0</v>
      </c>
      <c r="K9" s="33"/>
      <c r="L9" s="33"/>
      <c r="M9" s="33"/>
      <c r="N9" s="33">
        <f>$C$29*'E Balans VL '!Y10/100/3.6*1000000</f>
        <v>1.1630841350510248</v>
      </c>
      <c r="O9" s="33"/>
      <c r="P9" s="33"/>
      <c r="R9" s="32"/>
    </row>
    <row r="10" spans="1:18">
      <c r="A10" s="32" t="s">
        <v>49</v>
      </c>
      <c r="B10" s="37">
        <f t="shared" si="0"/>
        <v>35455.008979999999</v>
      </c>
      <c r="C10" s="33"/>
      <c r="D10" s="37">
        <f>IF(ISERROR(TER_ander_gas_kWh/1000),0,TER_ander_gas_kWh/1000)*0.902</f>
        <v>4295.1327110560005</v>
      </c>
      <c r="E10" s="33">
        <f>$C$30*'E Balans VL '!I14/100/3.6*1000000</f>
        <v>54.654255602724966</v>
      </c>
      <c r="F10" s="33">
        <f>$C$30*('E Balans VL '!L14+'E Balans VL '!N14)/100/3.6*1000000</f>
        <v>5504.3999320383564</v>
      </c>
      <c r="G10" s="34"/>
      <c r="H10" s="33"/>
      <c r="I10" s="33"/>
      <c r="J10" s="33">
        <f>$C$30*('E Balans VL '!D14+'E Balans VL '!E14)/100/3.6*1000000</f>
        <v>0.60188616916724857</v>
      </c>
      <c r="K10" s="33"/>
      <c r="L10" s="33"/>
      <c r="M10" s="33"/>
      <c r="N10" s="33">
        <f>$C$30*'E Balans VL '!Y14/100/3.6*1000000</f>
        <v>23455.89761665987</v>
      </c>
      <c r="O10" s="33"/>
      <c r="P10" s="33"/>
      <c r="R10" s="32"/>
    </row>
    <row r="11" spans="1:18">
      <c r="A11" s="32" t="s">
        <v>54</v>
      </c>
      <c r="B11" s="37">
        <f t="shared" si="0"/>
        <v>0</v>
      </c>
      <c r="C11" s="33"/>
      <c r="D11" s="37">
        <f>IF(ISERROR(TER_onderwijs_gas_kWh/1000),0,TER_onderwijs_gas_kWh/1000)*0.902</f>
        <v>882.67619061599999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3838.1079089999998</v>
      </c>
      <c r="C12" s="33"/>
      <c r="D12" s="37">
        <f>IF(ISERROR(TER_rest_gas_kWh/1000),0,TER_rest_gas_kWh/1000)*0.902</f>
        <v>2878.1812889940002</v>
      </c>
      <c r="E12" s="33">
        <f>$C$32*'E Balans VL '!I8/100/3.6*1000000</f>
        <v>49.543785234270899</v>
      </c>
      <c r="F12" s="33">
        <f>$C$32*('E Balans VL '!L8+'E Balans VL '!N8)/100/3.6*1000000</f>
        <v>440.94601319160415</v>
      </c>
      <c r="G12" s="34"/>
      <c r="H12" s="33"/>
      <c r="I12" s="33"/>
      <c r="J12" s="33">
        <f>$C$32*('E Balans VL '!D8+'E Balans VL '!E8)/100/3.6*1000000</f>
        <v>7.3555307393532356E-3</v>
      </c>
      <c r="K12" s="33"/>
      <c r="L12" s="33"/>
      <c r="M12" s="33"/>
      <c r="N12" s="33">
        <f>$C$32*'E Balans VL '!Y8/100/3.6*1000000</f>
        <v>290.60937535789787</v>
      </c>
      <c r="O12" s="33"/>
      <c r="P12" s="33"/>
      <c r="R12" s="32"/>
    </row>
    <row r="13" spans="1:18">
      <c r="A13" s="16" t="s">
        <v>482</v>
      </c>
      <c r="B13" s="247">
        <f ca="1">'lokale energieproductie'!N91+'lokale energieproductie'!N60</f>
        <v>13.458333333333332</v>
      </c>
      <c r="C13" s="247">
        <f ca="1">'lokale energieproductie'!O91+'lokale energieproductie'!O60</f>
        <v>19.278153153153152</v>
      </c>
      <c r="D13" s="310">
        <f ca="1">('lokale energieproductie'!P60+'lokale energieproductie'!P91)*(-1)</f>
        <v>-9.0934684684684672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45468.789100333335</v>
      </c>
      <c r="C16" s="21">
        <f t="shared" ca="1" si="1"/>
        <v>19.278153153153152</v>
      </c>
      <c r="D16" s="21">
        <f t="shared" ca="1" si="1"/>
        <v>13321.797726493533</v>
      </c>
      <c r="E16" s="21">
        <f t="shared" si="1"/>
        <v>215.35887461725602</v>
      </c>
      <c r="F16" s="21">
        <f t="shared" ca="1" si="1"/>
        <v>6605.6793125546646</v>
      </c>
      <c r="G16" s="21">
        <f t="shared" si="1"/>
        <v>0</v>
      </c>
      <c r="H16" s="21">
        <f t="shared" si="1"/>
        <v>0</v>
      </c>
      <c r="I16" s="21">
        <f t="shared" si="1"/>
        <v>0</v>
      </c>
      <c r="J16" s="21">
        <f t="shared" si="1"/>
        <v>0.60924169990660182</v>
      </c>
      <c r="K16" s="21">
        <f t="shared" si="1"/>
        <v>0</v>
      </c>
      <c r="L16" s="21">
        <f t="shared" ca="1" si="1"/>
        <v>0</v>
      </c>
      <c r="M16" s="21">
        <f t="shared" si="1"/>
        <v>0</v>
      </c>
      <c r="N16" s="21">
        <f t="shared" ca="1" si="1"/>
        <v>23750.004755227314</v>
      </c>
      <c r="O16" s="21">
        <f>O5</f>
        <v>24.486303829205774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5.4875364464440197E-2</v>
      </c>
      <c r="C18" s="25">
        <f ca="1">'EF ele_warmte'!B22</f>
        <v>2.4548078159414226E-5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2495.1163736375579</v>
      </c>
      <c r="C20" s="23">
        <f t="shared" ref="C20:P20" ca="1" si="2">C16*C18</f>
        <v>4.732416103727614E-4</v>
      </c>
      <c r="D20" s="23">
        <f t="shared" ca="1" si="2"/>
        <v>2691.0031407516935</v>
      </c>
      <c r="E20" s="23">
        <f t="shared" si="2"/>
        <v>48.886464538117117</v>
      </c>
      <c r="F20" s="23">
        <f t="shared" ca="1" si="2"/>
        <v>1763.7163764520956</v>
      </c>
      <c r="G20" s="23">
        <f t="shared" si="2"/>
        <v>0</v>
      </c>
      <c r="H20" s="23">
        <f t="shared" si="2"/>
        <v>0</v>
      </c>
      <c r="I20" s="23">
        <f t="shared" si="2"/>
        <v>0</v>
      </c>
      <c r="J20" s="23">
        <f t="shared" si="2"/>
        <v>0.21567156176693703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1688.90463</v>
      </c>
      <c r="C26" s="39">
        <f>IF(ISERROR(B26*3.6/1000000/'E Balans VL '!Z12*100),0,B26*3.6/1000000/'E Balans VL '!Z12*100)</f>
        <v>3.5828566555151119E-2</v>
      </c>
      <c r="D26" s="237" t="s">
        <v>716</v>
      </c>
      <c r="F26" s="6"/>
    </row>
    <row r="27" spans="1:18">
      <c r="A27" s="231" t="s">
        <v>52</v>
      </c>
      <c r="B27" s="33">
        <f>IF(ISERROR(TER_horeca_ele_kWh/1000),0,TER_horeca_ele_kWh/1000)</f>
        <v>1164.496979</v>
      </c>
      <c r="C27" s="39">
        <f>IF(ISERROR(B27*3.6/1000000/'E Balans VL '!Z9*100),0,B27*3.6/1000000/'E Balans VL '!Z9*100)</f>
        <v>8.7696938222824761E-2</v>
      </c>
      <c r="D27" s="237" t="s">
        <v>716</v>
      </c>
      <c r="F27" s="6"/>
    </row>
    <row r="28" spans="1:18">
      <c r="A28" s="171" t="s">
        <v>51</v>
      </c>
      <c r="B28" s="33">
        <f>IF(ISERROR(TER_handel_ele_kWh/1000),0,TER_handel_ele_kWh/1000)</f>
        <v>3159.329929</v>
      </c>
      <c r="C28" s="39">
        <f>IF(ISERROR(B28*3.6/1000000/'E Balans VL '!Z13*100),0,B28*3.6/1000000/'E Balans VL '!Z13*100)</f>
        <v>9.1704153459525886E-2</v>
      </c>
      <c r="D28" s="237" t="s">
        <v>716</v>
      </c>
      <c r="F28" s="6"/>
    </row>
    <row r="29" spans="1:18">
      <c r="A29" s="231" t="s">
        <v>50</v>
      </c>
      <c r="B29" s="33">
        <f>IF(ISERROR(TER_gezond_ele_kWh/1000),0,TER_gezond_ele_kWh/1000)</f>
        <v>149.48233999999999</v>
      </c>
      <c r="C29" s="39">
        <f>IF(ISERROR(B29*3.6/1000000/'E Balans VL '!Z10*100),0,B29*3.6/1000000/'E Balans VL '!Z10*100)</f>
        <v>1.5075472253951025E-2</v>
      </c>
      <c r="D29" s="237" t="s">
        <v>716</v>
      </c>
      <c r="F29" s="6"/>
    </row>
    <row r="30" spans="1:18">
      <c r="A30" s="231" t="s">
        <v>49</v>
      </c>
      <c r="B30" s="33">
        <f>IF(ISERROR(TER_ander_ele_kWh/1000),0,TER_ander_ele_kWh/1000)</f>
        <v>35455.008979999999</v>
      </c>
      <c r="C30" s="39">
        <f>IF(ISERROR(B30*3.6/1000000/'E Balans VL '!Z14*100),0,B30*3.6/1000000/'E Balans VL '!Z14*100)</f>
        <v>2.5727445965094264</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3838.1079089999998</v>
      </c>
      <c r="C32" s="39">
        <f>IF(ISERROR(B32*3.6/1000000/'E Balans VL '!Z8*100),0,B32*3.6/1000000/'E Balans VL '!Z8*100)</f>
        <v>3.1440998204548473E-2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16394.37703</v>
      </c>
      <c r="C5" s="17">
        <f>IF(ISERROR('Eigen informatie GS &amp; warmtenet'!B61),0,'Eigen informatie GS &amp; warmtenet'!B61)</f>
        <v>0</v>
      </c>
      <c r="D5" s="30">
        <f>SUM(D6:D15)</f>
        <v>8131.8085646599993</v>
      </c>
      <c r="E5" s="17">
        <f>SUM(E6:E15)</f>
        <v>856.62908805012307</v>
      </c>
      <c r="F5" s="17">
        <f>SUM(F6:F15)</f>
        <v>3335.2077963464662</v>
      </c>
      <c r="G5" s="18"/>
      <c r="H5" s="17"/>
      <c r="I5" s="17"/>
      <c r="J5" s="17">
        <f>SUM(J6:J15)</f>
        <v>208.87387244998558</v>
      </c>
      <c r="K5" s="17"/>
      <c r="L5" s="17"/>
      <c r="M5" s="17"/>
      <c r="N5" s="17">
        <f>SUM(N6:N15)</f>
        <v>415.28579687702819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8421.0580229999996</v>
      </c>
      <c r="C8" s="33"/>
      <c r="D8" s="37">
        <f>IF( ISERROR(IND_metaal_Gas_kWH/1000),0,IND_metaal_Gas_kWH/1000)*0.902</f>
        <v>4392.086829328</v>
      </c>
      <c r="E8" s="33">
        <f>C30*'E Balans VL '!I18/100/3.6*1000000</f>
        <v>60.7520231850363</v>
      </c>
      <c r="F8" s="33">
        <f>C30*'E Balans VL '!L18/100/3.6*1000000+C30*'E Balans VL '!N18/100/3.6*1000000</f>
        <v>796.47681554279268</v>
      </c>
      <c r="G8" s="34"/>
      <c r="H8" s="33"/>
      <c r="I8" s="33"/>
      <c r="J8" s="40">
        <f>C30*'E Balans VL '!D18/100/3.6*1000000+C30*'E Balans VL '!E18/100/3.6*1000000</f>
        <v>8.4699490959699251</v>
      </c>
      <c r="K8" s="33"/>
      <c r="L8" s="33"/>
      <c r="M8" s="33"/>
      <c r="N8" s="33">
        <f>C30*'E Balans VL '!Y18/100/3.6*1000000</f>
        <v>106.46445333063141</v>
      </c>
      <c r="O8" s="33"/>
      <c r="P8" s="33"/>
      <c r="R8" s="32"/>
    </row>
    <row r="9" spans="1:18">
      <c r="A9" s="6" t="s">
        <v>32</v>
      </c>
      <c r="B9" s="37">
        <f t="shared" si="0"/>
        <v>2250.1657829999999</v>
      </c>
      <c r="C9" s="33"/>
      <c r="D9" s="37">
        <f>IF( ISERROR(IND_andere_gas_kWh/1000),0,IND_andere_gas_kWh/1000)*0.902</f>
        <v>1718.427610878</v>
      </c>
      <c r="E9" s="33">
        <f>C31*'E Balans VL '!I19/100/3.6*1000000</f>
        <v>623.5510269553713</v>
      </c>
      <c r="F9" s="33">
        <f>C31*'E Balans VL '!L19/100/3.6*1000000+C31*'E Balans VL '!N19/100/3.6*1000000</f>
        <v>1864.9422635961332</v>
      </c>
      <c r="G9" s="34"/>
      <c r="H9" s="33"/>
      <c r="I9" s="33"/>
      <c r="J9" s="40">
        <f>C31*'E Balans VL '!D19/100/3.6*1000000+C31*'E Balans VL '!E19/100/3.6*1000000</f>
        <v>0</v>
      </c>
      <c r="K9" s="33"/>
      <c r="L9" s="33"/>
      <c r="M9" s="33"/>
      <c r="N9" s="33">
        <f>C31*'E Balans VL '!Y19/100/3.6*1000000</f>
        <v>163.33451333873506</v>
      </c>
      <c r="O9" s="33"/>
      <c r="P9" s="33"/>
      <c r="R9" s="32"/>
    </row>
    <row r="10" spans="1:18">
      <c r="A10" s="6" t="s">
        <v>40</v>
      </c>
      <c r="B10" s="37">
        <f t="shared" si="0"/>
        <v>351.80780099999998</v>
      </c>
      <c r="C10" s="33"/>
      <c r="D10" s="37">
        <f>IF( ISERROR(IND_voed_gas_kWh/1000),0,IND_voed_gas_kWh/1000)*0.902</f>
        <v>345.88191761200005</v>
      </c>
      <c r="E10" s="33">
        <f>C32*'E Balans VL '!I20/100/3.6*1000000</f>
        <v>0.62281897271220443</v>
      </c>
      <c r="F10" s="33">
        <f>C32*'E Balans VL '!L20/100/3.6*1000000+C32*'E Balans VL '!N20/100/3.6*1000000</f>
        <v>19.000739298570945</v>
      </c>
      <c r="G10" s="34"/>
      <c r="H10" s="33"/>
      <c r="I10" s="33"/>
      <c r="J10" s="40">
        <f>C32*'E Balans VL '!D20/100/3.6*1000000+C32*'E Balans VL '!E20/100/3.6*1000000</f>
        <v>0</v>
      </c>
      <c r="K10" s="33"/>
      <c r="L10" s="33"/>
      <c r="M10" s="33"/>
      <c r="N10" s="33">
        <f>C32*'E Balans VL '!Y20/100/3.6*1000000</f>
        <v>20.442720027756025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1561.9407879999999</v>
      </c>
      <c r="C13" s="33"/>
      <c r="D13" s="37">
        <f>IF( ISERROR(IND_papier_gas_kWh/1000),0,IND_papier_gas_kWh/1000)*0.902</f>
        <v>0</v>
      </c>
      <c r="E13" s="33">
        <f>C35*'E Balans VL '!I23/100/3.6*1000000</f>
        <v>2.2981512386508167</v>
      </c>
      <c r="F13" s="33">
        <f>C35*'E Balans VL '!L23/100/3.6*1000000+C35*'E Balans VL '!N23/100/3.6*1000000</f>
        <v>16.724178795003336</v>
      </c>
      <c r="G13" s="34"/>
      <c r="H13" s="33"/>
      <c r="I13" s="33"/>
      <c r="J13" s="40">
        <f>C35*'E Balans VL '!D23/100/3.6*1000000+C35*'E Balans VL '!E23/100/3.6*1000000</f>
        <v>170.88508111279296</v>
      </c>
      <c r="K13" s="33"/>
      <c r="L13" s="33"/>
      <c r="M13" s="33"/>
      <c r="N13" s="33">
        <f>C35*'E Balans VL '!Y23/100/3.6*1000000</f>
        <v>-14.149845162698263</v>
      </c>
      <c r="O13" s="33"/>
      <c r="P13" s="33"/>
      <c r="R13" s="32"/>
    </row>
    <row r="14" spans="1:18">
      <c r="A14" s="6" t="s">
        <v>33</v>
      </c>
      <c r="B14" s="37">
        <f t="shared" si="0"/>
        <v>236.21986900000002</v>
      </c>
      <c r="C14" s="33"/>
      <c r="D14" s="37">
        <f>IF( ISERROR(IND_chemie_gas_kWh/1000),0,IND_chemie_gas_kWh/1000)*0.902</f>
        <v>0</v>
      </c>
      <c r="E14" s="33">
        <f>C36*'E Balans VL '!I24/100/3.6*1000000</f>
        <v>0.53428176449620257</v>
      </c>
      <c r="F14" s="33">
        <f>C36*'E Balans VL '!L24/100/3.6*1000000+C36*'E Balans VL '!N24/100/3.6*1000000</f>
        <v>2.7890411917495577</v>
      </c>
      <c r="G14" s="34"/>
      <c r="H14" s="33"/>
      <c r="I14" s="33"/>
      <c r="J14" s="40">
        <f>C36*'E Balans VL '!D24/100/3.6*1000000+C36*'E Balans VL '!E24/100/3.6*1000000</f>
        <v>0</v>
      </c>
      <c r="K14" s="33"/>
      <c r="L14" s="33"/>
      <c r="M14" s="33"/>
      <c r="N14" s="33">
        <f>C36*'E Balans VL '!Y24/100/3.6*1000000</f>
        <v>0.12975203838157404</v>
      </c>
      <c r="O14" s="33"/>
      <c r="P14" s="33"/>
      <c r="R14" s="32"/>
    </row>
    <row r="15" spans="1:18">
      <c r="A15" s="6" t="s">
        <v>269</v>
      </c>
      <c r="B15" s="37">
        <f t="shared" si="0"/>
        <v>3573.1847659999999</v>
      </c>
      <c r="C15" s="33"/>
      <c r="D15" s="37">
        <f>IF( ISERROR(IND_rest_gas_kWh/1000),0,IND_rest_gas_kWh/1000)*0.902</f>
        <v>1675.4122068419999</v>
      </c>
      <c r="E15" s="33">
        <f>C37*'E Balans VL '!I15/100/3.6*1000000</f>
        <v>168.87078593385627</v>
      </c>
      <c r="F15" s="33">
        <f>C37*'E Balans VL '!L15/100/3.6*1000000+C37*'E Balans VL '!N15/100/3.6*1000000</f>
        <v>635.27475792221639</v>
      </c>
      <c r="G15" s="34"/>
      <c r="H15" s="33"/>
      <c r="I15" s="33"/>
      <c r="J15" s="40">
        <f>C37*'E Balans VL '!D15/100/3.6*1000000+C37*'E Balans VL '!E15/100/3.6*1000000</f>
        <v>29.518842241222714</v>
      </c>
      <c r="K15" s="33"/>
      <c r="L15" s="33"/>
      <c r="M15" s="33"/>
      <c r="N15" s="33">
        <f>C37*'E Balans VL '!Y15/100/3.6*1000000</f>
        <v>139.06420330422242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16394.37703</v>
      </c>
      <c r="C18" s="21">
        <f>C5+C16</f>
        <v>0</v>
      </c>
      <c r="D18" s="21">
        <f>MAX((D5+D16),0)</f>
        <v>8131.8085646599993</v>
      </c>
      <c r="E18" s="21">
        <f>MAX((E5+E16),0)</f>
        <v>856.62908805012307</v>
      </c>
      <c r="F18" s="21">
        <f>MAX((F5+F16),0)</f>
        <v>3335.2077963464662</v>
      </c>
      <c r="G18" s="21"/>
      <c r="H18" s="21"/>
      <c r="I18" s="21"/>
      <c r="J18" s="21">
        <f>MAX((J5+J16),0)</f>
        <v>208.87387244998558</v>
      </c>
      <c r="K18" s="21"/>
      <c r="L18" s="21">
        <f>MAX((L5+L16),0)</f>
        <v>0</v>
      </c>
      <c r="M18" s="21"/>
      <c r="N18" s="21">
        <f>MAX((N5+N16),0)</f>
        <v>415.28579687702819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5.4875364464440197E-2</v>
      </c>
      <c r="C20" s="25">
        <f ca="1">'EF ele_warmte'!B22</f>
        <v>2.4548078159414226E-5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899.64741468869659</v>
      </c>
      <c r="C22" s="23">
        <f ca="1">C18*C20</f>
        <v>0</v>
      </c>
      <c r="D22" s="23">
        <f>D18*D20</f>
        <v>1642.62533006132</v>
      </c>
      <c r="E22" s="23">
        <f>E18*E20</f>
        <v>194.45480298737795</v>
      </c>
      <c r="F22" s="23">
        <f>F18*F20</f>
        <v>890.50048162450651</v>
      </c>
      <c r="G22" s="23"/>
      <c r="H22" s="23"/>
      <c r="I22" s="23"/>
      <c r="J22" s="23">
        <f>J18*J20</f>
        <v>73.941350847294899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8421.0580229999996</v>
      </c>
      <c r="C30" s="39">
        <f>IF(ISERROR(B30*3.6/1000000/'E Balans VL '!Z18*100),0,B30*3.6/1000000/'E Balans VL '!Z18*100)</f>
        <v>0.48613453988954336</v>
      </c>
      <c r="D30" s="237" t="s">
        <v>716</v>
      </c>
    </row>
    <row r="31" spans="1:18">
      <c r="A31" s="6" t="s">
        <v>32</v>
      </c>
      <c r="B31" s="37">
        <f>IF( ISERROR(IND_ander_ele_kWh/1000),0,IND_ander_ele_kWh/1000)</f>
        <v>2250.1657829999999</v>
      </c>
      <c r="C31" s="39">
        <f>IF(ISERROR(B31*3.6/1000000/'E Balans VL '!Z19*100),0,B31*3.6/1000000/'E Balans VL '!Z19*100)</f>
        <v>0.11317604525493087</v>
      </c>
      <c r="D31" s="237" t="s">
        <v>716</v>
      </c>
    </row>
    <row r="32" spans="1:18">
      <c r="A32" s="171" t="s">
        <v>40</v>
      </c>
      <c r="B32" s="37">
        <f>IF( ISERROR(IND_voed_ele_kWh/1000),0,IND_voed_ele_kWh/1000)</f>
        <v>351.80780099999998</v>
      </c>
      <c r="C32" s="39">
        <f>IF(ISERROR(B32*3.6/1000000/'E Balans VL '!Z20*100),0,B32*3.6/1000000/'E Balans VL '!Z20*100)</f>
        <v>1.1717288895300706E-2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1561.9407879999999</v>
      </c>
      <c r="C35" s="39">
        <f>IF(ISERROR(B35*3.6/1000000/'E Balans VL '!Z22*100),0,B35*3.6/1000000/'E Balans VL '!Z22*100)</f>
        <v>0.29135471363365667</v>
      </c>
      <c r="D35" s="237" t="s">
        <v>716</v>
      </c>
    </row>
    <row r="36" spans="1:5">
      <c r="A36" s="171" t="s">
        <v>33</v>
      </c>
      <c r="B36" s="37">
        <f>IF( ISERROR(IND_chemie_ele_kWh/1000),0,IND_chemie_ele_kWh/1000)</f>
        <v>236.21986900000002</v>
      </c>
      <c r="C36" s="39">
        <f>IF(ISERROR(B36*3.6/1000000/'E Balans VL '!Z24*100),0,B36*3.6/1000000/'E Balans VL '!Z24*100)</f>
        <v>6.23059007834689E-3</v>
      </c>
      <c r="D36" s="237" t="s">
        <v>716</v>
      </c>
    </row>
    <row r="37" spans="1:5">
      <c r="A37" s="171" t="s">
        <v>269</v>
      </c>
      <c r="B37" s="37">
        <f>IF( ISERROR(IND_rest_ele_kWh/1000),0,IND_rest_ele_kWh/1000)</f>
        <v>3573.1847659999999</v>
      </c>
      <c r="C37" s="39">
        <f>IF(ISERROR(B37*3.6/1000000/'E Balans VL '!Z15*100),0,B37*3.6/1000000/'E Balans VL '!Z15*100)</f>
        <v>2.7880612517319849E-2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5550.1945530000003</v>
      </c>
      <c r="C5" s="17">
        <f>'Eigen informatie GS &amp; warmtenet'!B62</f>
        <v>0</v>
      </c>
      <c r="D5" s="30">
        <f>IF(ISERROR(SUM(LB_lb_gas_kWh,LB_rest_gas_kWh)/1000),0,SUM(LB_lb_gas_kWh,LB_rest_gas_kWh)/1000)*0.902</f>
        <v>1183.3505636699999</v>
      </c>
      <c r="E5" s="17">
        <f>B17*'E Balans VL '!I25/3.6*1000000/100</f>
        <v>173.21974177075788</v>
      </c>
      <c r="F5" s="17">
        <f>B17*('E Balans VL '!L25/3.6*1000000+'E Balans VL '!N25/3.6*1000000)/100</f>
        <v>19615.002384268824</v>
      </c>
      <c r="G5" s="18"/>
      <c r="H5" s="17"/>
      <c r="I5" s="17"/>
      <c r="J5" s="17">
        <f>('E Balans VL '!D25+'E Balans VL '!E25)/3.6*1000000*landbouw!B17/100</f>
        <v>1529.117089613399</v>
      </c>
      <c r="K5" s="17"/>
      <c r="L5" s="17">
        <f>L6*(-1)</f>
        <v>0</v>
      </c>
      <c r="M5" s="17"/>
      <c r="N5" s="17">
        <f>N6*(-1)</f>
        <v>87994.28571428571</v>
      </c>
      <c r="O5" s="17"/>
      <c r="P5" s="17"/>
      <c r="R5" s="32"/>
    </row>
    <row r="6" spans="1:18">
      <c r="A6" s="16" t="s">
        <v>482</v>
      </c>
      <c r="B6" s="17" t="s">
        <v>210</v>
      </c>
      <c r="C6" s="17">
        <f>'lokale energieproductie'!O92+'lokale energieproductie'!O61</f>
        <v>43997.142857142855</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5550.1945530000003</v>
      </c>
      <c r="C8" s="21">
        <f>C5+C6</f>
        <v>43997.142857142855</v>
      </c>
      <c r="D8" s="21">
        <f>MAX((D5+D6),0)</f>
        <v>1183.3505636699999</v>
      </c>
      <c r="E8" s="21">
        <f>MAX((E5+E6),0)</f>
        <v>173.21974177075788</v>
      </c>
      <c r="F8" s="21">
        <f>MAX((F5+F6),0)</f>
        <v>19615.002384268824</v>
      </c>
      <c r="G8" s="21"/>
      <c r="H8" s="21"/>
      <c r="I8" s="21"/>
      <c r="J8" s="21">
        <f>MAX((J5+J6),0)</f>
        <v>1529.117089613399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5.4875364464440197E-2</v>
      </c>
      <c r="C10" s="31">
        <f ca="1">'EF ele_warmte'!B22</f>
        <v>2.4548078159414226E-5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304.56894894442576</v>
      </c>
      <c r="C12" s="23">
        <f ca="1">C8*C10</f>
        <v>1.0800453016480562</v>
      </c>
      <c r="D12" s="23">
        <f>D8*D10</f>
        <v>239.03681386133999</v>
      </c>
      <c r="E12" s="23">
        <f>E8*E10</f>
        <v>39.320881381962039</v>
      </c>
      <c r="F12" s="23">
        <f>F8*F10</f>
        <v>5237.205636599776</v>
      </c>
      <c r="G12" s="23"/>
      <c r="H12" s="23"/>
      <c r="I12" s="23"/>
      <c r="J12" s="23">
        <f>J8*J10</f>
        <v>541.30744972314324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0.82507620786677061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439.84458983116713</v>
      </c>
      <c r="C26" s="247">
        <f>B26*'GWP N2O_CH4'!B5</f>
        <v>9236.7363864545096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261.06351625008648</v>
      </c>
      <c r="C27" s="247">
        <f>B27*'GWP N2O_CH4'!B5</f>
        <v>5482.333841251816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8.8808523436982618</v>
      </c>
      <c r="C28" s="247">
        <f>B28*'GWP N2O_CH4'!B4</f>
        <v>2753.0642265464612</v>
      </c>
      <c r="D28" s="50"/>
    </row>
    <row r="29" spans="1:4">
      <c r="A29" s="41" t="s">
        <v>276</v>
      </c>
      <c r="B29" s="247">
        <f>B34*'ha_N2O bodem landbouw'!B4</f>
        <v>16.538947789201959</v>
      </c>
      <c r="C29" s="247">
        <f>B29*'GWP N2O_CH4'!B4</f>
        <v>5127.0738146526073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3.6266934731125073E-3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1.5743438854499996E-4</v>
      </c>
      <c r="C5" s="463" t="s">
        <v>210</v>
      </c>
      <c r="D5" s="448">
        <f>SUM(D6:D11)</f>
        <v>6.2071862850214001E-4</v>
      </c>
      <c r="E5" s="448">
        <f>SUM(E6:E11)</f>
        <v>5.2993977855702494E-4</v>
      </c>
      <c r="F5" s="461" t="s">
        <v>210</v>
      </c>
      <c r="G5" s="448">
        <f>SUM(G6:G11)</f>
        <v>0.28276932616911138</v>
      </c>
      <c r="H5" s="448">
        <f>SUM(H6:H11)</f>
        <v>4.7145370288292736E-2</v>
      </c>
      <c r="I5" s="463" t="s">
        <v>210</v>
      </c>
      <c r="J5" s="463" t="s">
        <v>210</v>
      </c>
      <c r="K5" s="463" t="s">
        <v>210</v>
      </c>
      <c r="L5" s="463" t="s">
        <v>210</v>
      </c>
      <c r="M5" s="448">
        <f>SUM(M6:M11)</f>
        <v>1.9402145939279795E-2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6.3981367109999988E-5</v>
      </c>
      <c r="C6" s="449"/>
      <c r="D6" s="917">
        <f>vkm_2011_GW_PW*SUMIFS(TableVerdeelsleutelVkm[CNG],TableVerdeelsleutelVkm[Voertuigtype],"Lichte voertuigen")*SUMIFS(TableECFTransport[EnergieConsumptieFactor (PJ per km)],TableECFTransport[Index],CONCATENATE($A6,"_CNG_CNG"))</f>
        <v>2.2247411154645603E-4</v>
      </c>
      <c r="E6" s="917">
        <f>vkm_2011_GW_PW*SUMIFS(TableVerdeelsleutelVkm[LPG],TableVerdeelsleutelVkm[Voertuigtype],"Lichte voertuigen")*SUMIFS(TableECFTransport[EnergieConsumptieFactor (PJ per km)],TableECFTransport[Index],CONCATENATE($A6,"_LPG_LPG"))</f>
        <v>1.7527294613519997E-4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4.7711333913803243E-2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1.6695797957507186E-2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3.8487309505550781E-3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1.6378581944221902E-2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4.1262925892268353E-6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9.4444020515721658E-4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2.330625098E-5</v>
      </c>
      <c r="C8" s="449"/>
      <c r="D8" s="451">
        <f>vkm_2011_NGW_PW*SUMIFS(TableVerdeelsleutelVkm[CNG],TableVerdeelsleutelVkm[Voertuigtype],"Lichte voertuigen")*SUMIFS(TableECFTransport[EnergieConsumptieFactor (PJ per km)],TableECFTransport[Index],CONCATENATE($A8,"_CNG_CNG"))</f>
        <v>1.4341963493088E-4</v>
      </c>
      <c r="E8" s="451">
        <f>vkm_2011_NGW_PW*SUMIFS(TableVerdeelsleutelVkm[LPG],TableVerdeelsleutelVkm[Voertuigtype],"Lichte voertuigen")*SUMIFS(TableECFTransport[EnergieConsumptieFactor (PJ per km)],TableECFTransport[Index],CONCATENATE($A8,"_LPG_LPG"))</f>
        <v>1.047496767991E-4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2.6460197123099924E-2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1.0487624061862618E-2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2.2152699891771566E-3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6.0556277791835606E-3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1.4394944180536056E-6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3.4918075185804272E-4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7.0146770454999985E-5</v>
      </c>
      <c r="C10" s="449"/>
      <c r="D10" s="451">
        <f>vkm_2011_SW_PW*SUMIFS(TableVerdeelsleutelVkm[CNG],TableVerdeelsleutelVkm[Voertuigtype],"Lichte voertuigen")*SUMIFS(TableECFTransport[EnergieConsumptieFactor (PJ per km)],TableECFTransport[Index],CONCATENATE($A10,"_CNG_CNG"))</f>
        <v>2.5482488202480401E-4</v>
      </c>
      <c r="E10" s="451">
        <f>vkm_2011_SW_PW*SUMIFS(TableVerdeelsleutelVkm[LPG],TableVerdeelsleutelVkm[Voertuigtype],"Lichte voertuigen")*SUMIFS(TableECFTransport[EnergieConsumptieFactor (PJ per km)],TableECFTransport[Index],CONCATENATE($A10,"_LPG_LPG"))</f>
        <v>2.4991715562272499E-4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6.0431302081489377E-2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1.9922074838907667E-2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4.7942346485109416E-3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0.12573228332731337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3.430764300798496E-5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7.2502893940213625E-3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43.731774595833322</v>
      </c>
      <c r="C14" s="21"/>
      <c r="D14" s="21">
        <f t="shared" ref="D14:M14" si="0">((D5)*10^9/3600)+D12</f>
        <v>172.42184125059447</v>
      </c>
      <c r="E14" s="21">
        <f t="shared" si="0"/>
        <v>147.20549404361802</v>
      </c>
      <c r="F14" s="21"/>
      <c r="G14" s="21">
        <f t="shared" si="0"/>
        <v>78547.035046975376</v>
      </c>
      <c r="H14" s="21">
        <f t="shared" si="0"/>
        <v>13095.936191192426</v>
      </c>
      <c r="I14" s="21"/>
      <c r="J14" s="21"/>
      <c r="K14" s="21"/>
      <c r="L14" s="21"/>
      <c r="M14" s="21">
        <f t="shared" si="0"/>
        <v>5389.4849831332767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5.4875364464440197E-2</v>
      </c>
      <c r="C16" s="56">
        <f ca="1">'EF ele_warmte'!B22</f>
        <v>2.4548078159414226E-5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2.3997970696231006</v>
      </c>
      <c r="C18" s="23"/>
      <c r="D18" s="23">
        <f t="shared" ref="D18:M18" si="1">D14*D16</f>
        <v>34.829211932620083</v>
      </c>
      <c r="E18" s="23">
        <f t="shared" si="1"/>
        <v>33.415647147901289</v>
      </c>
      <c r="F18" s="23"/>
      <c r="G18" s="23">
        <f t="shared" si="1"/>
        <v>20972.058357542428</v>
      </c>
      <c r="H18" s="23">
        <f t="shared" si="1"/>
        <v>3260.8881116069142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2.4786720248028823E-3</v>
      </c>
      <c r="H50" s="321">
        <f t="shared" si="2"/>
        <v>0</v>
      </c>
      <c r="I50" s="321">
        <f t="shared" si="2"/>
        <v>0</v>
      </c>
      <c r="J50" s="321">
        <f t="shared" si="2"/>
        <v>0</v>
      </c>
      <c r="K50" s="321">
        <f t="shared" si="2"/>
        <v>0</v>
      </c>
      <c r="L50" s="321">
        <f t="shared" si="2"/>
        <v>0</v>
      </c>
      <c r="M50" s="321">
        <f t="shared" si="2"/>
        <v>1.3776486538853781E-4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2.4786720248028823E-3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1.3776486538853781E-4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688.52000688968951</v>
      </c>
      <c r="H54" s="21">
        <f t="shared" si="3"/>
        <v>0</v>
      </c>
      <c r="I54" s="21">
        <f t="shared" si="3"/>
        <v>0</v>
      </c>
      <c r="J54" s="21">
        <f t="shared" si="3"/>
        <v>0</v>
      </c>
      <c r="K54" s="21">
        <f t="shared" si="3"/>
        <v>0</v>
      </c>
      <c r="L54" s="21">
        <f t="shared" si="3"/>
        <v>0</v>
      </c>
      <c r="M54" s="21">
        <f t="shared" si="3"/>
        <v>38.268018163482729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5.4875364464440197E-2</v>
      </c>
      <c r="C56" s="56">
        <f ca="1">'EF ele_warmte'!B22</f>
        <v>2.4548078159414226E-5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183.83484183954712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46310.470100333332</v>
      </c>
      <c r="D10" s="712">
        <f ca="1">tertiair!C16</f>
        <v>19.278153153153152</v>
      </c>
      <c r="E10" s="712">
        <f ca="1">tertiair!D16</f>
        <v>13321.797726493533</v>
      </c>
      <c r="F10" s="712">
        <f>tertiair!E16</f>
        <v>215.35887461725602</v>
      </c>
      <c r="G10" s="712">
        <f ca="1">tertiair!F16</f>
        <v>6605.6793125546646</v>
      </c>
      <c r="H10" s="712">
        <f>tertiair!G16</f>
        <v>0</v>
      </c>
      <c r="I10" s="712">
        <f>tertiair!H16</f>
        <v>0</v>
      </c>
      <c r="J10" s="712">
        <f>tertiair!I16</f>
        <v>0</v>
      </c>
      <c r="K10" s="712">
        <f>tertiair!J16</f>
        <v>0.60924169990660182</v>
      </c>
      <c r="L10" s="712">
        <f>tertiair!K16</f>
        <v>0</v>
      </c>
      <c r="M10" s="712">
        <f ca="1">tertiair!L16</f>
        <v>0</v>
      </c>
      <c r="N10" s="712">
        <f>tertiair!M16</f>
        <v>0</v>
      </c>
      <c r="O10" s="712">
        <f ca="1">tertiair!N16</f>
        <v>23750.004755227314</v>
      </c>
      <c r="P10" s="712">
        <f>tertiair!O16</f>
        <v>24.486303829205774</v>
      </c>
      <c r="Q10" s="713">
        <f>tertiair!P16</f>
        <v>315.23482983897009</v>
      </c>
      <c r="R10" s="715">
        <f ca="1">SUM(C10:Q10)</f>
        <v>90562.919297747329</v>
      </c>
      <c r="S10" s="67"/>
    </row>
    <row r="11" spans="1:19" s="474" customFormat="1">
      <c r="A11" s="834" t="s">
        <v>224</v>
      </c>
      <c r="B11" s="839"/>
      <c r="C11" s="712">
        <f>huishoudens!B8</f>
        <v>21344.479168718892</v>
      </c>
      <c r="D11" s="712">
        <f>huishoudens!C8</f>
        <v>0</v>
      </c>
      <c r="E11" s="712">
        <f>huishoudens!D8</f>
        <v>58208.535566060003</v>
      </c>
      <c r="F11" s="712">
        <f>huishoudens!E8</f>
        <v>9507.7992963936304</v>
      </c>
      <c r="G11" s="712">
        <f>huishoudens!F8</f>
        <v>4817.510403609218</v>
      </c>
      <c r="H11" s="712">
        <f>huishoudens!G8</f>
        <v>0</v>
      </c>
      <c r="I11" s="712">
        <f>huishoudens!H8</f>
        <v>0</v>
      </c>
      <c r="J11" s="712">
        <f>huishoudens!I8</f>
        <v>0</v>
      </c>
      <c r="K11" s="712">
        <f>huishoudens!J8</f>
        <v>0</v>
      </c>
      <c r="L11" s="712">
        <f>huishoudens!K8</f>
        <v>0</v>
      </c>
      <c r="M11" s="712">
        <f>huishoudens!L8</f>
        <v>0</v>
      </c>
      <c r="N11" s="712">
        <f>huishoudens!M8</f>
        <v>0</v>
      </c>
      <c r="O11" s="712">
        <f>huishoudens!N8</f>
        <v>28055.474319857283</v>
      </c>
      <c r="P11" s="712">
        <f>huishoudens!O8</f>
        <v>412.6633096325026</v>
      </c>
      <c r="Q11" s="713">
        <f>huishoudens!P8</f>
        <v>684.70735499952639</v>
      </c>
      <c r="R11" s="715">
        <f>SUM(C11:Q11)</f>
        <v>123031.16941927107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16394.37703</v>
      </c>
      <c r="D13" s="712">
        <f>industrie!C18</f>
        <v>0</v>
      </c>
      <c r="E13" s="712">
        <f>industrie!D18</f>
        <v>8131.8085646599993</v>
      </c>
      <c r="F13" s="712">
        <f>industrie!E18</f>
        <v>856.62908805012307</v>
      </c>
      <c r="G13" s="712">
        <f>industrie!F18</f>
        <v>3335.2077963464662</v>
      </c>
      <c r="H13" s="712">
        <f>industrie!G18</f>
        <v>0</v>
      </c>
      <c r="I13" s="712">
        <f>industrie!H18</f>
        <v>0</v>
      </c>
      <c r="J13" s="712">
        <f>industrie!I18</f>
        <v>0</v>
      </c>
      <c r="K13" s="712">
        <f>industrie!J18</f>
        <v>208.87387244998558</v>
      </c>
      <c r="L13" s="712">
        <f>industrie!K18</f>
        <v>0</v>
      </c>
      <c r="M13" s="712">
        <f>industrie!L18</f>
        <v>0</v>
      </c>
      <c r="N13" s="712">
        <f>industrie!M18</f>
        <v>0</v>
      </c>
      <c r="O13" s="712">
        <f>industrie!N18</f>
        <v>415.28579687702819</v>
      </c>
      <c r="P13" s="712">
        <f>industrie!O18</f>
        <v>0</v>
      </c>
      <c r="Q13" s="713">
        <f>industrie!P18</f>
        <v>0</v>
      </c>
      <c r="R13" s="715">
        <f>SUM(C13:Q13)</f>
        <v>29342.182148383599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84049.32629905222</v>
      </c>
      <c r="D16" s="748">
        <f t="shared" ref="D16:R16" ca="1" si="0">SUM(D9:D15)</f>
        <v>19.278153153153152</v>
      </c>
      <c r="E16" s="748">
        <f t="shared" ca="1" si="0"/>
        <v>79662.14185721353</v>
      </c>
      <c r="F16" s="748">
        <f t="shared" si="0"/>
        <v>10579.78725906101</v>
      </c>
      <c r="G16" s="748">
        <f t="shared" ca="1" si="0"/>
        <v>14758.39751251035</v>
      </c>
      <c r="H16" s="748">
        <f t="shared" si="0"/>
        <v>0</v>
      </c>
      <c r="I16" s="748">
        <f t="shared" si="0"/>
        <v>0</v>
      </c>
      <c r="J16" s="748">
        <f t="shared" si="0"/>
        <v>0</v>
      </c>
      <c r="K16" s="748">
        <f t="shared" si="0"/>
        <v>209.48311414989217</v>
      </c>
      <c r="L16" s="748">
        <f t="shared" si="0"/>
        <v>0</v>
      </c>
      <c r="M16" s="748">
        <f t="shared" ca="1" si="0"/>
        <v>0</v>
      </c>
      <c r="N16" s="748">
        <f t="shared" si="0"/>
        <v>0</v>
      </c>
      <c r="O16" s="748">
        <f t="shared" ca="1" si="0"/>
        <v>52220.764871961626</v>
      </c>
      <c r="P16" s="748">
        <f t="shared" si="0"/>
        <v>437.14961346170838</v>
      </c>
      <c r="Q16" s="748">
        <f t="shared" si="0"/>
        <v>999.94218483849647</v>
      </c>
      <c r="R16" s="748">
        <f t="shared" ca="1" si="0"/>
        <v>242936.27086540201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688.52000688968951</v>
      </c>
      <c r="I19" s="712">
        <f>transport!H54</f>
        <v>0</v>
      </c>
      <c r="J19" s="712">
        <f>transport!I54</f>
        <v>0</v>
      </c>
      <c r="K19" s="712">
        <f>transport!J54</f>
        <v>0</v>
      </c>
      <c r="L19" s="712">
        <f>transport!K54</f>
        <v>0</v>
      </c>
      <c r="M19" s="712">
        <f>transport!L54</f>
        <v>0</v>
      </c>
      <c r="N19" s="712">
        <f>transport!M54</f>
        <v>38.268018163482729</v>
      </c>
      <c r="O19" s="712">
        <f>transport!N54</f>
        <v>0</v>
      </c>
      <c r="P19" s="712">
        <f>transport!O54</f>
        <v>0</v>
      </c>
      <c r="Q19" s="713">
        <f>transport!P54</f>
        <v>0</v>
      </c>
      <c r="R19" s="715">
        <f>SUM(C19:Q19)</f>
        <v>726.78802505317219</v>
      </c>
      <c r="S19" s="67"/>
    </row>
    <row r="20" spans="1:19" s="474" customFormat="1">
      <c r="A20" s="834" t="s">
        <v>306</v>
      </c>
      <c r="B20" s="839"/>
      <c r="C20" s="712">
        <f>transport!B14</f>
        <v>43.731774595833322</v>
      </c>
      <c r="D20" s="712">
        <f>transport!C14</f>
        <v>0</v>
      </c>
      <c r="E20" s="712">
        <f>transport!D14</f>
        <v>172.42184125059447</v>
      </c>
      <c r="F20" s="712">
        <f>transport!E14</f>
        <v>147.20549404361802</v>
      </c>
      <c r="G20" s="712">
        <f>transport!F14</f>
        <v>0</v>
      </c>
      <c r="H20" s="712">
        <f>transport!G14</f>
        <v>78547.035046975376</v>
      </c>
      <c r="I20" s="712">
        <f>transport!H14</f>
        <v>13095.936191192426</v>
      </c>
      <c r="J20" s="712">
        <f>transport!I14</f>
        <v>0</v>
      </c>
      <c r="K20" s="712">
        <f>transport!J14</f>
        <v>0</v>
      </c>
      <c r="L20" s="712">
        <f>transport!K14</f>
        <v>0</v>
      </c>
      <c r="M20" s="712">
        <f>transport!L14</f>
        <v>0</v>
      </c>
      <c r="N20" s="712">
        <f>transport!M14</f>
        <v>5389.4849831332767</v>
      </c>
      <c r="O20" s="712">
        <f>transport!N14</f>
        <v>0</v>
      </c>
      <c r="P20" s="712">
        <f>transport!O14</f>
        <v>0</v>
      </c>
      <c r="Q20" s="713">
        <f>transport!P14</f>
        <v>0</v>
      </c>
      <c r="R20" s="715">
        <f>SUM(C20:Q20)</f>
        <v>97395.81533119113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43.731774595833322</v>
      </c>
      <c r="D22" s="837">
        <f t="shared" ref="D22:R22" si="1">SUM(D18:D21)</f>
        <v>0</v>
      </c>
      <c r="E22" s="837">
        <f t="shared" si="1"/>
        <v>172.42184125059447</v>
      </c>
      <c r="F22" s="837">
        <f t="shared" si="1"/>
        <v>147.20549404361802</v>
      </c>
      <c r="G22" s="837">
        <f t="shared" si="1"/>
        <v>0</v>
      </c>
      <c r="H22" s="837">
        <f t="shared" si="1"/>
        <v>79235.555053865071</v>
      </c>
      <c r="I22" s="837">
        <f t="shared" si="1"/>
        <v>13095.936191192426</v>
      </c>
      <c r="J22" s="837">
        <f t="shared" si="1"/>
        <v>0</v>
      </c>
      <c r="K22" s="837">
        <f t="shared" si="1"/>
        <v>0</v>
      </c>
      <c r="L22" s="837">
        <f t="shared" si="1"/>
        <v>0</v>
      </c>
      <c r="M22" s="837">
        <f t="shared" si="1"/>
        <v>0</v>
      </c>
      <c r="N22" s="837">
        <f t="shared" si="1"/>
        <v>5427.7530012967591</v>
      </c>
      <c r="O22" s="837">
        <f t="shared" si="1"/>
        <v>0</v>
      </c>
      <c r="P22" s="837">
        <f t="shared" si="1"/>
        <v>0</v>
      </c>
      <c r="Q22" s="837">
        <f t="shared" si="1"/>
        <v>0</v>
      </c>
      <c r="R22" s="837">
        <f t="shared" si="1"/>
        <v>98122.603356244304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5550.1945530000003</v>
      </c>
      <c r="D24" s="712">
        <f>+landbouw!C8</f>
        <v>43997.142857142855</v>
      </c>
      <c r="E24" s="712">
        <f>+landbouw!D8</f>
        <v>1183.3505636699999</v>
      </c>
      <c r="F24" s="712">
        <f>+landbouw!E8</f>
        <v>173.21974177075788</v>
      </c>
      <c r="G24" s="712">
        <f>+landbouw!F8</f>
        <v>19615.002384268824</v>
      </c>
      <c r="H24" s="712">
        <f>+landbouw!G8</f>
        <v>0</v>
      </c>
      <c r="I24" s="712">
        <f>+landbouw!H8</f>
        <v>0</v>
      </c>
      <c r="J24" s="712">
        <f>+landbouw!I8</f>
        <v>0</v>
      </c>
      <c r="K24" s="712">
        <f>+landbouw!J8</f>
        <v>1529.117089613399</v>
      </c>
      <c r="L24" s="712">
        <f>+landbouw!K8</f>
        <v>0</v>
      </c>
      <c r="M24" s="712">
        <f>+landbouw!L8</f>
        <v>0</v>
      </c>
      <c r="N24" s="712">
        <f>+landbouw!M8</f>
        <v>0</v>
      </c>
      <c r="O24" s="712">
        <f>+landbouw!N8</f>
        <v>0</v>
      </c>
      <c r="P24" s="712">
        <f>+landbouw!O8</f>
        <v>0</v>
      </c>
      <c r="Q24" s="713">
        <f>+landbouw!P8</f>
        <v>0</v>
      </c>
      <c r="R24" s="715">
        <f>SUM(C24:Q24)</f>
        <v>72048.027189465836</v>
      </c>
      <c r="S24" s="67"/>
    </row>
    <row r="25" spans="1:19" s="474" customFormat="1" ht="15" thickBot="1">
      <c r="A25" s="856" t="s">
        <v>734</v>
      </c>
      <c r="B25" s="982"/>
      <c r="C25" s="983">
        <f>IF(Onbekend_ele_kWh="---",0,Onbekend_ele_kWh)/1000+IF(REST_rest_ele_kWh="---",0,REST_rest_ele_kWh)/1000</f>
        <v>487.039176</v>
      </c>
      <c r="D25" s="983"/>
      <c r="E25" s="983">
        <f>IF(onbekend_gas_kWh="---",0,onbekend_gas_kWh)/1000+IF(REST_rest_gas_kWh="---",0,REST_rest_gas_kWh)/1000</f>
        <v>1214.170001</v>
      </c>
      <c r="F25" s="983"/>
      <c r="G25" s="983"/>
      <c r="H25" s="983"/>
      <c r="I25" s="983"/>
      <c r="J25" s="983"/>
      <c r="K25" s="983"/>
      <c r="L25" s="983"/>
      <c r="M25" s="983"/>
      <c r="N25" s="983"/>
      <c r="O25" s="983"/>
      <c r="P25" s="983"/>
      <c r="Q25" s="984"/>
      <c r="R25" s="715">
        <f>SUM(C25:Q25)</f>
        <v>1701.209177</v>
      </c>
      <c r="S25" s="67"/>
    </row>
    <row r="26" spans="1:19" s="474" customFormat="1" ht="15.75" thickBot="1">
      <c r="A26" s="720" t="s">
        <v>735</v>
      </c>
      <c r="B26" s="842"/>
      <c r="C26" s="837">
        <f>SUM(C24:C25)</f>
        <v>6037.2337290000005</v>
      </c>
      <c r="D26" s="837">
        <f t="shared" ref="D26:R26" si="2">SUM(D24:D25)</f>
        <v>43997.142857142855</v>
      </c>
      <c r="E26" s="837">
        <f t="shared" si="2"/>
        <v>2397.5205646699997</v>
      </c>
      <c r="F26" s="837">
        <f t="shared" si="2"/>
        <v>173.21974177075788</v>
      </c>
      <c r="G26" s="837">
        <f t="shared" si="2"/>
        <v>19615.002384268824</v>
      </c>
      <c r="H26" s="837">
        <f t="shared" si="2"/>
        <v>0</v>
      </c>
      <c r="I26" s="837">
        <f t="shared" si="2"/>
        <v>0</v>
      </c>
      <c r="J26" s="837">
        <f t="shared" si="2"/>
        <v>0</v>
      </c>
      <c r="K26" s="837">
        <f t="shared" si="2"/>
        <v>1529.117089613399</v>
      </c>
      <c r="L26" s="837">
        <f t="shared" si="2"/>
        <v>0</v>
      </c>
      <c r="M26" s="837">
        <f t="shared" si="2"/>
        <v>0</v>
      </c>
      <c r="N26" s="837">
        <f t="shared" si="2"/>
        <v>0</v>
      </c>
      <c r="O26" s="837">
        <f t="shared" si="2"/>
        <v>0</v>
      </c>
      <c r="P26" s="837">
        <f t="shared" si="2"/>
        <v>0</v>
      </c>
      <c r="Q26" s="837">
        <f t="shared" si="2"/>
        <v>0</v>
      </c>
      <c r="R26" s="837">
        <f t="shared" si="2"/>
        <v>73749.236366465833</v>
      </c>
      <c r="S26" s="67"/>
    </row>
    <row r="27" spans="1:19" s="474" customFormat="1" ht="17.25" thickTop="1" thickBot="1">
      <c r="A27" s="721" t="s">
        <v>115</v>
      </c>
      <c r="B27" s="829"/>
      <c r="C27" s="722">
        <f ca="1">C22+C16+C26</f>
        <v>90130.291802648047</v>
      </c>
      <c r="D27" s="722">
        <f t="shared" ref="D27:R27" ca="1" si="3">D22+D16+D26</f>
        <v>44016.421010296006</v>
      </c>
      <c r="E27" s="722">
        <f t="shared" ca="1" si="3"/>
        <v>82232.084263134137</v>
      </c>
      <c r="F27" s="722">
        <f t="shared" si="3"/>
        <v>10900.212494875384</v>
      </c>
      <c r="G27" s="722">
        <f t="shared" ca="1" si="3"/>
        <v>34373.39989677917</v>
      </c>
      <c r="H27" s="722">
        <f t="shared" si="3"/>
        <v>79235.555053865071</v>
      </c>
      <c r="I27" s="722">
        <f t="shared" si="3"/>
        <v>13095.936191192426</v>
      </c>
      <c r="J27" s="722">
        <f t="shared" si="3"/>
        <v>0</v>
      </c>
      <c r="K27" s="722">
        <f t="shared" si="3"/>
        <v>1738.6002037632911</v>
      </c>
      <c r="L27" s="722">
        <f t="shared" si="3"/>
        <v>0</v>
      </c>
      <c r="M27" s="722">
        <f t="shared" ca="1" si="3"/>
        <v>0</v>
      </c>
      <c r="N27" s="722">
        <f t="shared" si="3"/>
        <v>5427.7530012967591</v>
      </c>
      <c r="O27" s="722">
        <f t="shared" ca="1" si="3"/>
        <v>52220.764871961626</v>
      </c>
      <c r="P27" s="722">
        <f t="shared" si="3"/>
        <v>437.14961346170838</v>
      </c>
      <c r="Q27" s="722">
        <f t="shared" si="3"/>
        <v>999.94218483849647</v>
      </c>
      <c r="R27" s="722">
        <f t="shared" ca="1" si="3"/>
        <v>414808.11058811215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2541.3039252753524</v>
      </c>
      <c r="D40" s="712">
        <f ca="1">tertiair!C20</f>
        <v>4.732416103727614E-4</v>
      </c>
      <c r="E40" s="712">
        <f ca="1">tertiair!D20</f>
        <v>2691.0031407516935</v>
      </c>
      <c r="F40" s="712">
        <f>tertiair!E20</f>
        <v>48.886464538117117</v>
      </c>
      <c r="G40" s="712">
        <f ca="1">tertiair!F20</f>
        <v>1763.7163764520956</v>
      </c>
      <c r="H40" s="712">
        <f>tertiair!G20</f>
        <v>0</v>
      </c>
      <c r="I40" s="712">
        <f>tertiair!H20</f>
        <v>0</v>
      </c>
      <c r="J40" s="712">
        <f>tertiair!I20</f>
        <v>0</v>
      </c>
      <c r="K40" s="712">
        <f>tertiair!J20</f>
        <v>0.21567156176693703</v>
      </c>
      <c r="L40" s="712">
        <f>tertiair!K20</f>
        <v>0</v>
      </c>
      <c r="M40" s="712">
        <f ca="1">tertiair!L20</f>
        <v>0</v>
      </c>
      <c r="N40" s="712">
        <f>tertiair!M20</f>
        <v>0</v>
      </c>
      <c r="O40" s="712">
        <f ca="1">tertiair!N20</f>
        <v>0</v>
      </c>
      <c r="P40" s="712">
        <f>tertiair!O20</f>
        <v>0</v>
      </c>
      <c r="Q40" s="795">
        <f>tertiair!P20</f>
        <v>0</v>
      </c>
      <c r="R40" s="875">
        <f t="shared" ca="1" si="4"/>
        <v>7045.1260518206363</v>
      </c>
    </row>
    <row r="41" spans="1:18">
      <c r="A41" s="847" t="s">
        <v>224</v>
      </c>
      <c r="B41" s="854"/>
      <c r="C41" s="712">
        <f ca="1">huishoudens!B12</f>
        <v>1171.2860736871007</v>
      </c>
      <c r="D41" s="712">
        <f ca="1">huishoudens!C12</f>
        <v>0</v>
      </c>
      <c r="E41" s="712">
        <f>huishoudens!D12</f>
        <v>11758.124184344122</v>
      </c>
      <c r="F41" s="712">
        <f>huishoudens!E12</f>
        <v>2158.2704402813542</v>
      </c>
      <c r="G41" s="712">
        <f>huishoudens!F12</f>
        <v>1286.2752777636613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16373.955976076239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899.64741468869659</v>
      </c>
      <c r="D43" s="712">
        <f ca="1">industrie!C22</f>
        <v>0</v>
      </c>
      <c r="E43" s="712">
        <f>industrie!D22</f>
        <v>1642.62533006132</v>
      </c>
      <c r="F43" s="712">
        <f>industrie!E22</f>
        <v>194.45480298737795</v>
      </c>
      <c r="G43" s="712">
        <f>industrie!F22</f>
        <v>890.50048162450651</v>
      </c>
      <c r="H43" s="712">
        <f>industrie!G22</f>
        <v>0</v>
      </c>
      <c r="I43" s="712">
        <f>industrie!H22</f>
        <v>0</v>
      </c>
      <c r="J43" s="712">
        <f>industrie!I22</f>
        <v>0</v>
      </c>
      <c r="K43" s="712">
        <f>industrie!J22</f>
        <v>73.941350847294899</v>
      </c>
      <c r="L43" s="712">
        <f>industrie!K22</f>
        <v>0</v>
      </c>
      <c r="M43" s="712">
        <f>industrie!L22</f>
        <v>0</v>
      </c>
      <c r="N43" s="712">
        <f>industrie!M22</f>
        <v>0</v>
      </c>
      <c r="O43" s="712">
        <f>industrie!N22</f>
        <v>0</v>
      </c>
      <c r="P43" s="712">
        <f>industrie!O22</f>
        <v>0</v>
      </c>
      <c r="Q43" s="795">
        <f>industrie!P22</f>
        <v>0</v>
      </c>
      <c r="R43" s="874">
        <f t="shared" ca="1" si="4"/>
        <v>3701.1693802091959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4612.2374136511498</v>
      </c>
      <c r="D46" s="748">
        <f t="shared" ref="D46:Q46" ca="1" si="5">SUM(D39:D45)</f>
        <v>4.732416103727614E-4</v>
      </c>
      <c r="E46" s="748">
        <f t="shared" ca="1" si="5"/>
        <v>16091.752655157135</v>
      </c>
      <c r="F46" s="748">
        <f t="shared" si="5"/>
        <v>2401.6117078068496</v>
      </c>
      <c r="G46" s="748">
        <f t="shared" ca="1" si="5"/>
        <v>3940.4921358402635</v>
      </c>
      <c r="H46" s="748">
        <f t="shared" si="5"/>
        <v>0</v>
      </c>
      <c r="I46" s="748">
        <f t="shared" si="5"/>
        <v>0</v>
      </c>
      <c r="J46" s="748">
        <f t="shared" si="5"/>
        <v>0</v>
      </c>
      <c r="K46" s="748">
        <f t="shared" si="5"/>
        <v>74.157022409061838</v>
      </c>
      <c r="L46" s="748">
        <f t="shared" si="5"/>
        <v>0</v>
      </c>
      <c r="M46" s="748">
        <f t="shared" ca="1" si="5"/>
        <v>0</v>
      </c>
      <c r="N46" s="748">
        <f t="shared" si="5"/>
        <v>0</v>
      </c>
      <c r="O46" s="748">
        <f t="shared" ca="1" si="5"/>
        <v>0</v>
      </c>
      <c r="P46" s="748">
        <f t="shared" si="5"/>
        <v>0</v>
      </c>
      <c r="Q46" s="748">
        <f t="shared" si="5"/>
        <v>0</v>
      </c>
      <c r="R46" s="748">
        <f ca="1">SUM(R39:R45)</f>
        <v>27120.251408106073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183.83484183954712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183.83484183954712</v>
      </c>
    </row>
    <row r="50" spans="1:18">
      <c r="A50" s="850" t="s">
        <v>306</v>
      </c>
      <c r="B50" s="860"/>
      <c r="C50" s="718">
        <f ca="1">transport!B18</f>
        <v>2.3997970696231006</v>
      </c>
      <c r="D50" s="718">
        <f>transport!C18</f>
        <v>0</v>
      </c>
      <c r="E50" s="718">
        <f>transport!D18</f>
        <v>34.829211932620083</v>
      </c>
      <c r="F50" s="718">
        <f>transport!E18</f>
        <v>33.415647147901289</v>
      </c>
      <c r="G50" s="718">
        <f>transport!F18</f>
        <v>0</v>
      </c>
      <c r="H50" s="718">
        <f>transport!G18</f>
        <v>20972.058357542428</v>
      </c>
      <c r="I50" s="718">
        <f>transport!H18</f>
        <v>3260.8881116069142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24303.591125299485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2.3997970696231006</v>
      </c>
      <c r="D52" s="748">
        <f t="shared" ref="D52:Q52" ca="1" si="6">SUM(D48:D51)</f>
        <v>0</v>
      </c>
      <c r="E52" s="748">
        <f t="shared" si="6"/>
        <v>34.829211932620083</v>
      </c>
      <c r="F52" s="748">
        <f t="shared" si="6"/>
        <v>33.415647147901289</v>
      </c>
      <c r="G52" s="748">
        <f t="shared" si="6"/>
        <v>0</v>
      </c>
      <c r="H52" s="748">
        <f t="shared" si="6"/>
        <v>21155.893199381975</v>
      </c>
      <c r="I52" s="748">
        <f t="shared" si="6"/>
        <v>3260.8881116069142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24487.425967139032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304.56894894442576</v>
      </c>
      <c r="D54" s="718">
        <f ca="1">+landbouw!C12</f>
        <v>1.0800453016480562</v>
      </c>
      <c r="E54" s="718">
        <f>+landbouw!D12</f>
        <v>239.03681386133999</v>
      </c>
      <c r="F54" s="718">
        <f>+landbouw!E12</f>
        <v>39.320881381962039</v>
      </c>
      <c r="G54" s="718">
        <f>+landbouw!F12</f>
        <v>5237.205636599776</v>
      </c>
      <c r="H54" s="718">
        <f>+landbouw!G12</f>
        <v>0</v>
      </c>
      <c r="I54" s="718">
        <f>+landbouw!H12</f>
        <v>0</v>
      </c>
      <c r="J54" s="718">
        <f>+landbouw!I12</f>
        <v>0</v>
      </c>
      <c r="K54" s="718">
        <f>+landbouw!J12</f>
        <v>541.30744972314324</v>
      </c>
      <c r="L54" s="718">
        <f>+landbouw!K12</f>
        <v>0</v>
      </c>
      <c r="M54" s="718">
        <f>+landbouw!L12</f>
        <v>0</v>
      </c>
      <c r="N54" s="718">
        <f>+landbouw!M12</f>
        <v>0</v>
      </c>
      <c r="O54" s="718">
        <f>+landbouw!N12</f>
        <v>0</v>
      </c>
      <c r="P54" s="718">
        <f>+landbouw!O12</f>
        <v>0</v>
      </c>
      <c r="Q54" s="719">
        <f>+landbouw!P12</f>
        <v>0</v>
      </c>
      <c r="R54" s="747">
        <f ca="1">SUM(C54:Q54)</f>
        <v>6362.5197758122958</v>
      </c>
    </row>
    <row r="55" spans="1:18" ht="15" thickBot="1">
      <c r="A55" s="850" t="s">
        <v>734</v>
      </c>
      <c r="B55" s="860"/>
      <c r="C55" s="718">
        <f ca="1">C25*'EF ele_warmte'!B12</f>
        <v>26.726452291460635</v>
      </c>
      <c r="D55" s="718"/>
      <c r="E55" s="718">
        <f>E25*EF_CO2_aardgas</f>
        <v>245.26234020200002</v>
      </c>
      <c r="F55" s="718"/>
      <c r="G55" s="718"/>
      <c r="H55" s="718"/>
      <c r="I55" s="718"/>
      <c r="J55" s="718"/>
      <c r="K55" s="718"/>
      <c r="L55" s="718"/>
      <c r="M55" s="718"/>
      <c r="N55" s="718"/>
      <c r="O55" s="718"/>
      <c r="P55" s="718"/>
      <c r="Q55" s="719"/>
      <c r="R55" s="747">
        <f ca="1">SUM(C55:Q55)</f>
        <v>271.98879249346066</v>
      </c>
    </row>
    <row r="56" spans="1:18" ht="15.75" thickBot="1">
      <c r="A56" s="848" t="s">
        <v>735</v>
      </c>
      <c r="B56" s="861"/>
      <c r="C56" s="748">
        <f ca="1">SUM(C54:C55)</f>
        <v>331.2954012358864</v>
      </c>
      <c r="D56" s="748">
        <f t="shared" ref="D56:Q56" ca="1" si="7">SUM(D54:D55)</f>
        <v>1.0800453016480562</v>
      </c>
      <c r="E56" s="748">
        <f t="shared" si="7"/>
        <v>484.29915406333998</v>
      </c>
      <c r="F56" s="748">
        <f t="shared" si="7"/>
        <v>39.320881381962039</v>
      </c>
      <c r="G56" s="748">
        <f t="shared" si="7"/>
        <v>5237.205636599776</v>
      </c>
      <c r="H56" s="748">
        <f t="shared" si="7"/>
        <v>0</v>
      </c>
      <c r="I56" s="748">
        <f t="shared" si="7"/>
        <v>0</v>
      </c>
      <c r="J56" s="748">
        <f t="shared" si="7"/>
        <v>0</v>
      </c>
      <c r="K56" s="748">
        <f t="shared" si="7"/>
        <v>541.30744972314324</v>
      </c>
      <c r="L56" s="748">
        <f t="shared" si="7"/>
        <v>0</v>
      </c>
      <c r="M56" s="748">
        <f t="shared" si="7"/>
        <v>0</v>
      </c>
      <c r="N56" s="748">
        <f t="shared" si="7"/>
        <v>0</v>
      </c>
      <c r="O56" s="748">
        <f t="shared" si="7"/>
        <v>0</v>
      </c>
      <c r="P56" s="748">
        <f t="shared" si="7"/>
        <v>0</v>
      </c>
      <c r="Q56" s="749">
        <f t="shared" si="7"/>
        <v>0</v>
      </c>
      <c r="R56" s="750">
        <f ca="1">SUM(R54:R55)</f>
        <v>6634.5085683057569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4945.9326119566595</v>
      </c>
      <c r="D61" s="756">
        <f t="shared" ref="D61:Q61" ca="1" si="8">D46+D52+D56</f>
        <v>1.080518543258429</v>
      </c>
      <c r="E61" s="756">
        <f t="shared" ca="1" si="8"/>
        <v>16610.881021153094</v>
      </c>
      <c r="F61" s="756">
        <f t="shared" si="8"/>
        <v>2474.3482363367129</v>
      </c>
      <c r="G61" s="756">
        <f t="shared" ca="1" si="8"/>
        <v>9177.6977724400385</v>
      </c>
      <c r="H61" s="756">
        <f t="shared" si="8"/>
        <v>21155.893199381975</v>
      </c>
      <c r="I61" s="756">
        <f t="shared" si="8"/>
        <v>3260.8881116069142</v>
      </c>
      <c r="J61" s="756">
        <f t="shared" si="8"/>
        <v>0</v>
      </c>
      <c r="K61" s="756">
        <f t="shared" si="8"/>
        <v>615.46447213220506</v>
      </c>
      <c r="L61" s="756">
        <f t="shared" si="8"/>
        <v>0</v>
      </c>
      <c r="M61" s="756">
        <f t="shared" ca="1" si="8"/>
        <v>0</v>
      </c>
      <c r="N61" s="756">
        <f t="shared" si="8"/>
        <v>0</v>
      </c>
      <c r="O61" s="756">
        <f t="shared" ca="1" si="8"/>
        <v>0</v>
      </c>
      <c r="P61" s="756">
        <f t="shared" si="8"/>
        <v>0</v>
      </c>
      <c r="Q61" s="756">
        <f t="shared" si="8"/>
        <v>0</v>
      </c>
      <c r="R61" s="756">
        <f ca="1">R46+R52+R56</f>
        <v>58242.18594355086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5.4875364464440211E-2</v>
      </c>
      <c r="D63" s="802">
        <f t="shared" ca="1" si="9"/>
        <v>2.4548078159414229E-5</v>
      </c>
      <c r="E63" s="1008">
        <f t="shared" ca="1" si="9"/>
        <v>0.20199999999999999</v>
      </c>
      <c r="F63" s="802">
        <f t="shared" si="9"/>
        <v>0.22700000000000006</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28253.071126996994</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8692.5829964902059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30808.274557580364</v>
      </c>
      <c r="C76" s="769">
        <f>'lokale energieproductie'!B8*IFERROR(SUM(D76:H76)/SUM(D76:O76),0)</f>
        <v>3.1837757529724895</v>
      </c>
      <c r="D76" s="991">
        <f>'lokale energieproductie'!C8</f>
        <v>3.7443667691693139</v>
      </c>
      <c r="E76" s="992">
        <f>'lokale energieproductie'!D8</f>
        <v>0</v>
      </c>
      <c r="F76" s="992">
        <f>'lokale energieproductie'!E8</f>
        <v>0</v>
      </c>
      <c r="G76" s="992">
        <f>'lokale energieproductie'!F8</f>
        <v>0</v>
      </c>
      <c r="H76" s="992">
        <f>'lokale energieproductie'!G8</f>
        <v>0</v>
      </c>
      <c r="I76" s="992">
        <f>'lokale energieproductie'!I8</f>
        <v>0</v>
      </c>
      <c r="J76" s="992">
        <f>'lokale energieproductie'!J8</f>
        <v>36232.916015252144</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0.75636208737220145</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67753.928681067569</v>
      </c>
      <c r="C78" s="774">
        <f>SUM(C72:C77)</f>
        <v>3.1837757529724895</v>
      </c>
      <c r="D78" s="775">
        <f t="shared" ref="D78:H78" si="10">SUM(D76:D77)</f>
        <v>3.7443667691693139</v>
      </c>
      <c r="E78" s="775">
        <f t="shared" si="10"/>
        <v>0</v>
      </c>
      <c r="F78" s="775">
        <f t="shared" si="10"/>
        <v>0</v>
      </c>
      <c r="G78" s="775">
        <f t="shared" si="10"/>
        <v>0</v>
      </c>
      <c r="H78" s="775">
        <f t="shared" si="10"/>
        <v>0</v>
      </c>
      <c r="I78" s="775">
        <f>SUM(I76:I77)</f>
        <v>0</v>
      </c>
      <c r="J78" s="775">
        <f>SUM(J76:J77)</f>
        <v>36232.916015252144</v>
      </c>
      <c r="K78" s="775">
        <f t="shared" ref="K78:L78" si="11">SUM(K76:K77)</f>
        <v>0</v>
      </c>
      <c r="L78" s="775">
        <f t="shared" si="11"/>
        <v>0</v>
      </c>
      <c r="M78" s="775">
        <f>SUM(M76:M77)</f>
        <v>0</v>
      </c>
      <c r="N78" s="775">
        <f>SUM(N76:N77)</f>
        <v>0</v>
      </c>
      <c r="O78" s="885">
        <f>SUM(O76:O77)</f>
        <v>0</v>
      </c>
      <c r="P78" s="776">
        <v>0</v>
      </c>
      <c r="Q78" s="776">
        <f>SUM(Q76:Q77)</f>
        <v>0.75636208737220145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44011.872753850985</v>
      </c>
      <c r="C87" s="787">
        <f>'lokale energieproductie'!B17*IFERROR(SUM(D87:H87)/SUM(D87:O87),0)</f>
        <v>4.5482564450252161</v>
      </c>
      <c r="D87" s="798">
        <f>'lokale energieproductie'!C17</f>
        <v>5.349101699299152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51761.369699033559</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1.0805185432584288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44011.872753850985</v>
      </c>
      <c r="C90" s="774">
        <f>SUM(C87:C89)</f>
        <v>4.5482564450252161</v>
      </c>
      <c r="D90" s="774">
        <f t="shared" ref="D90:H90" si="12">SUM(D87:D89)</f>
        <v>5.349101699299152</v>
      </c>
      <c r="E90" s="774">
        <f t="shared" si="12"/>
        <v>0</v>
      </c>
      <c r="F90" s="774">
        <f t="shared" si="12"/>
        <v>0</v>
      </c>
      <c r="G90" s="774">
        <f t="shared" si="12"/>
        <v>0</v>
      </c>
      <c r="H90" s="774">
        <f t="shared" si="12"/>
        <v>0</v>
      </c>
      <c r="I90" s="774">
        <f>SUM(I87:I89)</f>
        <v>0</v>
      </c>
      <c r="J90" s="774">
        <f>SUM(J87:J89)</f>
        <v>51761.369699033559</v>
      </c>
      <c r="K90" s="774">
        <f t="shared" ref="K90:L90" si="13">SUM(K87:K89)</f>
        <v>0</v>
      </c>
      <c r="L90" s="774">
        <f t="shared" si="13"/>
        <v>0</v>
      </c>
      <c r="M90" s="774">
        <f>SUM(M87:M89)</f>
        <v>0</v>
      </c>
      <c r="N90" s="774">
        <f>SUM(N87:N89)</f>
        <v>0</v>
      </c>
      <c r="O90" s="774">
        <f>SUM(O87:O89)</f>
        <v>0</v>
      </c>
      <c r="P90" s="774">
        <v>0</v>
      </c>
      <c r="Q90" s="774">
        <f>SUM(Q87:Q89)</f>
        <v>1.0805185432584288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28253.071126996994</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8692.5829964902059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30811.458333333336</v>
      </c>
      <c r="C8" s="574">
        <f>B101</f>
        <v>3.7443667691693139</v>
      </c>
      <c r="D8" s="575"/>
      <c r="E8" s="575">
        <f>E101</f>
        <v>0</v>
      </c>
      <c r="F8" s="576"/>
      <c r="G8" s="577"/>
      <c r="H8" s="575">
        <f>I101</f>
        <v>0</v>
      </c>
      <c r="I8" s="575">
        <f>G101+F101</f>
        <v>0</v>
      </c>
      <c r="J8" s="575">
        <f>H101+D101+C101</f>
        <v>36232.916015252144</v>
      </c>
      <c r="K8" s="575"/>
      <c r="L8" s="575"/>
      <c r="M8" s="575"/>
      <c r="N8" s="578"/>
      <c r="O8" s="579">
        <f>C8*$C$12+D8*$D$12+E8*$E$12+F8*$F$12+G8*$G$12+H8*$H$12+I8*$I$12+J8*$J$12</f>
        <v>0.75636208737220145</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67757.112456820527</v>
      </c>
      <c r="C10" s="589">
        <f t="shared" ref="C10:L10" si="0">SUM(C8:C9)</f>
        <v>3.7443667691693139</v>
      </c>
      <c r="D10" s="589">
        <f t="shared" si="0"/>
        <v>0</v>
      </c>
      <c r="E10" s="589">
        <f t="shared" si="0"/>
        <v>0</v>
      </c>
      <c r="F10" s="589">
        <f t="shared" si="0"/>
        <v>0</v>
      </c>
      <c r="G10" s="589">
        <f t="shared" si="0"/>
        <v>0</v>
      </c>
      <c r="H10" s="589">
        <f t="shared" si="0"/>
        <v>0</v>
      </c>
      <c r="I10" s="589">
        <f t="shared" si="0"/>
        <v>0</v>
      </c>
      <c r="J10" s="589">
        <f t="shared" si="0"/>
        <v>36232.916015252144</v>
      </c>
      <c r="K10" s="589">
        <f t="shared" si="0"/>
        <v>0</v>
      </c>
      <c r="L10" s="589">
        <f t="shared" si="0"/>
        <v>0</v>
      </c>
      <c r="M10" s="1004"/>
      <c r="N10" s="1004"/>
      <c r="O10" s="590">
        <f>SUM(O4:O9)</f>
        <v>0.75636208737220145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44016.421010296006</v>
      </c>
      <c r="C17" s="605">
        <f>B102</f>
        <v>5.349101699299152</v>
      </c>
      <c r="D17" s="606"/>
      <c r="E17" s="606">
        <f>E102</f>
        <v>0</v>
      </c>
      <c r="F17" s="607"/>
      <c r="G17" s="608"/>
      <c r="H17" s="605">
        <f>I102</f>
        <v>0</v>
      </c>
      <c r="I17" s="606">
        <f>G102+F102</f>
        <v>0</v>
      </c>
      <c r="J17" s="606">
        <f>H102+D102+C102</f>
        <v>51761.369699033559</v>
      </c>
      <c r="K17" s="606"/>
      <c r="L17" s="606"/>
      <c r="M17" s="606"/>
      <c r="N17" s="1005"/>
      <c r="O17" s="609">
        <f>C17*$C$22+E17*$E$22+H17*$H$22+I17*$I$22+J17*$J$22+D17*$D$22+F17*$F$22+G17*$G$22+K17*$K$22+L17*$L$22</f>
        <v>1.0805185432584288</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44016.421010296006</v>
      </c>
      <c r="C20" s="588">
        <f>SUM(C17:C19)</f>
        <v>5.349101699299152</v>
      </c>
      <c r="D20" s="588">
        <f t="shared" ref="D20:L20" si="1">SUM(D17:D19)</f>
        <v>0</v>
      </c>
      <c r="E20" s="588">
        <f t="shared" si="1"/>
        <v>0</v>
      </c>
      <c r="F20" s="588">
        <f t="shared" si="1"/>
        <v>0</v>
      </c>
      <c r="G20" s="588">
        <f t="shared" si="1"/>
        <v>0</v>
      </c>
      <c r="H20" s="588">
        <f t="shared" si="1"/>
        <v>0</v>
      </c>
      <c r="I20" s="588">
        <f t="shared" si="1"/>
        <v>0</v>
      </c>
      <c r="J20" s="588">
        <f t="shared" si="1"/>
        <v>51761.369699033559</v>
      </c>
      <c r="K20" s="588">
        <f t="shared" si="1"/>
        <v>0</v>
      </c>
      <c r="L20" s="588">
        <f t="shared" si="1"/>
        <v>0</v>
      </c>
      <c r="M20" s="588"/>
      <c r="N20" s="588"/>
      <c r="O20" s="614">
        <f>SUM(O17:O19)</f>
        <v>1.0805185432584288</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13001</v>
      </c>
      <c r="C28" s="817">
        <v>2370</v>
      </c>
      <c r="D28" s="666" t="s">
        <v>882</v>
      </c>
      <c r="E28" s="665" t="s">
        <v>883</v>
      </c>
      <c r="F28" s="665" t="s">
        <v>884</v>
      </c>
      <c r="G28" s="665" t="s">
        <v>885</v>
      </c>
      <c r="H28" s="665" t="s">
        <v>886</v>
      </c>
      <c r="I28" s="665" t="s">
        <v>883</v>
      </c>
      <c r="J28" s="816">
        <v>40813</v>
      </c>
      <c r="K28" s="816">
        <v>40150</v>
      </c>
      <c r="L28" s="665" t="s">
        <v>887</v>
      </c>
      <c r="M28" s="665">
        <v>3277</v>
      </c>
      <c r="N28" s="665">
        <v>14746.5</v>
      </c>
      <c r="O28" s="665">
        <v>21066.428571428572</v>
      </c>
      <c r="P28" s="665">
        <v>0</v>
      </c>
      <c r="Q28" s="665">
        <v>42132.857142857145</v>
      </c>
      <c r="R28" s="665">
        <v>0</v>
      </c>
      <c r="S28" s="665">
        <v>0</v>
      </c>
      <c r="T28" s="665">
        <v>0</v>
      </c>
      <c r="U28" s="665">
        <v>0</v>
      </c>
      <c r="V28" s="665">
        <v>0</v>
      </c>
      <c r="W28" s="665">
        <v>0</v>
      </c>
      <c r="X28" s="665">
        <v>10</v>
      </c>
      <c r="Y28" s="665" t="s">
        <v>111</v>
      </c>
      <c r="Z28" s="667" t="s">
        <v>111</v>
      </c>
    </row>
    <row r="29" spans="1:26" s="619" customFormat="1" ht="25.5">
      <c r="A29" s="618"/>
      <c r="B29" s="817">
        <v>13001</v>
      </c>
      <c r="C29" s="817">
        <v>2370</v>
      </c>
      <c r="D29" s="666" t="s">
        <v>888</v>
      </c>
      <c r="E29" s="665" t="s">
        <v>889</v>
      </c>
      <c r="F29" s="665" t="s">
        <v>890</v>
      </c>
      <c r="G29" s="665" t="s">
        <v>885</v>
      </c>
      <c r="H29" s="665" t="s">
        <v>886</v>
      </c>
      <c r="I29" s="665" t="s">
        <v>889</v>
      </c>
      <c r="J29" s="816">
        <v>41313</v>
      </c>
      <c r="K29" s="816">
        <v>41313</v>
      </c>
      <c r="L29" s="665" t="s">
        <v>887</v>
      </c>
      <c r="M29" s="665">
        <v>3567</v>
      </c>
      <c r="N29" s="665">
        <v>16051.5</v>
      </c>
      <c r="O29" s="665">
        <v>22930.714285714286</v>
      </c>
      <c r="P29" s="665">
        <v>0</v>
      </c>
      <c r="Q29" s="665">
        <v>45861.428571428572</v>
      </c>
      <c r="R29" s="665">
        <v>0</v>
      </c>
      <c r="S29" s="665">
        <v>0</v>
      </c>
      <c r="T29" s="665">
        <v>0</v>
      </c>
      <c r="U29" s="665">
        <v>0</v>
      </c>
      <c r="V29" s="665">
        <v>0</v>
      </c>
      <c r="W29" s="665">
        <v>0</v>
      </c>
      <c r="X29" s="665">
        <v>10</v>
      </c>
      <c r="Y29" s="665" t="s">
        <v>111</v>
      </c>
      <c r="Z29" s="667" t="s">
        <v>111</v>
      </c>
    </row>
    <row r="30" spans="1:26" s="619" customFormat="1" ht="12.75">
      <c r="A30" s="618"/>
      <c r="B30" s="817">
        <v>13001</v>
      </c>
      <c r="C30" s="817">
        <v>2370</v>
      </c>
      <c r="D30" s="666" t="s">
        <v>891</v>
      </c>
      <c r="E30" s="665"/>
      <c r="F30" s="665" t="s">
        <v>892</v>
      </c>
      <c r="G30" s="665" t="s">
        <v>893</v>
      </c>
      <c r="H30" s="665" t="s">
        <v>894</v>
      </c>
      <c r="I30" s="665" t="s">
        <v>895</v>
      </c>
      <c r="J30" s="816">
        <v>42760</v>
      </c>
      <c r="K30" s="816">
        <v>42760</v>
      </c>
      <c r="L30" s="665" t="s">
        <v>896</v>
      </c>
      <c r="M30" s="665">
        <v>1.7</v>
      </c>
      <c r="N30" s="665">
        <v>7.7916666666666661</v>
      </c>
      <c r="O30" s="665">
        <v>11.161036036036036</v>
      </c>
      <c r="P30" s="665">
        <v>5.2646396396396389</v>
      </c>
      <c r="Q30" s="665">
        <v>0</v>
      </c>
      <c r="R30" s="665">
        <v>0</v>
      </c>
      <c r="S30" s="665">
        <v>0</v>
      </c>
      <c r="T30" s="665">
        <v>0</v>
      </c>
      <c r="U30" s="665">
        <v>0</v>
      </c>
      <c r="V30" s="665">
        <v>0</v>
      </c>
      <c r="W30" s="665">
        <v>0</v>
      </c>
      <c r="X30" s="665">
        <v>1100</v>
      </c>
      <c r="Y30" s="665" t="s">
        <v>160</v>
      </c>
      <c r="Z30" s="667" t="s">
        <v>155</v>
      </c>
    </row>
    <row r="31" spans="1:26" s="619" customFormat="1" ht="51">
      <c r="A31" s="618"/>
      <c r="B31" s="817">
        <v>13001</v>
      </c>
      <c r="C31" s="817">
        <v>2370</v>
      </c>
      <c r="D31" s="666" t="s">
        <v>897</v>
      </c>
      <c r="E31" s="665"/>
      <c r="F31" s="665" t="s">
        <v>898</v>
      </c>
      <c r="G31" s="665" t="s">
        <v>893</v>
      </c>
      <c r="H31" s="665" t="s">
        <v>894</v>
      </c>
      <c r="I31" s="665" t="s">
        <v>899</v>
      </c>
      <c r="J31" s="816">
        <v>42853</v>
      </c>
      <c r="K31" s="816">
        <v>42853</v>
      </c>
      <c r="L31" s="665" t="s">
        <v>896</v>
      </c>
      <c r="M31" s="665">
        <v>1.7</v>
      </c>
      <c r="N31" s="665">
        <v>5.6666666666666661</v>
      </c>
      <c r="O31" s="665">
        <v>8.1171171171171164</v>
      </c>
      <c r="P31" s="665">
        <v>3.8288288288288284</v>
      </c>
      <c r="Q31" s="665">
        <v>0</v>
      </c>
      <c r="R31" s="665">
        <v>0</v>
      </c>
      <c r="S31" s="665">
        <v>0</v>
      </c>
      <c r="T31" s="665">
        <v>0</v>
      </c>
      <c r="U31" s="665">
        <v>0</v>
      </c>
      <c r="V31" s="665">
        <v>0</v>
      </c>
      <c r="W31" s="665">
        <v>0</v>
      </c>
      <c r="X31" s="665">
        <v>1500</v>
      </c>
      <c r="Y31" s="665" t="s">
        <v>50</v>
      </c>
      <c r="Z31" s="667" t="s">
        <v>155</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6847.4</v>
      </c>
      <c r="N58" s="623">
        <f>SUM(N28:N57)</f>
        <v>30811.458333333336</v>
      </c>
      <c r="O58" s="623">
        <f t="shared" ref="O58:W58" si="2">SUM(O28:O57)</f>
        <v>44016.421010296006</v>
      </c>
      <c r="P58" s="623">
        <f t="shared" si="2"/>
        <v>9.0934684684684672</v>
      </c>
      <c r="Q58" s="623">
        <f t="shared" si="2"/>
        <v>87994.28571428571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3.4</v>
      </c>
      <c r="N60" s="623">
        <f ca="1">SUMIF($Z$28:AD57,"tertiair",N28:N57)</f>
        <v>13.458333333333332</v>
      </c>
      <c r="O60" s="623">
        <f ca="1">SUMIF($Z$28:AE57,"tertiair",O28:O57)</f>
        <v>19.278153153153152</v>
      </c>
      <c r="P60" s="623">
        <f ca="1">SUMIF($Z$28:AF57,"tertiair",P28:P57)</f>
        <v>9.0934684684684672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6844</v>
      </c>
      <c r="N61" s="628">
        <f t="shared" si="4"/>
        <v>30798</v>
      </c>
      <c r="O61" s="628">
        <f t="shared" si="4"/>
        <v>43997.142857142855</v>
      </c>
      <c r="P61" s="628">
        <f t="shared" si="4"/>
        <v>0</v>
      </c>
      <c r="Q61" s="628">
        <f t="shared" si="4"/>
        <v>87994.28571428571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0.58823558005915144</v>
      </c>
      <c r="C98" s="648">
        <f>IF(ISERROR(N58/(O58+N58)),0,N58/(N58+O58))</f>
        <v>0.41176441994084845</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3.7443667691693139</v>
      </c>
      <c r="C101" s="657">
        <f t="shared" si="9"/>
        <v>36232.916015252144</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5.349101699299152</v>
      </c>
      <c r="C102" s="660">
        <f t="shared" si="10"/>
        <v>51761.369699033559</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21344.479168718892</v>
      </c>
      <c r="C4" s="478">
        <f>huishoudens!C8</f>
        <v>0</v>
      </c>
      <c r="D4" s="478">
        <f>huishoudens!D8</f>
        <v>58208.535566060003</v>
      </c>
      <c r="E4" s="478">
        <f>huishoudens!E8</f>
        <v>9507.7992963936304</v>
      </c>
      <c r="F4" s="478">
        <f>huishoudens!F8</f>
        <v>4817.510403609218</v>
      </c>
      <c r="G4" s="478">
        <f>huishoudens!G8</f>
        <v>0</v>
      </c>
      <c r="H4" s="478">
        <f>huishoudens!H8</f>
        <v>0</v>
      </c>
      <c r="I4" s="478">
        <f>huishoudens!I8</f>
        <v>0</v>
      </c>
      <c r="J4" s="478">
        <f>huishoudens!J8</f>
        <v>0</v>
      </c>
      <c r="K4" s="478">
        <f>huishoudens!K8</f>
        <v>0</v>
      </c>
      <c r="L4" s="478">
        <f>huishoudens!L8</f>
        <v>0</v>
      </c>
      <c r="M4" s="478">
        <f>huishoudens!M8</f>
        <v>0</v>
      </c>
      <c r="N4" s="478">
        <f>huishoudens!N8</f>
        <v>28055.474319857283</v>
      </c>
      <c r="O4" s="478">
        <f>huishoudens!O8</f>
        <v>412.6633096325026</v>
      </c>
      <c r="P4" s="479">
        <f>huishoudens!P8</f>
        <v>684.70735499952639</v>
      </c>
      <c r="Q4" s="480">
        <f>SUM(B4:P4)</f>
        <v>123031.16941927107</v>
      </c>
    </row>
    <row r="5" spans="1:17">
      <c r="A5" s="477" t="s">
        <v>155</v>
      </c>
      <c r="B5" s="478">
        <f ca="1">tertiair!B16</f>
        <v>45468.789100333335</v>
      </c>
      <c r="C5" s="478">
        <f ca="1">tertiair!C16</f>
        <v>19.278153153153152</v>
      </c>
      <c r="D5" s="478">
        <f ca="1">tertiair!D16</f>
        <v>13321.797726493533</v>
      </c>
      <c r="E5" s="478">
        <f>tertiair!E16</f>
        <v>215.35887461725602</v>
      </c>
      <c r="F5" s="478">
        <f ca="1">tertiair!F16</f>
        <v>6605.6793125546646</v>
      </c>
      <c r="G5" s="478">
        <f>tertiair!G16</f>
        <v>0</v>
      </c>
      <c r="H5" s="478">
        <f>tertiair!H16</f>
        <v>0</v>
      </c>
      <c r="I5" s="478">
        <f>tertiair!I16</f>
        <v>0</v>
      </c>
      <c r="J5" s="478">
        <f>tertiair!J16</f>
        <v>0.60924169990660182</v>
      </c>
      <c r="K5" s="478">
        <f>tertiair!K16</f>
        <v>0</v>
      </c>
      <c r="L5" s="478">
        <f ca="1">tertiair!L16</f>
        <v>0</v>
      </c>
      <c r="M5" s="478">
        <f>tertiair!M16</f>
        <v>0</v>
      </c>
      <c r="N5" s="478">
        <f ca="1">tertiair!N16</f>
        <v>23750.004755227314</v>
      </c>
      <c r="O5" s="478">
        <f>tertiair!O16</f>
        <v>24.486303829205774</v>
      </c>
      <c r="P5" s="479">
        <f>tertiair!P16</f>
        <v>315.23482983897009</v>
      </c>
      <c r="Q5" s="477">
        <f t="shared" ref="Q5:Q14" ca="1" si="0">SUM(B5:P5)</f>
        <v>89721.238297747332</v>
      </c>
    </row>
    <row r="6" spans="1:17">
      <c r="A6" s="477" t="s">
        <v>193</v>
      </c>
      <c r="B6" s="478">
        <f>'openbare verlichting'!B8</f>
        <v>841.68100000000004</v>
      </c>
      <c r="C6" s="478"/>
      <c r="D6" s="478"/>
      <c r="E6" s="478"/>
      <c r="F6" s="478"/>
      <c r="G6" s="478"/>
      <c r="H6" s="478"/>
      <c r="I6" s="478"/>
      <c r="J6" s="478"/>
      <c r="K6" s="478"/>
      <c r="L6" s="478"/>
      <c r="M6" s="478"/>
      <c r="N6" s="478"/>
      <c r="O6" s="478"/>
      <c r="P6" s="479"/>
      <c r="Q6" s="477">
        <f t="shared" si="0"/>
        <v>841.68100000000004</v>
      </c>
    </row>
    <row r="7" spans="1:17">
      <c r="A7" s="477" t="s">
        <v>111</v>
      </c>
      <c r="B7" s="478">
        <f>landbouw!B8</f>
        <v>5550.1945530000003</v>
      </c>
      <c r="C7" s="478">
        <f>landbouw!C8</f>
        <v>43997.142857142855</v>
      </c>
      <c r="D7" s="478">
        <f>landbouw!D8</f>
        <v>1183.3505636699999</v>
      </c>
      <c r="E7" s="478">
        <f>landbouw!E8</f>
        <v>173.21974177075788</v>
      </c>
      <c r="F7" s="478">
        <f>landbouw!F8</f>
        <v>19615.002384268824</v>
      </c>
      <c r="G7" s="478">
        <f>landbouw!G8</f>
        <v>0</v>
      </c>
      <c r="H7" s="478">
        <f>landbouw!H8</f>
        <v>0</v>
      </c>
      <c r="I7" s="478">
        <f>landbouw!I8</f>
        <v>0</v>
      </c>
      <c r="J7" s="478">
        <f>landbouw!J8</f>
        <v>1529.117089613399</v>
      </c>
      <c r="K7" s="478">
        <f>landbouw!K8</f>
        <v>0</v>
      </c>
      <c r="L7" s="478">
        <f>landbouw!L8</f>
        <v>0</v>
      </c>
      <c r="M7" s="478">
        <f>landbouw!M8</f>
        <v>0</v>
      </c>
      <c r="N7" s="478">
        <f>landbouw!N8</f>
        <v>0</v>
      </c>
      <c r="O7" s="478">
        <f>landbouw!O8</f>
        <v>0</v>
      </c>
      <c r="P7" s="479">
        <f>landbouw!P8</f>
        <v>0</v>
      </c>
      <c r="Q7" s="477">
        <f t="shared" si="0"/>
        <v>72048.027189465836</v>
      </c>
    </row>
    <row r="8" spans="1:17">
      <c r="A8" s="477" t="s">
        <v>629</v>
      </c>
      <c r="B8" s="478">
        <f>industrie!B18</f>
        <v>16394.37703</v>
      </c>
      <c r="C8" s="478">
        <f>industrie!C18</f>
        <v>0</v>
      </c>
      <c r="D8" s="478">
        <f>industrie!D18</f>
        <v>8131.8085646599993</v>
      </c>
      <c r="E8" s="478">
        <f>industrie!E18</f>
        <v>856.62908805012307</v>
      </c>
      <c r="F8" s="478">
        <f>industrie!F18</f>
        <v>3335.2077963464662</v>
      </c>
      <c r="G8" s="478">
        <f>industrie!G18</f>
        <v>0</v>
      </c>
      <c r="H8" s="478">
        <f>industrie!H18</f>
        <v>0</v>
      </c>
      <c r="I8" s="478">
        <f>industrie!I18</f>
        <v>0</v>
      </c>
      <c r="J8" s="478">
        <f>industrie!J18</f>
        <v>208.87387244998558</v>
      </c>
      <c r="K8" s="478">
        <f>industrie!K18</f>
        <v>0</v>
      </c>
      <c r="L8" s="478">
        <f>industrie!L18</f>
        <v>0</v>
      </c>
      <c r="M8" s="478">
        <f>industrie!M18</f>
        <v>0</v>
      </c>
      <c r="N8" s="478">
        <f>industrie!N18</f>
        <v>415.28579687702819</v>
      </c>
      <c r="O8" s="478">
        <f>industrie!O18</f>
        <v>0</v>
      </c>
      <c r="P8" s="479">
        <f>industrie!P18</f>
        <v>0</v>
      </c>
      <c r="Q8" s="477">
        <f t="shared" si="0"/>
        <v>29342.182148383599</v>
      </c>
    </row>
    <row r="9" spans="1:17" s="483" customFormat="1">
      <c r="A9" s="481" t="s">
        <v>555</v>
      </c>
      <c r="B9" s="482">
        <f>transport!B14</f>
        <v>43.731774595833322</v>
      </c>
      <c r="C9" s="482">
        <f>transport!C14</f>
        <v>0</v>
      </c>
      <c r="D9" s="482">
        <f>transport!D14</f>
        <v>172.42184125059447</v>
      </c>
      <c r="E9" s="482">
        <f>transport!E14</f>
        <v>147.20549404361802</v>
      </c>
      <c r="F9" s="482">
        <f>transport!F14</f>
        <v>0</v>
      </c>
      <c r="G9" s="482">
        <f>transport!G14</f>
        <v>78547.035046975376</v>
      </c>
      <c r="H9" s="482">
        <f>transport!H14</f>
        <v>13095.936191192426</v>
      </c>
      <c r="I9" s="482">
        <f>transport!I14</f>
        <v>0</v>
      </c>
      <c r="J9" s="482">
        <f>transport!J14</f>
        <v>0</v>
      </c>
      <c r="K9" s="482">
        <f>transport!K14</f>
        <v>0</v>
      </c>
      <c r="L9" s="482">
        <f>transport!L14</f>
        <v>0</v>
      </c>
      <c r="M9" s="482">
        <f>transport!M14</f>
        <v>5389.4849831332767</v>
      </c>
      <c r="N9" s="482">
        <f>transport!N14</f>
        <v>0</v>
      </c>
      <c r="O9" s="482">
        <f>transport!O14</f>
        <v>0</v>
      </c>
      <c r="P9" s="482">
        <f>transport!P14</f>
        <v>0</v>
      </c>
      <c r="Q9" s="481">
        <f>SUM(B9:P9)</f>
        <v>97395.81533119113</v>
      </c>
    </row>
    <row r="10" spans="1:17">
      <c r="A10" s="477" t="s">
        <v>545</v>
      </c>
      <c r="B10" s="478">
        <f>transport!B54</f>
        <v>0</v>
      </c>
      <c r="C10" s="478">
        <f>transport!C54</f>
        <v>0</v>
      </c>
      <c r="D10" s="478">
        <f>transport!D54</f>
        <v>0</v>
      </c>
      <c r="E10" s="478">
        <f>transport!E54</f>
        <v>0</v>
      </c>
      <c r="F10" s="478">
        <f>transport!F54</f>
        <v>0</v>
      </c>
      <c r="G10" s="478">
        <f>transport!G54</f>
        <v>688.52000688968951</v>
      </c>
      <c r="H10" s="478">
        <f>transport!H54</f>
        <v>0</v>
      </c>
      <c r="I10" s="478">
        <f>transport!I54</f>
        <v>0</v>
      </c>
      <c r="J10" s="478">
        <f>transport!J54</f>
        <v>0</v>
      </c>
      <c r="K10" s="478">
        <f>transport!K54</f>
        <v>0</v>
      </c>
      <c r="L10" s="478">
        <f>transport!L54</f>
        <v>0</v>
      </c>
      <c r="M10" s="478">
        <f>transport!M54</f>
        <v>38.268018163482729</v>
      </c>
      <c r="N10" s="478">
        <f>transport!N54</f>
        <v>0</v>
      </c>
      <c r="O10" s="478">
        <f>transport!O54</f>
        <v>0</v>
      </c>
      <c r="P10" s="479">
        <f>transport!P54</f>
        <v>0</v>
      </c>
      <c r="Q10" s="477">
        <f t="shared" si="0"/>
        <v>726.78802505317219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487.039176</v>
      </c>
      <c r="C14" s="485"/>
      <c r="D14" s="485">
        <f>'SEAP template'!E25</f>
        <v>1214.170001</v>
      </c>
      <c r="E14" s="485"/>
      <c r="F14" s="485"/>
      <c r="G14" s="485"/>
      <c r="H14" s="485"/>
      <c r="I14" s="485"/>
      <c r="J14" s="485"/>
      <c r="K14" s="485"/>
      <c r="L14" s="485"/>
      <c r="M14" s="485"/>
      <c r="N14" s="485"/>
      <c r="O14" s="485"/>
      <c r="P14" s="486"/>
      <c r="Q14" s="477">
        <f t="shared" si="0"/>
        <v>1701.209177</v>
      </c>
    </row>
    <row r="15" spans="1:17" s="489" customFormat="1">
      <c r="A15" s="487" t="s">
        <v>549</v>
      </c>
      <c r="B15" s="488">
        <f ca="1">SUM(B4:B14)</f>
        <v>90130.291802648062</v>
      </c>
      <c r="C15" s="488">
        <f t="shared" ref="C15:Q15" ca="1" si="1">SUM(C4:C14)</f>
        <v>44016.421010296006</v>
      </c>
      <c r="D15" s="488">
        <f t="shared" ca="1" si="1"/>
        <v>82232.084263134137</v>
      </c>
      <c r="E15" s="488">
        <f t="shared" si="1"/>
        <v>10900.212494875384</v>
      </c>
      <c r="F15" s="488">
        <f t="shared" ca="1" si="1"/>
        <v>34373.399896779178</v>
      </c>
      <c r="G15" s="488">
        <f t="shared" si="1"/>
        <v>79235.555053865071</v>
      </c>
      <c r="H15" s="488">
        <f t="shared" si="1"/>
        <v>13095.936191192426</v>
      </c>
      <c r="I15" s="488">
        <f t="shared" si="1"/>
        <v>0</v>
      </c>
      <c r="J15" s="488">
        <f t="shared" si="1"/>
        <v>1738.6002037632911</v>
      </c>
      <c r="K15" s="488">
        <f t="shared" si="1"/>
        <v>0</v>
      </c>
      <c r="L15" s="488">
        <f t="shared" ca="1" si="1"/>
        <v>0</v>
      </c>
      <c r="M15" s="488">
        <f t="shared" si="1"/>
        <v>5427.7530012967591</v>
      </c>
      <c r="N15" s="488">
        <f t="shared" ca="1" si="1"/>
        <v>52220.764871961626</v>
      </c>
      <c r="O15" s="488">
        <f t="shared" si="1"/>
        <v>437.14961346170838</v>
      </c>
      <c r="P15" s="488">
        <f t="shared" si="1"/>
        <v>999.94218483849647</v>
      </c>
      <c r="Q15" s="488">
        <f t="shared" ca="1" si="1"/>
        <v>414808.11058811209</v>
      </c>
    </row>
    <row r="17" spans="1:17">
      <c r="A17" s="490" t="s">
        <v>550</v>
      </c>
      <c r="B17" s="807">
        <f ca="1">huishoudens!B10</f>
        <v>5.4875364464440197E-2</v>
      </c>
      <c r="C17" s="807">
        <f ca="1">huishoudens!C10</f>
        <v>2.4548078159414226E-5</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1171.2860736871007</v>
      </c>
      <c r="C22" s="478">
        <f t="shared" ref="C22:C32" ca="1" si="3">C4*$C$17</f>
        <v>0</v>
      </c>
      <c r="D22" s="478">
        <f t="shared" ref="D22:D32" si="4">D4*$D$17</f>
        <v>11758.124184344122</v>
      </c>
      <c r="E22" s="478">
        <f t="shared" ref="E22:E32" si="5">E4*$E$17</f>
        <v>2158.2704402813542</v>
      </c>
      <c r="F22" s="478">
        <f t="shared" ref="F22:F32" si="6">F4*$F$17</f>
        <v>1286.2752777636613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16373.955976076239</v>
      </c>
    </row>
    <row r="23" spans="1:17">
      <c r="A23" s="477" t="s">
        <v>155</v>
      </c>
      <c r="B23" s="478">
        <f t="shared" ca="1" si="2"/>
        <v>2495.1163736375579</v>
      </c>
      <c r="C23" s="478">
        <f t="shared" ca="1" si="3"/>
        <v>4.732416103727614E-4</v>
      </c>
      <c r="D23" s="478">
        <f t="shared" ca="1" si="4"/>
        <v>2691.0031407516935</v>
      </c>
      <c r="E23" s="478">
        <f t="shared" si="5"/>
        <v>48.886464538117117</v>
      </c>
      <c r="F23" s="478">
        <f t="shared" ca="1" si="6"/>
        <v>1763.7163764520956</v>
      </c>
      <c r="G23" s="478">
        <f t="shared" si="7"/>
        <v>0</v>
      </c>
      <c r="H23" s="478">
        <f t="shared" si="8"/>
        <v>0</v>
      </c>
      <c r="I23" s="478">
        <f t="shared" si="9"/>
        <v>0</v>
      </c>
      <c r="J23" s="478">
        <f t="shared" si="10"/>
        <v>0.21567156176693703</v>
      </c>
      <c r="K23" s="478">
        <f t="shared" si="11"/>
        <v>0</v>
      </c>
      <c r="L23" s="478">
        <f t="shared" ca="1" si="12"/>
        <v>0</v>
      </c>
      <c r="M23" s="478">
        <f t="shared" si="13"/>
        <v>0</v>
      </c>
      <c r="N23" s="478">
        <f t="shared" ca="1" si="14"/>
        <v>0</v>
      </c>
      <c r="O23" s="478">
        <f t="shared" si="15"/>
        <v>0</v>
      </c>
      <c r="P23" s="479">
        <f t="shared" si="16"/>
        <v>0</v>
      </c>
      <c r="Q23" s="477">
        <f t="shared" ref="Q23:Q31" ca="1" si="17">SUM(B23:P23)</f>
        <v>6998.9385001828414</v>
      </c>
    </row>
    <row r="24" spans="1:17">
      <c r="A24" s="477" t="s">
        <v>193</v>
      </c>
      <c r="B24" s="478">
        <f t="shared" ca="1" si="2"/>
        <v>46.187551637794492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46.187551637794492</v>
      </c>
    </row>
    <row r="25" spans="1:17">
      <c r="A25" s="477" t="s">
        <v>111</v>
      </c>
      <c r="B25" s="478">
        <f t="shared" ca="1" si="2"/>
        <v>304.56894894442576</v>
      </c>
      <c r="C25" s="478">
        <f t="shared" ca="1" si="3"/>
        <v>1.0800453016480562</v>
      </c>
      <c r="D25" s="478">
        <f t="shared" si="4"/>
        <v>239.03681386133999</v>
      </c>
      <c r="E25" s="478">
        <f t="shared" si="5"/>
        <v>39.320881381962039</v>
      </c>
      <c r="F25" s="478">
        <f t="shared" si="6"/>
        <v>5237.205636599776</v>
      </c>
      <c r="G25" s="478">
        <f t="shared" si="7"/>
        <v>0</v>
      </c>
      <c r="H25" s="478">
        <f t="shared" si="8"/>
        <v>0</v>
      </c>
      <c r="I25" s="478">
        <f t="shared" si="9"/>
        <v>0</v>
      </c>
      <c r="J25" s="478">
        <f t="shared" si="10"/>
        <v>541.30744972314324</v>
      </c>
      <c r="K25" s="478">
        <f t="shared" si="11"/>
        <v>0</v>
      </c>
      <c r="L25" s="478">
        <f t="shared" si="12"/>
        <v>0</v>
      </c>
      <c r="M25" s="478">
        <f t="shared" si="13"/>
        <v>0</v>
      </c>
      <c r="N25" s="478">
        <f t="shared" si="14"/>
        <v>0</v>
      </c>
      <c r="O25" s="478">
        <f t="shared" si="15"/>
        <v>0</v>
      </c>
      <c r="P25" s="479">
        <f t="shared" si="16"/>
        <v>0</v>
      </c>
      <c r="Q25" s="477">
        <f t="shared" ca="1" si="17"/>
        <v>6362.5197758122958</v>
      </c>
    </row>
    <row r="26" spans="1:17">
      <c r="A26" s="477" t="s">
        <v>629</v>
      </c>
      <c r="B26" s="478">
        <f t="shared" ca="1" si="2"/>
        <v>899.64741468869659</v>
      </c>
      <c r="C26" s="478">
        <f t="shared" ca="1" si="3"/>
        <v>0</v>
      </c>
      <c r="D26" s="478">
        <f t="shared" si="4"/>
        <v>1642.62533006132</v>
      </c>
      <c r="E26" s="478">
        <f t="shared" si="5"/>
        <v>194.45480298737795</v>
      </c>
      <c r="F26" s="478">
        <f t="shared" si="6"/>
        <v>890.50048162450651</v>
      </c>
      <c r="G26" s="478">
        <f t="shared" si="7"/>
        <v>0</v>
      </c>
      <c r="H26" s="478">
        <f t="shared" si="8"/>
        <v>0</v>
      </c>
      <c r="I26" s="478">
        <f t="shared" si="9"/>
        <v>0</v>
      </c>
      <c r="J26" s="478">
        <f t="shared" si="10"/>
        <v>73.941350847294899</v>
      </c>
      <c r="K26" s="478">
        <f t="shared" si="11"/>
        <v>0</v>
      </c>
      <c r="L26" s="478">
        <f t="shared" si="12"/>
        <v>0</v>
      </c>
      <c r="M26" s="478">
        <f t="shared" si="13"/>
        <v>0</v>
      </c>
      <c r="N26" s="478">
        <f t="shared" si="14"/>
        <v>0</v>
      </c>
      <c r="O26" s="478">
        <f t="shared" si="15"/>
        <v>0</v>
      </c>
      <c r="P26" s="479">
        <f t="shared" si="16"/>
        <v>0</v>
      </c>
      <c r="Q26" s="477">
        <f t="shared" ca="1" si="17"/>
        <v>3701.1693802091959</v>
      </c>
    </row>
    <row r="27" spans="1:17" s="483" customFormat="1">
      <c r="A27" s="481" t="s">
        <v>555</v>
      </c>
      <c r="B27" s="801">
        <f t="shared" ca="1" si="2"/>
        <v>2.3997970696231006</v>
      </c>
      <c r="C27" s="482">
        <f t="shared" ca="1" si="3"/>
        <v>0</v>
      </c>
      <c r="D27" s="482">
        <f t="shared" si="4"/>
        <v>34.829211932620083</v>
      </c>
      <c r="E27" s="482">
        <f t="shared" si="5"/>
        <v>33.415647147901289</v>
      </c>
      <c r="F27" s="482">
        <f t="shared" si="6"/>
        <v>0</v>
      </c>
      <c r="G27" s="482">
        <f t="shared" si="7"/>
        <v>20972.058357542428</v>
      </c>
      <c r="H27" s="482">
        <f t="shared" si="8"/>
        <v>3260.8881116069142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24303.591125299485</v>
      </c>
    </row>
    <row r="28" spans="1:17" ht="16.5" customHeight="1">
      <c r="A28" s="477" t="s">
        <v>545</v>
      </c>
      <c r="B28" s="478">
        <f t="shared" ca="1" si="2"/>
        <v>0</v>
      </c>
      <c r="C28" s="478">
        <f t="shared" ca="1" si="3"/>
        <v>0</v>
      </c>
      <c r="D28" s="478">
        <f t="shared" si="4"/>
        <v>0</v>
      </c>
      <c r="E28" s="478">
        <f t="shared" si="5"/>
        <v>0</v>
      </c>
      <c r="F28" s="478">
        <f t="shared" si="6"/>
        <v>0</v>
      </c>
      <c r="G28" s="478">
        <f t="shared" si="7"/>
        <v>183.83484183954712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183.83484183954712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26.726452291460635</v>
      </c>
      <c r="C32" s="478">
        <f t="shared" ca="1" si="3"/>
        <v>0</v>
      </c>
      <c r="D32" s="478">
        <f t="shared" si="4"/>
        <v>245.26234020200002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271.98879249346066</v>
      </c>
    </row>
    <row r="33" spans="1:17" s="489" customFormat="1">
      <c r="A33" s="487" t="s">
        <v>549</v>
      </c>
      <c r="B33" s="488">
        <f ca="1">SUM(B22:B32)</f>
        <v>4945.9326119566585</v>
      </c>
      <c r="C33" s="488">
        <f t="shared" ref="C33:Q33" ca="1" si="19">SUM(C22:C32)</f>
        <v>1.080518543258429</v>
      </c>
      <c r="D33" s="488">
        <f t="shared" ca="1" si="19"/>
        <v>16610.881021153094</v>
      </c>
      <c r="E33" s="488">
        <f t="shared" si="19"/>
        <v>2474.3482363367129</v>
      </c>
      <c r="F33" s="488">
        <f t="shared" ca="1" si="19"/>
        <v>9177.6977724400404</v>
      </c>
      <c r="G33" s="488">
        <f t="shared" si="19"/>
        <v>21155.893199381975</v>
      </c>
      <c r="H33" s="488">
        <f t="shared" si="19"/>
        <v>3260.8881116069142</v>
      </c>
      <c r="I33" s="488">
        <f t="shared" si="19"/>
        <v>0</v>
      </c>
      <c r="J33" s="488">
        <f t="shared" si="19"/>
        <v>615.46447213220506</v>
      </c>
      <c r="K33" s="488">
        <f t="shared" si="19"/>
        <v>0</v>
      </c>
      <c r="L33" s="488">
        <f t="shared" ca="1" si="19"/>
        <v>0</v>
      </c>
      <c r="M33" s="488">
        <f t="shared" si="19"/>
        <v>0</v>
      </c>
      <c r="N33" s="488">
        <f t="shared" ca="1" si="19"/>
        <v>0</v>
      </c>
      <c r="O33" s="488">
        <f t="shared" si="19"/>
        <v>0</v>
      </c>
      <c r="P33" s="488">
        <f t="shared" si="19"/>
        <v>0</v>
      </c>
      <c r="Q33" s="488">
        <f t="shared" ca="1" si="19"/>
        <v>58242.18594355086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28253.071126996994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8692.5829964902059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30808.274557580364</v>
      </c>
      <c r="C8" s="1062">
        <f>'SEAP template'!C76</f>
        <v>3.1837757529724895</v>
      </c>
      <c r="D8" s="1062">
        <f>'SEAP template'!D76</f>
        <v>3.7443667691693139</v>
      </c>
      <c r="E8" s="1062">
        <f>'SEAP template'!E76</f>
        <v>0</v>
      </c>
      <c r="F8" s="1062">
        <f>'SEAP template'!F76</f>
        <v>0</v>
      </c>
      <c r="G8" s="1062">
        <f>'SEAP template'!G76</f>
        <v>0</v>
      </c>
      <c r="H8" s="1062">
        <f>'SEAP template'!H76</f>
        <v>0</v>
      </c>
      <c r="I8" s="1062">
        <f>'SEAP template'!I76</f>
        <v>0</v>
      </c>
      <c r="J8" s="1062">
        <f>'SEAP template'!J76</f>
        <v>36232.916015252144</v>
      </c>
      <c r="K8" s="1062">
        <f>'SEAP template'!K76</f>
        <v>0</v>
      </c>
      <c r="L8" s="1062">
        <f>'SEAP template'!L76</f>
        <v>0</v>
      </c>
      <c r="M8" s="1062">
        <f>'SEAP template'!M76</f>
        <v>0</v>
      </c>
      <c r="N8" s="1062">
        <f>'SEAP template'!N76</f>
        <v>0</v>
      </c>
      <c r="O8" s="1062">
        <f>'SEAP template'!O76</f>
        <v>0</v>
      </c>
      <c r="P8" s="1063">
        <f>'SEAP template'!Q76</f>
        <v>0.75636208737220145</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67753.928681067569</v>
      </c>
      <c r="C10" s="1064">
        <f>SUM(C4:C9)</f>
        <v>3.1837757529724895</v>
      </c>
      <c r="D10" s="1064">
        <f t="shared" ref="D10:H10" si="0">SUM(D8:D9)</f>
        <v>3.7443667691693139</v>
      </c>
      <c r="E10" s="1064">
        <f t="shared" si="0"/>
        <v>0</v>
      </c>
      <c r="F10" s="1064">
        <f t="shared" si="0"/>
        <v>0</v>
      </c>
      <c r="G10" s="1064">
        <f t="shared" si="0"/>
        <v>0</v>
      </c>
      <c r="H10" s="1064">
        <f t="shared" si="0"/>
        <v>0</v>
      </c>
      <c r="I10" s="1064">
        <f>SUM(I8:I9)</f>
        <v>0</v>
      </c>
      <c r="J10" s="1064">
        <f>SUM(J8:J9)</f>
        <v>36232.916015252144</v>
      </c>
      <c r="K10" s="1064">
        <f t="shared" ref="K10:L10" si="1">SUM(K8:K9)</f>
        <v>0</v>
      </c>
      <c r="L10" s="1064">
        <f t="shared" si="1"/>
        <v>0</v>
      </c>
      <c r="M10" s="1064">
        <f>SUM(M8:M9)</f>
        <v>0</v>
      </c>
      <c r="N10" s="1064">
        <f>SUM(N8:N9)</f>
        <v>0</v>
      </c>
      <c r="O10" s="1064">
        <f>SUM(O8:O9)</f>
        <v>0</v>
      </c>
      <c r="P10" s="1064">
        <f>SUM(P8:P9)</f>
        <v>0.75636208737220145</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5.4875364464440197E-2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44011.872753850985</v>
      </c>
      <c r="C17" s="1065">
        <f>'SEAP template'!C87</f>
        <v>4.5482564450252161</v>
      </c>
      <c r="D17" s="1063">
        <f>'SEAP template'!D87</f>
        <v>5.349101699299152</v>
      </c>
      <c r="E17" s="1063">
        <f>'SEAP template'!E87</f>
        <v>0</v>
      </c>
      <c r="F17" s="1063">
        <f>'SEAP template'!F87</f>
        <v>0</v>
      </c>
      <c r="G17" s="1063">
        <f>'SEAP template'!G87</f>
        <v>0</v>
      </c>
      <c r="H17" s="1063">
        <f>'SEAP template'!H87</f>
        <v>0</v>
      </c>
      <c r="I17" s="1063">
        <f>'SEAP template'!I87</f>
        <v>0</v>
      </c>
      <c r="J17" s="1063">
        <f>'SEAP template'!J87</f>
        <v>51761.369699033559</v>
      </c>
      <c r="K17" s="1063">
        <f>'SEAP template'!K87</f>
        <v>0</v>
      </c>
      <c r="L17" s="1063">
        <f>'SEAP template'!L87</f>
        <v>0</v>
      </c>
      <c r="M17" s="1063">
        <f>'SEAP template'!M87</f>
        <v>0</v>
      </c>
      <c r="N17" s="1063">
        <f>'SEAP template'!N87</f>
        <v>0</v>
      </c>
      <c r="O17" s="1063">
        <f>'SEAP template'!O87</f>
        <v>0</v>
      </c>
      <c r="P17" s="1063">
        <f>'SEAP template'!Q87</f>
        <v>1.0805185432584288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44011.872753850985</v>
      </c>
      <c r="C20" s="1064">
        <f>SUM(C17:C19)</f>
        <v>4.5482564450252161</v>
      </c>
      <c r="D20" s="1064">
        <f t="shared" ref="D20:H20" si="2">SUM(D17:D19)</f>
        <v>5.349101699299152</v>
      </c>
      <c r="E20" s="1064">
        <f t="shared" si="2"/>
        <v>0</v>
      </c>
      <c r="F20" s="1064">
        <f t="shared" si="2"/>
        <v>0</v>
      </c>
      <c r="G20" s="1064">
        <f t="shared" si="2"/>
        <v>0</v>
      </c>
      <c r="H20" s="1064">
        <f t="shared" si="2"/>
        <v>0</v>
      </c>
      <c r="I20" s="1064">
        <f>SUM(I17:I19)</f>
        <v>0</v>
      </c>
      <c r="J20" s="1064">
        <f>SUM(J17:J19)</f>
        <v>51761.369699033559</v>
      </c>
      <c r="K20" s="1064">
        <f t="shared" ref="K20:L20" si="3">SUM(K17:K19)</f>
        <v>0</v>
      </c>
      <c r="L20" s="1064">
        <f t="shared" si="3"/>
        <v>0</v>
      </c>
      <c r="M20" s="1064">
        <f>SUM(M17:M19)</f>
        <v>0</v>
      </c>
      <c r="N20" s="1064">
        <f>SUM(N17:N19)</f>
        <v>0</v>
      </c>
      <c r="O20" s="1064">
        <f>SUM(O17:O19)</f>
        <v>0</v>
      </c>
      <c r="P20" s="1064">
        <f>SUM(P17:P19)</f>
        <v>1.0805185432584288</v>
      </c>
    </row>
    <row r="21" spans="1:16">
      <c r="B21" s="913"/>
    </row>
    <row r="22" spans="1:16">
      <c r="A22" s="490" t="s">
        <v>815</v>
      </c>
      <c r="B22" s="807" t="s">
        <v>813</v>
      </c>
      <c r="C22" s="807">
        <f ca="1">'EF ele_warmte'!B22</f>
        <v>2.4548078159414226E-5</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5.4875364464440197E-2</v>
      </c>
      <c r="C17" s="527">
        <f ca="1">'EF ele_warmte'!B22</f>
        <v>2.4548078159414226E-5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2019-06-29T17:08:18Z</dcterms:modified>
</cp:coreProperties>
</file>