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K15"/>
  <c r="I15"/>
  <c r="J27" i="14"/>
  <c r="E78"/>
  <c r="E9" i="59"/>
  <c r="E10" s="1"/>
  <c r="O78" i="14"/>
  <c r="O9" i="59"/>
  <c r="O10" s="1"/>
  <c r="H90" i="14"/>
  <c r="H18" i="59"/>
  <c r="H20" s="1"/>
  <c r="H78" i="14"/>
  <c r="H9" i="59"/>
  <c r="H10" s="1"/>
  <c r="N78" i="14"/>
  <c r="N9" i="59"/>
  <c r="N10" s="1"/>
  <c r="M24" i="48"/>
  <c r="M32"/>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G14" i="22"/>
  <c r="G9" i="48" s="1"/>
  <c r="F78" i="14"/>
  <c r="F8" i="59"/>
  <c r="F1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B22" i="6" l="1"/>
  <c r="C10" i="17" s="1"/>
  <c r="C12" s="1"/>
  <c r="D54" i="14" s="1"/>
  <c r="D56" s="1"/>
  <c r="Q5" i="48"/>
  <c r="J90" i="14"/>
  <c r="J17" i="59"/>
  <c r="J20" s="1"/>
  <c r="Q90" i="14"/>
  <c r="B17" i="6" s="1"/>
  <c r="P17" i="59"/>
  <c r="P20" s="1"/>
  <c r="C18" i="15"/>
  <c r="C20" s="1"/>
  <c r="D40" i="14" s="1"/>
  <c r="C22" i="59"/>
  <c r="G33" i="48"/>
  <c r="Q9"/>
  <c r="H15"/>
  <c r="F22" i="16"/>
  <c r="G43" i="14" s="1"/>
  <c r="F8" i="48"/>
  <c r="F15" s="1"/>
  <c r="O13" i="14"/>
  <c r="O16" s="1"/>
  <c r="O27" s="1"/>
  <c r="C10" i="13"/>
  <c r="C12" s="1"/>
  <c r="C29" i="20"/>
  <c r="C17" i="19"/>
  <c r="C19" s="1"/>
  <c r="D39" i="14" s="1"/>
  <c r="C56" i="22"/>
  <c r="C58" s="1"/>
  <c r="D49" i="14" s="1"/>
  <c r="D52" s="1"/>
  <c r="C20" i="16"/>
  <c r="C22" s="1"/>
  <c r="D43" i="14"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16" i="22"/>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<sst xmlns="http://schemas.openxmlformats.org/spreadsheetml/2006/main" count="2510" uniqueCount="944">
  <si>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</si>
  <si>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</si>
  <si>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</si>
  <si>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</si>
  <si>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</si>
  <si>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</si>
  <si>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</si>
  <si>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</si>
  <si>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</si>
  <si>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</si>
  <si>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</si>
  <si>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</si>
  <si>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</si>
  <si>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</si>
  <si>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</si>
  <si>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</si>
  <si>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</si>
  <si>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</si>
  <si>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</si>
  <si>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</si>
  <si>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</si>
  <si>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</si>
  <si>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</si>
  <si>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</si>
  <si>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</si>
  <si>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</si>
  <si>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</si>
  <si>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</si>
  <si>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</si>
  <si>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</si>
  <si>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</si>
  <si>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</si>
  <si>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</si>
  <si>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</si>
  <si>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</si>
  <si>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</si>
  <si>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</si>
  <si>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</si>
  <si>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</si>
  <si>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</si>
  <si>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</si>
  <si>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</si>
  <si>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</si>
  <si>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</si>
  <si>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</si>
  <si>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</si>
  <si>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</si>
  <si>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</si>
  <si>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</si>
  <si>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</si>
  <si>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</si>
  <si>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</si>
  <si>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</si>
  <si>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</si>
  <si>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</si>
  <si>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</si>
  <si>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</si>
  <si>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</si>
  <si>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</si>
  <si>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</si>
  <si>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</si>
  <si>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</si>
  <si>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</si>
  <si>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</si>
  <si>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</si>
  <si>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</si>
  <si>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</si>
  <si>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</si>
  <si>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</si>
  <si>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</si>
  <si>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</si>
  <si>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</si>
  <si>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</si>
  <si>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</si>
  <si>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</si>
  <si>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</si>
  <si>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</si>
  <si>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</si>
  <si>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</si>
  <si>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</si>
  <si>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</si>
  <si>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</si>
  <si>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</si>
  <si>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</si>
  <si>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</si>
  <si>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</si>
  <si>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</si>
  <si>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</si>
  <si>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</si>
  <si>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</si>
  <si>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</si>
  <si>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</si>
  <si>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</si>
  <si>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</si>
  <si>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</si>
  <si>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</si>
  <si>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</si>
  <si>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</si>
  <si>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</si>
  <si>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</si>
  <si>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</si>
  <si>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</si>
  <si>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</si>
  <si>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</si>
  <si>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</si>
  <si>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</si>
  <si>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</si>
  <si>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</si>
  <si>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</si>
  <si>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</si>
  <si>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</si>
  <si>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</si>
  <si>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</si>
  <si>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</si>
  <si>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</si>
  <si>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</si>
  <si>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</si>
  <si>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</si>
  <si>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</si>
  <si>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</si>
  <si>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</si>
  <si>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</si>
  <si>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</si>
  <si>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</si>
  <si>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</si>
  <si>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</si>
  <si>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</si>
  <si>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</si>
  <si>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</si>
  <si>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</si>
  <si>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</si>
  <si>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</si>
  <si>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</si>
  <si>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</si>
  <si>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</si>
  <si>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</si>
  <si>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</si>
  <si>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</si>
  <si>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</si>
  <si>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</si>
  <si>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</si>
  <si>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</si>
  <si>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</si>
  <si>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</si>
  <si>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</si>
  <si>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</si>
  <si>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</si>
  <si>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</si>
  <si>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</si>
  <si>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</si>
  <si>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</si>
  <si>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</si>
  <si>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</si>
  <si>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</si>
  <si>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</si>
  <si>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</si>
  <si>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</si>
  <si>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</si>
  <si>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</si>
  <si>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</si>
  <si>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</si>
  <si>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</si>
  <si>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</si>
  <si>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</si>
  <si>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</si>
  <si>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</si>
  <si>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</si>
  <si>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</si>
  <si>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</si>
  <si>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</si>
  <si>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</si>
  <si>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</si>
  <si>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</si>
  <si>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</si>
  <si>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</si>
  <si>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</si>
  <si>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</si>
  <si>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</si>
  <si>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</si>
  <si>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</si>
  <si>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</si>
  <si>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</si>
  <si>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</si>
  <si>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</si>
  <si>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</si>
  <si>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</si>
  <si>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</si>
  <si>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</si>
  <si>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</si>
  <si>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</si>
  <si>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</si>
  <si>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</si>
  <si>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</si>
  <si>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</si>
  <si>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</si>
  <si>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</si>
  <si>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</si>
  <si>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</si>
  <si>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</si>
  <si>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</si>
  <si>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</si>
  <si>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</si>
  <si>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</si>
  <si>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</si>
  <si>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</si>
  <si>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</si>
  <si>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</si>
  <si>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</si>
  <si>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</si>
  <si>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</si>
  <si>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</si>
  <si>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</si>
  <si>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</si>
  <si>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</si>
  <si>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</si>
  <si>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</si>
  <si>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</si>
  <si>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</si>
  <si>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</si>
  <si>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</si>
  <si>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</si>
  <si>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</si>
  <si>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</si>
  <si>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</si>
  <si>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</si>
  <si>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</si>
  <si>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</si>
  <si>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</si>
  <si>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</si>
  <si>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</si>
  <si>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</si>
  <si>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</si>
  <si>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</si>
  <si>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</si>
  <si>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</si>
  <si>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</si>
  <si>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</si>
  <si>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</si>
  <si>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</si>
  <si>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</si>
  <si>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</si>
  <si>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</si>
  <si>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</si>
  <si>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</si>
  <si>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</si>
  <si>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</si>
  <si>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</si>
  <si>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</si>
  <si>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</si>
  <si>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</si>
  <si>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</si>
  <si>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</si>
  <si>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</si>
  <si>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</si>
  <si>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</si>
  <si>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</si>
  <si>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</si>
  <si>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</si>
  <si>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</si>
  <si>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</si>
  <si>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</si>
  <si>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</si>
  <si>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</si>
  <si>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</si>
  <si>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</si>
  <si>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</si>
  <si>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</si>
  <si>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</si>
  <si>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</si>
  <si>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</si>
  <si>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</si>
  <si>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</si>
  <si>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</si>
  <si>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</si>
  <si>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</si>
  <si>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</si>
  <si>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</si>
  <si>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</si>
  <si>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</si>
  <si>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</si>
  <si>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</si>
  <si>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</si>
  <si>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</si>
  <si>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</si>
  <si>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</si>
  <si>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</si>
  <si>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</si>
  <si>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</si>
  <si>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</si>
  <si>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</si>
  <si>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</si>
  <si>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</si>
  <si>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</si>
  <si>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</si>
  <si>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</si>
  <si>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</si>
  <si>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</si>
  <si>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</si>
  <si>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</si>
  <si>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</si>
  <si>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</si>
  <si>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</si>
  <si>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</si>
  <si>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</si>
  <si>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</si>
  <si>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</si>
  <si>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</si>
  <si>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</si>
  <si>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</si>
  <si>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</si>
  <si>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</si>
  <si>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</si>
  <si>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</si>
  <si>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</si>
  <si>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</si>
  <si>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</si>
  <si>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</si>
  <si>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</si>
  <si>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</si>
  <si>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</si>
  <si>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</si>
  <si>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</si>
  <si>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</si>
  <si>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</si>
  <si>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</si>
  <si>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</si>
  <si>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</si>
  <si>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</si>
  <si>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</si>
  <si>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</si>
  <si>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</si>
  <si>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</si>
  <si>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</si>
  <si>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</si>
  <si>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</si>
  <si>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</si>
  <si>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</si>
  <si>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</si>
  <si>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</si>
  <si>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</si>
  <si>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</si>
  <si>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</si>
  <si>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</si>
  <si>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</si>
  <si>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</si>
  <si>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</si>
  <si>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</si>
  <si>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</si>
  <si>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</si>
  <si>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</si>
  <si>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</si>
  <si>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</si>
  <si>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</si>
  <si>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</si>
  <si>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</si>
  <si>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</si>
  <si>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</si>
  <si>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</si>
  <si>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</si>
  <si>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</si>
  <si>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</si>
  <si>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</si>
  <si>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</si>
  <si>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</si>
  <si>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</si>
  <si>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</si>
  <si>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</si>
  <si>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</si>
  <si>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</si>
  <si>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</si>
  <si>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</si>
  <si>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</si>
  <si>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</si>
  <si>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</si>
  <si>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</si>
  <si>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</si>
  <si>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</si>
  <si>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</si>
  <si>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</si>
  <si>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</si>
  <si>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</si>
  <si>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</si>
  <si>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</si>
  <si>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</si>
  <si>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</si>
  <si>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</si>
  <si>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</si>
  <si>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</si>
  <si>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</si>
  <si>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</si>
  <si>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</si>
  <si>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</si>
  <si>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</si>
  <si>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</si>
  <si>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</si>
  <si>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</si>
  <si>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</si>
  <si>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</si>
  <si>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</si>
  <si>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</si>
  <si>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</si>
  <si>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</si>
  <si>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</si>
  <si>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</si>
  <si>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</si>
  <si>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</si>
  <si>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</si>
  <si>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</si>
  <si>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</si>
  <si>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</si>
  <si>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</si>
  <si>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</si>
  <si>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</si>
  <si>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</si>
  <si>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</si>
  <si>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</si>
  <si>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</si>
  <si>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</si>
  <si>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</si>
  <si>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</si>
  <si>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</si>
  <si>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</si>
  <si>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</si>
  <si>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</si>
  <si>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</si>
  <si>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</si>
  <si>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</si>
  <si>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</si>
  <si>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</si>
  <si>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</si>
  <si>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</si>
  <si>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</si>
  <si>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</si>
  <si>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</si>
  <si>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</si>
  <si>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</si>
  <si>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</si>
  <si>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</si>
  <si>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</si>
  <si>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</si>
  <si>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</si>
  <si>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</si>
  <si>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</si>
  <si>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</si>
  <si>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</si>
  <si>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</si>
  <si>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</si>
  <si>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</si>
  <si>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</si>
  <si>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</si>
  <si>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</si>
  <si>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</si>
  <si>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</si>
  <si>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</si>
  <si>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</si>
  <si>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</si>
  <si>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</si>
  <si>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</si>
  <si>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</si>
  <si>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</si>
  <si>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</si>
  <si>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</si>
  <si>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</si>
  <si>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</si>
  <si>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</si>
  <si>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</si>
  <si>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</si>
  <si>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</si>
  <si>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</si>
  <si>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</si>
  <si>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</si>
  <si>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</si>
  <si>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</si>
  <si>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</si>
  <si>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</si>
  <si>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</si>
  <si>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</si>
  <si>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</si>
  <si>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</si>
  <si>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</si>
  <si>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</si>
  <si>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</si>
  <si>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</si>
  <si>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</si>
  <si>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</si>
  <si>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</si>
  <si>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</si>
  <si>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</si>
  <si>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</si>
  <si>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</si>
  <si>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</si>
  <si>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</si>
  <si>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</si>
  <si>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</si>
  <si>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</si>
  <si>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</si>
  <si>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</si>
  <si>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</si>
  <si>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</si>
  <si>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</si>
  <si>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</si>
  <si>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</si>
  <si>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</si>
  <si>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</si>
  <si>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</si>
  <si>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</si>
  <si>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</si>
  <si>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</si>
  <si>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</si>
  <si>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</si>
  <si>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</si>
  <si>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</si>
  <si>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</si>
  <si>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</si>
  <si>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</si>
  <si>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</si>
  <si>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</si>
  <si>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</si>
  <si>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</si>
  <si>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</si>
  <si>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</si>
  <si>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</si>
  <si>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</si>
  <si>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</si>
  <si>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</si>
  <si>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</si>
  <si>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</si>
  <si>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</si>
  <si>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</si>
  <si>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</si>
  <si>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</si>
  <si>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</si>
  <si>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</si>
  <si>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</si>
  <si>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</si>
  <si>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</si>
  <si>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</si>
  <si>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</si>
  <si>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</si>
  <si>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</si>
  <si>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</si>
  <si>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</si>
  <si>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</si>
  <si>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</si>
  <si>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</si>
  <si>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</si>
  <si>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</si>
  <si>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</si>
  <si>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</si>
  <si>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</si>
  <si>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</si>
  <si>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</si>
  <si>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</si>
  <si>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</si>
  <si>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</si>
  <si>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</si>
  <si>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</si>
  <si>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</si>
  <si>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</si>
  <si>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</si>
  <si>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</si>
  <si>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</si>
  <si>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</si>
  <si>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</si>
  <si>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</si>
  <si>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</si>
  <si>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</si>
  <si>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</si>
  <si>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</si>
  <si>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</si>
  <si>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</si>
  <si>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</si>
  <si>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</si>
  <si>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</si>
  <si>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</si>
  <si>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</si>
  <si>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</si>
  <si>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</si>
  <si>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</si>
  <si>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</si>
  <si>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</si>
  <si>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</si>
  <si>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</si>
  <si>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</si>
  <si>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</si>
  <si>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</si>
  <si>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</si>
  <si>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</si>
  <si>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</si>
  <si>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</si>
  <si>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</si>
  <si>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</si>
  <si>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</si>
  <si>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</si>
  <si>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</si>
  <si>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</si>
  <si>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</si>
  <si>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</si>
  <si>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</si>
  <si>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</si>
  <si>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</si>
  <si>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</si>
  <si>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</si>
  <si>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</si>
  <si>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</si>
  <si>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</si>
  <si>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</si>
  <si>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</si>
  <si>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</si>
  <si>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</si>
  <si>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</si>
  <si>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</si>
  <si>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</si>
  <si>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</si>
  <si>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</si>
  <si>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</si>
  <si>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</si>
  <si>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</si>
  <si>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</si>
  <si>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</si>
  <si>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</si>
  <si>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</si>
  <si>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</si>
  <si>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</si>
  <si>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</si>
  <si>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</si>
  <si>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</si>
  <si>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</si>
  <si>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</si>
  <si>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</si>
  <si>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</si>
  <si>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</si>
  <si>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</si>
  <si>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</si>
  <si>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</si>
  <si>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</si>
  <si>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</si>
  <si>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</si>
  <si>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</si>
  <si>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</si>
  <si>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</si>
  <si>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</si>
  <si>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</si>
  <si>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</si>
  <si>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</si>
  <si>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</si>
  <si>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</si>
  <si>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</si>
  <si>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</si>
  <si>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</si>
  <si>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</si>
  <si>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</si>
  <si>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</si>
  <si>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</si>
  <si>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</si>
  <si>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</si>
  <si>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</si>
  <si>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</si>
  <si>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</si>
  <si>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</si>
  <si>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</si>
  <si>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</si>
  <si>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</si>
  <si>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</si>
  <si>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</si>
  <si>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</si>
  <si>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</si>
  <si>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</si>
  <si>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</si>
  <si>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</si>
  <si>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</si>
  <si>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</si>
  <si>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</si>
  <si>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</si>
  <si>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</si>
  <si>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</si>
  <si>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</si>
  <si>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</si>
  <si>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</si>
  <si>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</si>
  <si>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</si>
  <si>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</si>
  <si>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</si>
  <si>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</si>
  <si>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</si>
  <si>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</si>
  <si>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</si>
  <si>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</si>
  <si>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</si>
  <si>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</si>
  <si>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</si>
  <si>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</si>
  <si>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</si>
  <si>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</si>
  <si>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</si>
  <si>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</si>
  <si>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</si>
  <si>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</si>
  <si>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</si>
  <si>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</si>
  <si>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</si>
  <si>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</si>
  <si>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</si>
  <si>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</si>
  <si>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</si>
  <si>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</si>
  <si>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</si>
  <si>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</si>
  <si>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</si>
  <si>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</si>
  <si>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</si>
  <si>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</si>
  <si>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</si>
  <si>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</si>
  <si>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</si>
  <si>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</si>
  <si>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</si>
  <si>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</si>
  <si>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</si>
  <si>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</si>
  <si>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</si>
  <si>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</si>
  <si>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</si>
  <si>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</si>
  <si>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</si>
  <si>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</si>
  <si>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</si>
  <si>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</si>
  <si>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</si>
  <si>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</si>
  <si>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</si>
  <si>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</si>
  <si>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</si>
  <si>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</si>
  <si>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</si>
  <si>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</si>
  <si>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</si>
  <si>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</si>
  <si>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</si>
  <si>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</si>
  <si>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</si>
  <si>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</si>
  <si>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</si>
  <si>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</si>
  <si>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</si>
  <si>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</si>
  <si>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</si>
  <si>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</si>
  <si>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</si>
  <si>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</si>
  <si>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</si>
  <si>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</si>
  <si>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</si>
  <si>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</si>
  <si>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</si>
  <si>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</si>
  <si>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</si>
  <si>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</si>
  <si>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</si>
  <si>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</si>
  <si>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</si>
  <si>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</si>
  <si>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</si>
  <si>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</si>
  <si>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</si>
  <si>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</si>
  <si>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</si>
  <si>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</si>
  <si>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</si>
  <si>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</si>
  <si>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</si>
  <si>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</si>
  <si>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</si>
  <si>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</si>
  <si>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</si>
  <si>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</si>
  <si>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</si>
  <si>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</si>
  <si>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</si>
  <si>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</si>
  <si>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</si>
  <si>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</si>
  <si>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</si>
  <si>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</si>
  <si>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</si>
  <si>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</si>
  <si>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</si>
  <si>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</si>
  <si>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</si>
  <si>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</si>
  <si>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</si>
  <si>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</si>
  <si>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</si>
  <si>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</si>
  <si>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</si>
  <si>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</si>
  <si>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</si>
  <si>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</si>
  <si>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</si>
  <si>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</si>
  <si>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</si>
  <si>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</si>
  <si>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</si>
  <si>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</si>
  <si>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</si>
  <si>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</si>
  <si>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</si>
  <si>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</si>
  <si>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</si>
  <si>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</si>
  <si>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</si>
  <si>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</si>
  <si>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</si>
  <si>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</si>
  <si>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</si>
  <si>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</si>
  <si>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</si>
  <si>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</si>
  <si>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</si>
  <si>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</si>
  <si>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</si>
  <si>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</si>
  <si>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</si>
  <si>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</si>
  <si>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</si>
  <si>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</si>
  <si>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</si>
  <si>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</si>
  <si>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</si>
  <si>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</si>
  <si>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</si>
  <si>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</si>
  <si>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</si>
  <si>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</si>
  <si>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</si>
  <si>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</si>
  <si>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</si>
  <si>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</si>
  <si>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</si>
  <si>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</si>
  <si>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</si>
  <si>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</si>
  <si>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</si>
  <si>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</si>
  <si>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</si>
  <si>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</si>
  <si>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</si>
  <si>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</si>
  <si>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</si>
  <si>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</si>
  <si>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</si>
  <si>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</si>
  <si>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</si>
  <si>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</si>
  <si>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</si>
  <si>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</si>
  <si>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</si>
  <si>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</si>
  <si>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</si>
  <si>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</si>
  <si>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</si>
  <si>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</si>
  <si>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</si>
  <si>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</si>
  <si>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</si>
  <si>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</si>
  <si>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</si>
  <si>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</si>
  <si>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</si>
  <si>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</si>
  <si>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</si>
  <si>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</si>
  <si>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</si>
  <si>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</si>
  <si>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12029</t>
  </si>
  <si>
    <t>PUTTE</t>
  </si>
  <si>
    <t>Mestbank (maart 2019)</t>
  </si>
  <si>
    <t>Fluvius (februari 2019)</t>
  </si>
  <si>
    <t>referentietaak LNE (2017); Jaarverslag De Lijn (2018)</t>
  </si>
  <si>
    <t>VEA (30 april 2019)</t>
  </si>
  <si>
    <t>VEA (mei 2018)</t>
  </si>
  <si>
    <t>VEA (mei 2019)</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</si>
  <si>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</si>
  <si>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</si>
  <si>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</si>
  <si>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</si>
  <si>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</si>
  <si>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</si>
  <si>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</si>
  <si>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</si>
  <si>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</si>
  <si>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</si>
  <si>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</si>
  <si>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</si>
  <si>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</si>
  <si>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</si>
  <si>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</si>
  <si>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</si>
  <si>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</si>
  <si>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</si>
  <si>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</si>
  <si>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</si>
  <si>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</si>
  <si>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</si>
  <si>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</si>
  <si>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</si>
  <si>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</si>
  <si>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</si>
  <si>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</si>
  <si>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</si>
  <si>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</si>
  <si>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</si>
  <si>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</si>
  <si>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</si>
  <si>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</si>
  <si>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</si>
  <si>
    <t>Kegoma</t>
  </si>
  <si>
    <t>WKK-0601</t>
  </si>
  <si>
    <t>Interne verbrandingsmotor</t>
  </si>
  <si>
    <t>Lierbaan 196 / A</t>
  </si>
  <si>
    <t>IVERLEK (via EANDIS)</t>
  </si>
  <si>
    <t>Primato</t>
  </si>
  <si>
    <t>WKK-0700</t>
  </si>
  <si>
    <t>Lierbaan  196 / A</t>
  </si>
  <si>
    <t>Van Bulck II</t>
  </si>
  <si>
    <t>WKK-0708</t>
  </si>
  <si>
    <t>Steenbeek 1</t>
  </si>
  <si>
    <t>bij Els</t>
  </si>
  <si>
    <t>WKK-0848</t>
  </si>
  <si>
    <t>Brandstofcel</t>
  </si>
  <si>
    <t>Leuvensebaan 58</t>
  </si>
  <si>
    <t>PutteBKOCacetoe</t>
  </si>
  <si>
    <t>WKK-0891</t>
  </si>
  <si>
    <t>Borgstraat  52</t>
  </si>
  <si>
    <t>Sportcentrum</t>
  </si>
  <si>
    <t>WKK-0892</t>
  </si>
  <si>
    <t>Kattestraat 74, Beerzel</t>
  </si>
  <si>
    <t>Torino</t>
  </si>
  <si>
    <t>WKK-0893</t>
  </si>
  <si>
    <t>Heuvel 20, Putte</t>
  </si>
  <si>
    <t>Beerzelhof</t>
  </si>
  <si>
    <t>WKK-0949</t>
  </si>
  <si>
    <t>Mechelbaan 53, Beerzel</t>
  </si>
  <si>
    <t>gezondheidszorg en maatschappelijke dienstverlening</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</si>
</sst>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141603.77287554345</c:v>
                </c:pt>
                <c:pt idx="1">
                  <c:v>40326.022420824942</c:v>
                </c:pt>
                <c:pt idx="2">
                  <c:v>986.57500000000005</c:v>
                </c:pt>
                <c:pt idx="3">
                  <c:v>132237.39614331853</c:v>
                </c:pt>
                <c:pt idx="4">
                  <c:v>12624.677758384489</c:v>
                </c:pt>
                <c:pt idx="5">
                  <c:v>97912.303413517075</c:v>
                </c:pt>
                <c:pt idx="6">
                  <c:v>1493.6282035539855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49184"/>
        <c:axId val="181950720"/>
      </c:barChart>
      <c:catAx>
        <c:axId val="181949184"/>
        <c:scaling>
          <c:orientation val="minMax"/>
        </c:scaling>
        <c:axPos val="b"/>
        <c:numFmt formatCode="General" sourceLinked="0"/>
        <c:tickLblPos val="nextTo"/>
        <c:crossAx val="181950720"/>
        <c:crosses val="autoZero"/>
        <c:auto val="1"/>
        <c:lblAlgn val="ctr"/>
        <c:lblOffset val="100"/>
      </c:catAx>
      <c:valAx>
        <c:axId val="181950720"/>
        <c:scaling>
          <c:orientation val="minMax"/>
        </c:scaling>
        <c:axPos val="l"/>
        <c:majorGridlines/>
        <c:numFmt formatCode="#,##0" sourceLinked="1"/>
        <c:tickLblPos val="nextTo"/>
        <c:crossAx val="1819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141603.77287554345</c:v>
                </c:pt>
                <c:pt idx="1">
                  <c:v>40326.022420824942</c:v>
                </c:pt>
                <c:pt idx="2">
                  <c:v>986.57500000000005</c:v>
                </c:pt>
                <c:pt idx="3">
                  <c:v>132237.39614331853</c:v>
                </c:pt>
                <c:pt idx="4">
                  <c:v>12624.677758384489</c:v>
                </c:pt>
                <c:pt idx="5">
                  <c:v>97912.303413517075</c:v>
                </c:pt>
                <c:pt idx="6">
                  <c:v>1493.6282035539855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33468.233452790875</c:v>
                </c:pt>
                <c:pt idx="1">
                  <c:v>10165.298952462905</c:v>
                </c:pt>
                <c:pt idx="2">
                  <c:v>374.23362936164079</c:v>
                </c:pt>
                <c:pt idx="3">
                  <c:v>23498.883126575452</c:v>
                </c:pt>
                <c:pt idx="4">
                  <c:v>3758.1952641247763</c:v>
                </c:pt>
                <c:pt idx="5">
                  <c:v>24309.181869890883</c:v>
                </c:pt>
                <c:pt idx="6">
                  <c:v>377.80053482216539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00032"/>
        <c:axId val="182330496"/>
      </c:barChart>
      <c:catAx>
        <c:axId val="182300032"/>
        <c:scaling>
          <c:orientation val="minMax"/>
        </c:scaling>
        <c:axPos val="b"/>
        <c:numFmt formatCode="General" sourceLinked="0"/>
        <c:tickLblPos val="nextTo"/>
        <c:crossAx val="182330496"/>
        <c:crosses val="autoZero"/>
        <c:auto val="1"/>
        <c:lblAlgn val="ctr"/>
        <c:lblOffset val="100"/>
      </c:catAx>
      <c:valAx>
        <c:axId val="182330496"/>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33468.233452790875</c:v>
                </c:pt>
                <c:pt idx="1">
                  <c:v>10165.298952462905</c:v>
                </c:pt>
                <c:pt idx="2">
                  <c:v>374.23362936164079</c:v>
                </c:pt>
                <c:pt idx="3">
                  <c:v>23498.883126575452</c:v>
                </c:pt>
                <c:pt idx="4">
                  <c:v>3758.1952641247763</c:v>
                </c:pt>
                <c:pt idx="5">
                  <c:v>24309.181869890883</c:v>
                </c:pt>
                <c:pt idx="6">
                  <c:v>377.80053482216539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0.37932608201266077</v>
      </c>
      <c r="C17" s="527">
        <f ca="1">'EF ele_warmte'!B22</f>
        <v>0.16023360452368993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0.37932608201266077</v>
      </c>
      <c r="C29" s="528">
        <f ca="1">'EF ele_warmte'!B22</f>
        <v>0.16023360452368993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7343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1518.99</v>
      </c>
    </row>
    <row r="15" spans="1:6">
      <c r="A15" s="348" t="s">
        <v>183</v>
      </c>
      <c r="B15" s="334">
        <v>4</v>
      </c>
    </row>
    <row r="16" spans="1:6">
      <c r="A16" s="348" t="s">
        <v>6</v>
      </c>
      <c r="B16" s="334">
        <v>253</v>
      </c>
    </row>
    <row r="17" spans="1:6">
      <c r="A17" s="348" t="s">
        <v>7</v>
      </c>
      <c r="B17" s="334">
        <v>276</v>
      </c>
    </row>
    <row r="18" spans="1:6">
      <c r="A18" s="348" t="s">
        <v>8</v>
      </c>
      <c r="B18" s="334">
        <v>583</v>
      </c>
    </row>
    <row r="19" spans="1:6">
      <c r="A19" s="348" t="s">
        <v>9</v>
      </c>
      <c r="B19" s="334">
        <v>712</v>
      </c>
    </row>
    <row r="20" spans="1:6">
      <c r="A20" s="348" t="s">
        <v>10</v>
      </c>
      <c r="B20" s="334">
        <v>329</v>
      </c>
    </row>
    <row r="21" spans="1:6">
      <c r="A21" s="348" t="s">
        <v>11</v>
      </c>
      <c r="B21" s="334">
        <v>0</v>
      </c>
    </row>
    <row r="22" spans="1:6">
      <c r="A22" s="348" t="s">
        <v>12</v>
      </c>
      <c r="B22" s="334">
        <v>2446</v>
      </c>
    </row>
    <row r="23" spans="1:6">
      <c r="A23" s="348" t="s">
        <v>13</v>
      </c>
      <c r="B23" s="334">
        <v>0</v>
      </c>
    </row>
    <row r="24" spans="1:6">
      <c r="A24" s="348" t="s">
        <v>14</v>
      </c>
      <c r="B24" s="334">
        <v>0</v>
      </c>
    </row>
    <row r="25" spans="1:6">
      <c r="A25" s="348" t="s">
        <v>15</v>
      </c>
      <c r="B25" s="334">
        <v>0</v>
      </c>
    </row>
    <row r="26" spans="1:6">
      <c r="A26" s="348" t="s">
        <v>16</v>
      </c>
      <c r="B26" s="334">
        <v>356</v>
      </c>
    </row>
    <row r="27" spans="1:6">
      <c r="A27" s="348" t="s">
        <v>17</v>
      </c>
      <c r="B27" s="334">
        <v>3</v>
      </c>
    </row>
    <row r="28" spans="1:6" s="356" customFormat="1">
      <c r="A28" s="355" t="s">
        <v>18</v>
      </c>
      <c r="B28" s="355">
        <v>29843</v>
      </c>
    </row>
    <row r="29" spans="1:6">
      <c r="A29" s="355" t="s">
        <v>713</v>
      </c>
      <c r="B29" s="355">
        <v>255</v>
      </c>
      <c r="C29" s="356"/>
      <c r="D29" s="356"/>
      <c r="E29" s="356"/>
      <c r="F29" s="356"/>
    </row>
    <row r="30" spans="1:6">
      <c r="A30" s="341" t="s">
        <v>714</v>
      </c>
      <c r="B30" s="341">
        <v>87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15262771.02</v>
      </c>
      <c r="E38" s="334">
        <v>3</v>
      </c>
      <c r="F38" s="334">
        <v>98964.332999999999</v>
      </c>
    </row>
    <row r="39" spans="1:6">
      <c r="A39" s="348" t="s">
        <v>29</v>
      </c>
      <c r="B39" s="348" t="s">
        <v>30</v>
      </c>
      <c r="C39" s="334">
        <v>4089</v>
      </c>
      <c r="D39" s="334">
        <v>63453992.520000003</v>
      </c>
      <c r="E39" s="334">
        <v>7250</v>
      </c>
      <c r="F39" s="334">
        <v>27355683.640000001</v>
      </c>
    </row>
    <row r="40" spans="1:6">
      <c r="A40" s="348" t="s">
        <v>29</v>
      </c>
      <c r="B40" s="348" t="s">
        <v>28</v>
      </c>
      <c r="C40" s="334">
        <v>0</v>
      </c>
      <c r="D40" s="334">
        <v>0</v>
      </c>
      <c r="E40" s="334">
        <v>0</v>
      </c>
      <c r="F40" s="334">
        <v>0</v>
      </c>
    </row>
    <row r="41" spans="1:6">
      <c r="A41" s="348" t="s">
        <v>31</v>
      </c>
      <c r="B41" s="348" t="s">
        <v>32</v>
      </c>
      <c r="C41" s="334">
        <v>42</v>
      </c>
      <c r="D41" s="334">
        <v>1447076.3529999999</v>
      </c>
      <c r="E41" s="334">
        <v>175</v>
      </c>
      <c r="F41" s="334">
        <v>1448934.878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431360.02399999998</v>
      </c>
      <c r="E44" s="334">
        <v>4</v>
      </c>
      <c r="F44" s="334">
        <v>810941.69299999997</v>
      </c>
    </row>
    <row r="45" spans="1:6">
      <c r="A45" s="348" t="s">
        <v>31</v>
      </c>
      <c r="B45" s="348" t="s">
        <v>36</v>
      </c>
      <c r="C45" s="334">
        <v>0</v>
      </c>
      <c r="D45" s="334">
        <v>0</v>
      </c>
      <c r="E45" s="334">
        <v>3</v>
      </c>
      <c r="F45" s="334">
        <v>21086.321</v>
      </c>
    </row>
    <row r="46" spans="1:6">
      <c r="A46" s="348" t="s">
        <v>31</v>
      </c>
      <c r="B46" s="348" t="s">
        <v>37</v>
      </c>
      <c r="C46" s="334">
        <v>0</v>
      </c>
      <c r="D46" s="334">
        <v>0</v>
      </c>
      <c r="E46" s="334">
        <v>0</v>
      </c>
      <c r="F46" s="334">
        <v>0</v>
      </c>
    </row>
    <row r="47" spans="1:6">
      <c r="A47" s="348" t="s">
        <v>31</v>
      </c>
      <c r="B47" s="348" t="s">
        <v>38</v>
      </c>
      <c r="C47" s="334">
        <v>0</v>
      </c>
      <c r="D47" s="334">
        <v>0</v>
      </c>
      <c r="E47" s="334">
        <v>4</v>
      </c>
      <c r="F47" s="334">
        <v>195792.86799999999</v>
      </c>
    </row>
    <row r="48" spans="1:6">
      <c r="A48" s="348" t="s">
        <v>31</v>
      </c>
      <c r="B48" s="348" t="s">
        <v>28</v>
      </c>
      <c r="C48" s="334">
        <v>21</v>
      </c>
      <c r="D48" s="334">
        <v>1036235.647</v>
      </c>
      <c r="E48" s="334">
        <v>31</v>
      </c>
      <c r="F48" s="334">
        <v>2314498.077</v>
      </c>
    </row>
    <row r="49" spans="1:6">
      <c r="A49" s="348" t="s">
        <v>31</v>
      </c>
      <c r="B49" s="348" t="s">
        <v>39</v>
      </c>
      <c r="C49" s="334">
        <v>0</v>
      </c>
      <c r="D49" s="334">
        <v>0</v>
      </c>
      <c r="E49" s="334">
        <v>5</v>
      </c>
      <c r="F49" s="334">
        <v>46849.81</v>
      </c>
    </row>
    <row r="50" spans="1:6">
      <c r="A50" s="348" t="s">
        <v>31</v>
      </c>
      <c r="B50" s="348" t="s">
        <v>40</v>
      </c>
      <c r="C50" s="334">
        <v>5</v>
      </c>
      <c r="D50" s="334">
        <v>1058517.1329999999</v>
      </c>
      <c r="E50" s="334">
        <v>21</v>
      </c>
      <c r="F50" s="334">
        <v>1554426.7080000001</v>
      </c>
    </row>
    <row r="51" spans="1:6">
      <c r="A51" s="348" t="s">
        <v>41</v>
      </c>
      <c r="B51" s="348" t="s">
        <v>42</v>
      </c>
      <c r="C51" s="334">
        <v>15</v>
      </c>
      <c r="D51" s="334">
        <v>170762927</v>
      </c>
      <c r="E51" s="334">
        <v>88</v>
      </c>
      <c r="F51" s="334">
        <v>2344548.4640000002</v>
      </c>
    </row>
    <row r="52" spans="1:6">
      <c r="A52" s="348" t="s">
        <v>41</v>
      </c>
      <c r="B52" s="348" t="s">
        <v>28</v>
      </c>
      <c r="C52" s="334">
        <v>9</v>
      </c>
      <c r="D52" s="334">
        <v>1236336.01</v>
      </c>
      <c r="E52" s="334">
        <v>7</v>
      </c>
      <c r="F52" s="334">
        <v>128489.931</v>
      </c>
    </row>
    <row r="53" spans="1:6">
      <c r="A53" s="348" t="s">
        <v>43</v>
      </c>
      <c r="B53" s="348" t="s">
        <v>44</v>
      </c>
      <c r="C53" s="334">
        <v>100</v>
      </c>
      <c r="D53" s="334">
        <v>2132596.8250000002</v>
      </c>
      <c r="E53" s="334">
        <v>289</v>
      </c>
      <c r="F53" s="334">
        <v>972267.36399999994</v>
      </c>
    </row>
    <row r="54" spans="1:6">
      <c r="A54" s="348" t="s">
        <v>45</v>
      </c>
      <c r="B54" s="348" t="s">
        <v>46</v>
      </c>
      <c r="C54" s="334">
        <v>0</v>
      </c>
      <c r="D54" s="334">
        <v>0</v>
      </c>
      <c r="E54" s="334">
        <v>1</v>
      </c>
      <c r="F54" s="334">
        <v>986575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33</v>
      </c>
      <c r="D57" s="334">
        <v>884190.45799999998</v>
      </c>
      <c r="E57" s="334">
        <v>88</v>
      </c>
      <c r="F57" s="334">
        <v>1037729.003</v>
      </c>
    </row>
    <row r="58" spans="1:6">
      <c r="A58" s="348" t="s">
        <v>48</v>
      </c>
      <c r="B58" s="348" t="s">
        <v>50</v>
      </c>
      <c r="C58" s="334">
        <v>20</v>
      </c>
      <c r="D58" s="334">
        <v>588080.63199999998</v>
      </c>
      <c r="E58" s="334">
        <v>35</v>
      </c>
      <c r="F58" s="334">
        <v>274205.342</v>
      </c>
    </row>
    <row r="59" spans="1:6">
      <c r="A59" s="348" t="s">
        <v>48</v>
      </c>
      <c r="B59" s="348" t="s">
        <v>51</v>
      </c>
      <c r="C59" s="334">
        <v>72</v>
      </c>
      <c r="D59" s="334">
        <v>2349897.64</v>
      </c>
      <c r="E59" s="334">
        <v>194</v>
      </c>
      <c r="F59" s="334">
        <v>4886518.0310000004</v>
      </c>
    </row>
    <row r="60" spans="1:6">
      <c r="A60" s="348" t="s">
        <v>48</v>
      </c>
      <c r="B60" s="348" t="s">
        <v>52</v>
      </c>
      <c r="C60" s="334">
        <v>52</v>
      </c>
      <c r="D60" s="334">
        <v>1794230.64</v>
      </c>
      <c r="E60" s="334">
        <v>74</v>
      </c>
      <c r="F60" s="334">
        <v>1390516.0009999999</v>
      </c>
    </row>
    <row r="61" spans="1:6">
      <c r="A61" s="348" t="s">
        <v>48</v>
      </c>
      <c r="B61" s="348" t="s">
        <v>53</v>
      </c>
      <c r="C61" s="334">
        <v>92</v>
      </c>
      <c r="D61" s="334">
        <v>3573172.0720000002</v>
      </c>
      <c r="E61" s="334">
        <v>264</v>
      </c>
      <c r="F61" s="334">
        <v>2505300.5049999999</v>
      </c>
    </row>
    <row r="62" spans="1:6">
      <c r="A62" s="348" t="s">
        <v>48</v>
      </c>
      <c r="B62" s="348" t="s">
        <v>54</v>
      </c>
      <c r="C62" s="334">
        <v>0</v>
      </c>
      <c r="D62" s="334">
        <v>0</v>
      </c>
      <c r="E62" s="334">
        <v>3</v>
      </c>
      <c r="F62" s="334">
        <v>34125.875</v>
      </c>
    </row>
    <row r="63" spans="1:6">
      <c r="A63" s="348" t="s">
        <v>48</v>
      </c>
      <c r="B63" s="348" t="s">
        <v>28</v>
      </c>
      <c r="C63" s="334">
        <v>88</v>
      </c>
      <c r="D63" s="334">
        <v>19221979.920000002</v>
      </c>
      <c r="E63" s="334">
        <v>106</v>
      </c>
      <c r="F63" s="334">
        <v>1927602.9280000001</v>
      </c>
    </row>
    <row r="64" spans="1:6">
      <c r="A64" s="348" t="s">
        <v>55</v>
      </c>
      <c r="B64" s="348" t="s">
        <v>56</v>
      </c>
      <c r="C64" s="334">
        <v>0</v>
      </c>
      <c r="D64" s="334">
        <v>0</v>
      </c>
      <c r="E64" s="334">
        <v>0</v>
      </c>
      <c r="F64" s="334">
        <v>0</v>
      </c>
    </row>
    <row r="65" spans="1:6">
      <c r="A65" s="348" t="s">
        <v>55</v>
      </c>
      <c r="B65" s="348" t="s">
        <v>28</v>
      </c>
      <c r="C65" s="334">
        <v>2</v>
      </c>
      <c r="D65" s="334">
        <v>80886.180999999997</v>
      </c>
      <c r="E65" s="334">
        <v>1</v>
      </c>
      <c r="F65" s="334">
        <v>4431.3410000000003</v>
      </c>
    </row>
    <row r="66" spans="1:6">
      <c r="A66" s="348" t="s">
        <v>55</v>
      </c>
      <c r="B66" s="348" t="s">
        <v>57</v>
      </c>
      <c r="C66" s="334">
        <v>0</v>
      </c>
      <c r="D66" s="334">
        <v>0</v>
      </c>
      <c r="E66" s="334">
        <v>5</v>
      </c>
      <c r="F66" s="334">
        <v>21959.453000000001</v>
      </c>
    </row>
    <row r="67" spans="1:6">
      <c r="A67" s="355" t="s">
        <v>55</v>
      </c>
      <c r="B67" s="355" t="s">
        <v>58</v>
      </c>
      <c r="C67" s="334">
        <v>0</v>
      </c>
      <c r="D67" s="334">
        <v>0</v>
      </c>
      <c r="E67" s="334">
        <v>0</v>
      </c>
      <c r="F67" s="334">
        <v>0</v>
      </c>
    </row>
    <row r="68" spans="1:6">
      <c r="A68" s="341" t="s">
        <v>55</v>
      </c>
      <c r="B68" s="341" t="s">
        <v>59</v>
      </c>
      <c r="C68" s="334">
        <v>0</v>
      </c>
      <c r="D68" s="334">
        <v>0</v>
      </c>
      <c r="E68" s="334">
        <v>7</v>
      </c>
      <c r="F68" s="334">
        <v>104934.412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102913700</v>
      </c>
      <c r="E73" s="476"/>
    </row>
    <row r="74" spans="1:6">
      <c r="A74" s="348" t="s">
        <v>63</v>
      </c>
      <c r="B74" s="348" t="s">
        <v>651</v>
      </c>
      <c r="C74" s="1307" t="s">
        <v>653</v>
      </c>
      <c r="D74" s="476">
        <v>6288618.5</v>
      </c>
      <c r="E74" s="476"/>
    </row>
    <row r="75" spans="1:6">
      <c r="A75" s="348" t="s">
        <v>64</v>
      </c>
      <c r="B75" s="348" t="s">
        <v>650</v>
      </c>
      <c r="C75" s="1307" t="s">
        <v>654</v>
      </c>
      <c r="D75" s="476">
        <v>21599078</v>
      </c>
      <c r="E75" s="476"/>
    </row>
    <row r="76" spans="1:6">
      <c r="A76" s="348" t="s">
        <v>64</v>
      </c>
      <c r="B76" s="348" t="s">
        <v>651</v>
      </c>
      <c r="C76" s="1307" t="s">
        <v>655</v>
      </c>
      <c r="D76" s="476">
        <v>157011.5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414949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4081.8759485734372</v>
      </c>
    </row>
    <row r="92" spans="1:6">
      <c r="A92" s="341" t="s">
        <v>68</v>
      </c>
      <c r="B92" s="342">
        <v>488.36249106219776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1455</v>
      </c>
    </row>
    <row r="98" spans="1:6">
      <c r="A98" s="348" t="s">
        <v>71</v>
      </c>
      <c r="B98" s="334">
        <v>17</v>
      </c>
    </row>
    <row r="99" spans="1:6">
      <c r="A99" s="348" t="s">
        <v>72</v>
      </c>
      <c r="B99" s="334">
        <v>84</v>
      </c>
    </row>
    <row r="100" spans="1:6">
      <c r="A100" s="348" t="s">
        <v>73</v>
      </c>
      <c r="B100" s="334">
        <v>402</v>
      </c>
    </row>
    <row r="101" spans="1:6">
      <c r="A101" s="348" t="s">
        <v>74</v>
      </c>
      <c r="B101" s="334">
        <v>55</v>
      </c>
    </row>
    <row r="102" spans="1:6">
      <c r="A102" s="348" t="s">
        <v>75</v>
      </c>
      <c r="B102" s="334">
        <v>81</v>
      </c>
    </row>
    <row r="103" spans="1:6">
      <c r="A103" s="348" t="s">
        <v>76</v>
      </c>
      <c r="B103" s="334">
        <v>190</v>
      </c>
    </row>
    <row r="104" spans="1:6">
      <c r="A104" s="348" t="s">
        <v>77</v>
      </c>
      <c r="B104" s="334">
        <v>3725</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72</v>
      </c>
      <c r="C123" s="334">
        <v>60</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2</v>
      </c>
    </row>
    <row r="131" spans="1:6">
      <c r="A131" s="348" t="s">
        <v>295</v>
      </c>
      <c r="B131" s="334">
        <v>2</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54409.377410070658</v>
      </c>
      <c r="C3" s="43" t="s">
        <v>169</v>
      </c>
      <c r="D3" s="43"/>
      <c r="E3" s="154"/>
      <c r="F3" s="43"/>
      <c r="G3" s="43"/>
      <c r="H3" s="43"/>
      <c r="I3" s="43"/>
      <c r="J3" s="43"/>
      <c r="K3" s="96"/>
    </row>
    <row r="4" spans="1:11">
      <c r="A4" s="383" t="s">
        <v>170</v>
      </c>
      <c r="B4" s="49">
        <f>IF(ISERROR('SEAP template'!B78),0,'SEAP template'!B78)</f>
        <v>12460.981712504115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11368.300508548071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0.37932608201266077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15856.724244508565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98960.042068854586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0.16023360452368993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986.57500000000005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986.57500000000005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0.37932608201266077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374.23362936164079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27355.683639999999</v>
      </c>
      <c r="C5" s="17">
        <f>IF(ISERROR('Eigen informatie GS &amp; warmtenet'!B59),0,'Eigen informatie GS &amp; warmtenet'!B59)</f>
        <v>0</v>
      </c>
      <c r="D5" s="30">
        <f>(SUM(HH_hh_gas_kWh,HH_rest_gas_kWh)/1000)*0.902</f>
        <v>57235.501253039998</v>
      </c>
      <c r="E5" s="17">
        <f>B46*B57</f>
        <v>10848.752434746424</v>
      </c>
      <c r="F5" s="17">
        <f>B51*B62</f>
        <v>28160.708203057075</v>
      </c>
      <c r="G5" s="18"/>
      <c r="H5" s="17"/>
      <c r="I5" s="17"/>
      <c r="J5" s="17">
        <f>B50*B61+C50*C61</f>
        <v>0</v>
      </c>
      <c r="K5" s="17"/>
      <c r="L5" s="17"/>
      <c r="M5" s="17"/>
      <c r="N5" s="17">
        <f>B48*B59+C48*C59</f>
        <v>12292.600681460737</v>
      </c>
      <c r="O5" s="17">
        <f>B69*B70*B71</f>
        <v>406.71143497434156</v>
      </c>
      <c r="P5" s="17">
        <f>B77*B78*B79/1000-B77*B78*B79/1000/B80</f>
        <v>1221.9392796914628</v>
      </c>
    </row>
    <row r="6" spans="1:16">
      <c r="A6" s="16" t="s">
        <v>615</v>
      </c>
      <c r="B6" s="809">
        <f>kWh_PV_kleiner_dan_10kW</f>
        <v>4081.8759485734372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31437.559588573436</v>
      </c>
      <c r="C8" s="21">
        <f>C5</f>
        <v>0</v>
      </c>
      <c r="D8" s="21">
        <f>D5</f>
        <v>57235.501253039998</v>
      </c>
      <c r="E8" s="21">
        <f>E5</f>
        <v>10848.752434746424</v>
      </c>
      <c r="F8" s="21">
        <f>F5</f>
        <v>28160.708203057075</v>
      </c>
      <c r="G8" s="21"/>
      <c r="H8" s="21"/>
      <c r="I8" s="21"/>
      <c r="J8" s="21">
        <f>J5</f>
        <v>0</v>
      </c>
      <c r="K8" s="21"/>
      <c r="L8" s="21">
        <f>L5</f>
        <v>0</v>
      </c>
      <c r="M8" s="21">
        <f>M5</f>
        <v>0</v>
      </c>
      <c r="N8" s="21">
        <f>N5</f>
        <v>12292.600681460737</v>
      </c>
      <c r="O8" s="21">
        <f>O5</f>
        <v>406.71143497434156</v>
      </c>
      <c r="P8" s="21">
        <f>P5</f>
        <v>1221.9392796914628</v>
      </c>
    </row>
    <row r="9" spans="1:16">
      <c r="B9" s="19"/>
      <c r="C9" s="19"/>
      <c r="D9" s="258"/>
      <c r="E9" s="19"/>
      <c r="F9" s="19"/>
      <c r="G9" s="19"/>
      <c r="H9" s="19"/>
      <c r="I9" s="19"/>
      <c r="J9" s="19"/>
      <c r="K9" s="19"/>
      <c r="L9" s="19"/>
      <c r="M9" s="19"/>
      <c r="N9" s="19"/>
      <c r="O9" s="19"/>
      <c r="P9" s="19"/>
    </row>
    <row r="10" spans="1:16">
      <c r="A10" s="24" t="s">
        <v>213</v>
      </c>
      <c r="B10" s="25">
        <f ca="1">'EF ele_warmte'!B12</f>
        <v>0.37932608201266077</v>
      </c>
      <c r="C10" s="25">
        <f ca="1">'EF ele_warmte'!B22</f>
        <v>0.16023360452368993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11925.086306773117</v>
      </c>
      <c r="C12" s="23">
        <f ca="1">C10*C8</f>
        <v>0</v>
      </c>
      <c r="D12" s="23">
        <f>D8*D10</f>
        <v>11561.57125311408</v>
      </c>
      <c r="E12" s="23">
        <f>E10*E8</f>
        <v>2462.6668026874386</v>
      </c>
      <c r="F12" s="23">
        <f>F10*F8</f>
        <v>7518.9090902162397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7343</v>
      </c>
      <c r="C28" s="36"/>
      <c r="D28" s="228"/>
    </row>
    <row r="29" spans="1:7" s="15" customFormat="1">
      <c r="A29" s="230" t="s">
        <v>838</v>
      </c>
      <c r="B29" s="37">
        <f>SUM(HH_hh_gas_aantal,HH_rest_gas_aantal)</f>
        <v>4089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4089</v>
      </c>
      <c r="C32" s="167">
        <f>IF(ISERROR(B32/SUM($B$32,$B$34,$B$35,$B$36,$B$38,$B$39)*100),0,B32/SUM($B$32,$B$34,$B$35,$B$36,$B$38,$B$39)*100)</f>
        <v>56.579493565794934</v>
      </c>
      <c r="D32" s="233"/>
      <c r="G32" s="15"/>
    </row>
    <row r="33" spans="1:7">
      <c r="A33" s="171" t="s">
        <v>71</v>
      </c>
      <c r="B33" s="34" t="s">
        <v>110</v>
      </c>
      <c r="C33" s="167"/>
      <c r="D33" s="233"/>
      <c r="G33" s="15"/>
    </row>
    <row r="34" spans="1:7">
      <c r="A34" s="171" t="s">
        <v>72</v>
      </c>
      <c r="B34" s="33">
        <f>IF((($B$28-$B$32-$B$39-$B$77-$B$38)*C20/100)&lt;0,0,($B$28-$B$32-$B$39-$B$77-$B$38)*C20/100)</f>
        <v>276.93604436229202</v>
      </c>
      <c r="C34" s="167">
        <f>IF(ISERROR(B34/SUM($B$32,$B$34,$B$35,$B$36,$B$38,$B$39)*100),0,B34/SUM($B$32,$B$34,$B$35,$B$36,$B$38,$B$39)*100)</f>
        <v>3.8319640841606759</v>
      </c>
      <c r="D34" s="233"/>
      <c r="G34" s="15"/>
    </row>
    <row r="35" spans="1:7">
      <c r="A35" s="171" t="s">
        <v>73</v>
      </c>
      <c r="B35" s="33">
        <f>IF((($B$28-$B$32-$B$39-$B$77-$B$38)*C21/100)&lt;0,0,($B$28-$B$32-$B$39-$B$77-$B$38)*C21/100)</f>
        <v>1325.336783733826</v>
      </c>
      <c r="C35" s="167">
        <f>IF(ISERROR(B35/SUM($B$32,$B$34,$B$35,$B$36,$B$38,$B$39)*100),0,B35/SUM($B$32,$B$34,$B$35,$B$36,$B$38,$B$39)*100)</f>
        <v>18.338685259911802</v>
      </c>
      <c r="D35" s="233"/>
      <c r="G35" s="15"/>
    </row>
    <row r="36" spans="1:7">
      <c r="A36" s="171" t="s">
        <v>74</v>
      </c>
      <c r="B36" s="33">
        <f>IF((($B$28-$B$32-$B$39-$B$77-$B$38)*C22/100)&lt;0,0,($B$28-$B$32-$B$39-$B$77-$B$38)*C22/100)</f>
        <v>181.32717190388169</v>
      </c>
      <c r="C36" s="167">
        <f>IF(ISERROR(B36/SUM($B$32,$B$34,$B$35,$B$36,$B$38,$B$39)*100),0,B36/SUM($B$32,$B$34,$B$35,$B$36,$B$38,$B$39)*100)</f>
        <v>2.5090241027242519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1354.4</v>
      </c>
      <c r="C39" s="167">
        <f>IF(ISERROR(B39/SUM($B$32,$B$34,$B$35,$B$36,$B$38,$B$39)*100),0,B39/SUM($B$32,$B$34,$B$35,$B$36,$B$38,$B$39)*100)</f>
        <v>18.740832987408332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4089</v>
      </c>
      <c r="C44" s="34" t="s">
        <v>110</v>
      </c>
      <c r="D44" s="174"/>
    </row>
    <row r="45" spans="1:7">
      <c r="A45" s="171" t="s">
        <v>71</v>
      </c>
      <c r="B45" s="33" t="str">
        <f t="shared" si="0"/>
        <v>-</v>
      </c>
      <c r="C45" s="34" t="s">
        <v>110</v>
      </c>
      <c r="D45" s="174"/>
    </row>
    <row r="46" spans="1:7">
      <c r="A46" s="171" t="s">
        <v>72</v>
      </c>
      <c r="B46" s="33">
        <f t="shared" si="0"/>
        <v>276.93604436229202</v>
      </c>
      <c r="C46" s="34" t="s">
        <v>110</v>
      </c>
      <c r="D46" s="174"/>
    </row>
    <row r="47" spans="1:7">
      <c r="A47" s="171" t="s">
        <v>73</v>
      </c>
      <c r="B47" s="33">
        <f t="shared" si="0"/>
        <v>1325.336783733826</v>
      </c>
      <c r="C47" s="34" t="s">
        <v>110</v>
      </c>
      <c r="D47" s="174"/>
    </row>
    <row r="48" spans="1:7">
      <c r="A48" s="171" t="s">
        <v>74</v>
      </c>
      <c r="B48" s="33">
        <f t="shared" si="0"/>
        <v>181.32717190388169</v>
      </c>
      <c r="C48" s="33">
        <f>B48*10</f>
        <v>1813.2717190388169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1354.4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12055.997685</v>
      </c>
      <c r="C5" s="17">
        <f>IF(ISERROR('Eigen informatie GS &amp; warmtenet'!B60),0,'Eigen informatie GS &amp; warmtenet'!B60)</f>
        <v>0</v>
      </c>
      <c r="D5" s="30">
        <f>SUM(D6:D12)</f>
        <v>25627.219328524003</v>
      </c>
      <c r="E5" s="17">
        <f>SUM(E6:E12)</f>
        <v>194.09557010938454</v>
      </c>
      <c r="F5" s="17">
        <f>SUM(F6:F12)</f>
        <v>1349.0781443412957</v>
      </c>
      <c r="G5" s="18"/>
      <c r="H5" s="17"/>
      <c r="I5" s="17"/>
      <c r="J5" s="17">
        <f>SUM(J6:J12)</f>
        <v>2.131069326574371E-2</v>
      </c>
      <c r="K5" s="17"/>
      <c r="L5" s="17"/>
      <c r="M5" s="17"/>
      <c r="N5" s="17">
        <f>SUM(N6:N12)</f>
        <v>838.1816690467025</v>
      </c>
      <c r="O5" s="17">
        <f>B38*B39*B40</f>
        <v>9.7945215316823084</v>
      </c>
      <c r="P5" s="17">
        <f>B46*B47*B48/1000-B46*B47*B48/1000/B49</f>
        <v>210.15655322598008</v>
      </c>
      <c r="R5" s="32"/>
    </row>
    <row r="6" spans="1:18">
      <c r="A6" s="32" t="s">
        <v>53</v>
      </c>
      <c r="B6" s="37">
        <f>B26</f>
        <v>2505.3005049999997</v>
      </c>
      <c r="C6" s="33"/>
      <c r="D6" s="37">
        <f>IF(ISERROR(TER_kantoor_gas_kWh/1000),0,TER_kantoor_gas_kWh/1000)*0.902</f>
        <v>3223.0012089440002</v>
      </c>
      <c r="E6" s="33">
        <f>$C$26*'E Balans VL '!I12/100/3.6*1000000</f>
        <v>20.159349901110147</v>
      </c>
      <c r="F6" s="33">
        <f>$C$26*('E Balans VL '!L12+'E Balans VL '!N12)/100/3.6*1000000</f>
        <v>306.29934165379257</v>
      </c>
      <c r="G6" s="34"/>
      <c r="H6" s="33"/>
      <c r="I6" s="33"/>
      <c r="J6" s="33">
        <f>$C$26*('E Balans VL '!D12+'E Balans VL '!E12)/100/3.6*1000000</f>
        <v>0</v>
      </c>
      <c r="K6" s="33"/>
      <c r="L6" s="33"/>
      <c r="M6" s="33"/>
      <c r="N6" s="33">
        <f>$C$26*'E Balans VL '!Y12/100/3.6*1000000</f>
        <v>1.3464756487408103</v>
      </c>
      <c r="O6" s="33"/>
      <c r="P6" s="33"/>
      <c r="R6" s="32"/>
    </row>
    <row r="7" spans="1:18">
      <c r="A7" s="32" t="s">
        <v>52</v>
      </c>
      <c r="B7" s="37">
        <f t="shared" ref="B7:B12" si="0">B27</f>
        <v>1390.516001</v>
      </c>
      <c r="C7" s="33"/>
      <c r="D7" s="37">
        <f>IF(ISERROR(TER_horeca_gas_kWh/1000),0,TER_horeca_gas_kWh/1000)*0.902</f>
        <v>1618.39603728</v>
      </c>
      <c r="E7" s="33">
        <f>$C$27*'E Balans VL '!I9/100/3.6*1000000</f>
        <v>14.930727340394476</v>
      </c>
      <c r="F7" s="33">
        <f>$C$27*('E Balans VL '!L9+'E Balans VL '!N9)/100/3.6*1000000</f>
        <v>167.24535672508978</v>
      </c>
      <c r="G7" s="34"/>
      <c r="H7" s="33"/>
      <c r="I7" s="33"/>
      <c r="J7" s="33">
        <f>$C$27*('E Balans VL '!D9+'E Balans VL '!E9)/100/3.6*1000000</f>
        <v>0</v>
      </c>
      <c r="K7" s="33"/>
      <c r="L7" s="33"/>
      <c r="M7" s="33"/>
      <c r="N7" s="33">
        <f>$C$27*'E Balans VL '!Y9/100/3.6*1000000</f>
        <v>0.20846653103729484</v>
      </c>
      <c r="O7" s="33"/>
      <c r="P7" s="33"/>
      <c r="R7" s="32"/>
    </row>
    <row r="8" spans="1:18">
      <c r="A8" s="6" t="s">
        <v>51</v>
      </c>
      <c r="B8" s="37">
        <f t="shared" si="0"/>
        <v>4886.5180310000005</v>
      </c>
      <c r="C8" s="33"/>
      <c r="D8" s="37">
        <f>IF(ISERROR(TER_handel_gas_kWh/1000),0,TER_handel_gas_kWh/1000)*0.902</f>
        <v>2119.60767128</v>
      </c>
      <c r="E8" s="33">
        <f>$C$28*'E Balans VL '!I13/100/3.6*1000000</f>
        <v>131.13918402221134</v>
      </c>
      <c r="F8" s="33">
        <f>$C$28*('E Balans VL '!L13+'E Balans VL '!N13)/100/3.6*1000000</f>
        <v>466.32442652646375</v>
      </c>
      <c r="G8" s="34"/>
      <c r="H8" s="33"/>
      <c r="I8" s="33"/>
      <c r="J8" s="33">
        <f>$C$28*('E Balans VL '!D13+'E Balans VL '!E13)/100/3.6*1000000</f>
        <v>0</v>
      </c>
      <c r="K8" s="33"/>
      <c r="L8" s="33"/>
      <c r="M8" s="33"/>
      <c r="N8" s="33">
        <f>$C$28*'E Balans VL '!Y13/100/3.6*1000000</f>
        <v>1.9370713090820713</v>
      </c>
      <c r="O8" s="33"/>
      <c r="P8" s="33"/>
      <c r="R8" s="32"/>
    </row>
    <row r="9" spans="1:18">
      <c r="A9" s="32" t="s">
        <v>50</v>
      </c>
      <c r="B9" s="37">
        <f t="shared" si="0"/>
        <v>274.20534200000003</v>
      </c>
      <c r="C9" s="33"/>
      <c r="D9" s="37">
        <f>IF(ISERROR(TER_gezond_gas_kWh/1000),0,TER_gezond_gas_kWh/1000)*0.902</f>
        <v>530.44873006400007</v>
      </c>
      <c r="E9" s="33">
        <f>$C$29*'E Balans VL '!I10/100/3.6*1000000</f>
        <v>0.51395009604445485</v>
      </c>
      <c r="F9" s="33">
        <f>$C$29*('E Balans VL '!L10+'E Balans VL '!N10)/100/3.6*1000000</f>
        <v>22.54218104336368</v>
      </c>
      <c r="G9" s="34"/>
      <c r="H9" s="33"/>
      <c r="I9" s="33"/>
      <c r="J9" s="33">
        <f>$C$29*('E Balans VL '!D10+'E Balans VL '!E10)/100/3.6*1000000</f>
        <v>0</v>
      </c>
      <c r="K9" s="33"/>
      <c r="L9" s="33"/>
      <c r="M9" s="33"/>
      <c r="N9" s="33">
        <f>$C$29*'E Balans VL '!Y10/100/3.6*1000000</f>
        <v>2.1335221473415547</v>
      </c>
      <c r="O9" s="33"/>
      <c r="P9" s="33"/>
      <c r="R9" s="32"/>
    </row>
    <row r="10" spans="1:18">
      <c r="A10" s="32" t="s">
        <v>49</v>
      </c>
      <c r="B10" s="37">
        <f t="shared" si="0"/>
        <v>1037.7290029999999</v>
      </c>
      <c r="C10" s="33"/>
      <c r="D10" s="37">
        <f>IF(ISERROR(TER_ander_gas_kWh/1000),0,TER_ander_gas_kWh/1000)*0.902</f>
        <v>797.53979311600006</v>
      </c>
      <c r="E10" s="33">
        <f>$C$30*'E Balans VL '!I14/100/3.6*1000000</f>
        <v>1.5996697732700149</v>
      </c>
      <c r="F10" s="33">
        <f>$C$30*('E Balans VL '!L14+'E Balans VL '!N14)/100/3.6*1000000</f>
        <v>161.10771419659167</v>
      </c>
      <c r="G10" s="34"/>
      <c r="H10" s="33"/>
      <c r="I10" s="33"/>
      <c r="J10" s="33">
        <f>$C$30*('E Balans VL '!D14+'E Balans VL '!E14)/100/3.6*1000000</f>
        <v>1.7616544240667067E-2</v>
      </c>
      <c r="K10" s="33"/>
      <c r="L10" s="33"/>
      <c r="M10" s="33"/>
      <c r="N10" s="33">
        <f>$C$30*'E Balans VL '!Y14/100/3.6*1000000</f>
        <v>686.52824941990798</v>
      </c>
      <c r="O10" s="33"/>
      <c r="P10" s="33"/>
      <c r="R10" s="32"/>
    </row>
    <row r="11" spans="1:18">
      <c r="A11" s="32" t="s">
        <v>54</v>
      </c>
      <c r="B11" s="37">
        <f t="shared" si="0"/>
        <v>34.125875000000001</v>
      </c>
      <c r="C11" s="33"/>
      <c r="D11" s="37">
        <f>IF(ISERROR(TER_onderwijs_gas_kWh/1000),0,TER_onderwijs_gas_kWh/1000)*0.902</f>
        <v>0</v>
      </c>
      <c r="E11" s="33">
        <f>$C$31*'E Balans VL '!I11/100/3.6*1000000</f>
        <v>0.87044289415208731</v>
      </c>
      <c r="F11" s="33">
        <f>$C$31*('E Balans VL '!L11+'E Balans VL '!N11)/100/3.6*1000000</f>
        <v>4.1039576737174137</v>
      </c>
      <c r="G11" s="34"/>
      <c r="H11" s="33"/>
      <c r="I11" s="33"/>
      <c r="J11" s="33">
        <f>$C$31*('E Balans VL '!D11+'E Balans VL '!E11)/100/3.6*1000000</f>
        <v>0</v>
      </c>
      <c r="K11" s="33"/>
      <c r="L11" s="33"/>
      <c r="M11" s="33"/>
      <c r="N11" s="33">
        <f>$C$31*'E Balans VL '!Y11/100/3.6*1000000</f>
        <v>7.5895113321475083E-2</v>
      </c>
      <c r="O11" s="33"/>
      <c r="P11" s="33"/>
      <c r="R11" s="32"/>
    </row>
    <row r="12" spans="1:18">
      <c r="A12" s="32" t="s">
        <v>259</v>
      </c>
      <c r="B12" s="37">
        <f t="shared" si="0"/>
        <v>1927.602928</v>
      </c>
      <c r="C12" s="33"/>
      <c r="D12" s="37">
        <f>IF(ISERROR(TER_rest_gas_kWh/1000),0,TER_rest_gas_kWh/1000)*0.902</f>
        <v>17338.225887840003</v>
      </c>
      <c r="E12" s="33">
        <f>$C$32*'E Balans VL '!I8/100/3.6*1000000</f>
        <v>24.882246082202006</v>
      </c>
      <c r="F12" s="33">
        <f>$C$32*('E Balans VL '!L8+'E Balans VL '!N8)/100/3.6*1000000</f>
        <v>221.4551665222769</v>
      </c>
      <c r="G12" s="34"/>
      <c r="H12" s="33"/>
      <c r="I12" s="33"/>
      <c r="J12" s="33">
        <f>$C$32*('E Balans VL '!D8+'E Balans VL '!E8)/100/3.6*1000000</f>
        <v>3.6941490250766433E-3</v>
      </c>
      <c r="K12" s="33"/>
      <c r="L12" s="33"/>
      <c r="M12" s="33"/>
      <c r="N12" s="33">
        <f>$C$32*'E Balans VL '!Y8/100/3.6*1000000</f>
        <v>145.9519888772713</v>
      </c>
      <c r="O12" s="33"/>
      <c r="P12" s="33"/>
      <c r="R12" s="32"/>
    </row>
    <row r="13" spans="1:18">
      <c r="A13" s="16" t="s">
        <v>482</v>
      </c>
      <c r="B13" s="247">
        <f ca="1">'lokale energieproductie'!N91+'lokale energieproductie'!N60</f>
        <v>23.791666666666664</v>
      </c>
      <c r="C13" s="247">
        <f ca="1">'lokale energieproductie'!O91+'lokale energieproductie'!O60</f>
        <v>34.050997425997423</v>
      </c>
      <c r="D13" s="310">
        <f ca="1">('lokale energieproductie'!P60+'lokale energieproductie'!P91)*(-1)</f>
        <v>-16.36502574002574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12079.789351666666</v>
      </c>
      <c r="C16" s="21">
        <f t="shared" ca="1" si="1"/>
        <v>34.050997425997423</v>
      </c>
      <c r="D16" s="21">
        <f t="shared" ca="1" si="1"/>
        <v>25610.854302783977</v>
      </c>
      <c r="E16" s="21">
        <f t="shared" si="1"/>
        <v>194.09557010938454</v>
      </c>
      <c r="F16" s="21">
        <f t="shared" ca="1" si="1"/>
        <v>1349.0781443412957</v>
      </c>
      <c r="G16" s="21">
        <f t="shared" si="1"/>
        <v>0</v>
      </c>
      <c r="H16" s="21">
        <f t="shared" si="1"/>
        <v>0</v>
      </c>
      <c r="I16" s="21">
        <f t="shared" si="1"/>
        <v>0</v>
      </c>
      <c r="J16" s="21">
        <f t="shared" si="1"/>
        <v>2.131069326574371E-2</v>
      </c>
      <c r="K16" s="21">
        <f t="shared" si="1"/>
        <v>0</v>
      </c>
      <c r="L16" s="21">
        <f t="shared" ca="1" si="1"/>
        <v>0</v>
      </c>
      <c r="M16" s="21">
        <f t="shared" si="1"/>
        <v>0</v>
      </c>
      <c r="N16" s="21">
        <f t="shared" ca="1" si="1"/>
        <v>838.1816690467025</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0.37932608201266077</v>
      </c>
      <c r="C18" s="25">
        <f ca="1">'EF ele_warmte'!B22</f>
        <v>0.16023360452368993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4582.1791663059757</v>
      </c>
      <c r="C20" s="23">
        <f t="shared" ref="C20:P20" ca="1" si="2">C16*C18</f>
        <v>5.4561140551944547</v>
      </c>
      <c r="D20" s="23">
        <f t="shared" ca="1" si="2"/>
        <v>5173.3925691623635</v>
      </c>
      <c r="E20" s="23">
        <f t="shared" si="2"/>
        <v>44.05969441483029</v>
      </c>
      <c r="F20" s="23">
        <f t="shared" ca="1" si="2"/>
        <v>360.20386453912596</v>
      </c>
      <c r="G20" s="23">
        <f t="shared" si="2"/>
        <v>0</v>
      </c>
      <c r="H20" s="23">
        <f t="shared" si="2"/>
        <v>0</v>
      </c>
      <c r="I20" s="23">
        <f t="shared" si="2"/>
        <v>0</v>
      </c>
      <c r="J20" s="23">
        <f t="shared" si="2"/>
        <v>7.5439854160732735E-3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2505.3005049999997</v>
      </c>
      <c r="C26" s="39">
        <f>IF(ISERROR(B26*3.6/1000000/'E Balans VL '!Z12*100),0,B26*3.6/1000000/'E Balans VL '!Z12*100)</f>
        <v>5.3147658126821651E-2</v>
      </c>
      <c r="D26" s="237" t="s">
        <v>716</v>
      </c>
      <c r="F26" s="6"/>
    </row>
    <row r="27" spans="1:18">
      <c r="A27" s="231" t="s">
        <v>52</v>
      </c>
      <c r="B27" s="33">
        <f>IF(ISERROR(TER_horeca_ele_kWh/1000),0,TER_horeca_ele_kWh/1000)</f>
        <v>1390.516001</v>
      </c>
      <c r="C27" s="39">
        <f>IF(ISERROR(B27*3.6/1000000/'E Balans VL '!Z9*100),0,B27*3.6/1000000/'E Balans VL '!Z9*100)</f>
        <v>0.1047181727704133</v>
      </c>
      <c r="D27" s="237" t="s">
        <v>716</v>
      </c>
      <c r="F27" s="6"/>
    </row>
    <row r="28" spans="1:18">
      <c r="A28" s="171" t="s">
        <v>51</v>
      </c>
      <c r="B28" s="33">
        <f>IF(ISERROR(TER_handel_ele_kWh/1000),0,TER_handel_ele_kWh/1000)</f>
        <v>4886.5180310000005</v>
      </c>
      <c r="C28" s="39">
        <f>IF(ISERROR(B28*3.6/1000000/'E Balans VL '!Z13*100),0,B28*3.6/1000000/'E Balans VL '!Z13*100)</f>
        <v>0.14183830415565454</v>
      </c>
      <c r="D28" s="237" t="s">
        <v>716</v>
      </c>
      <c r="F28" s="6"/>
    </row>
    <row r="29" spans="1:18">
      <c r="A29" s="231" t="s">
        <v>50</v>
      </c>
      <c r="B29" s="33">
        <f>IF(ISERROR(TER_gezond_ele_kWh/1000),0,TER_gezond_ele_kWh/1000)</f>
        <v>274.20534200000003</v>
      </c>
      <c r="C29" s="39">
        <f>IF(ISERROR(B29*3.6/1000000/'E Balans VL '!Z10*100),0,B29*3.6/1000000/'E Balans VL '!Z10*100)</f>
        <v>2.7653935743888882E-2</v>
      </c>
      <c r="D29" s="237" t="s">
        <v>716</v>
      </c>
      <c r="F29" s="6"/>
    </row>
    <row r="30" spans="1:18">
      <c r="A30" s="231" t="s">
        <v>49</v>
      </c>
      <c r="B30" s="33">
        <f>IF(ISERROR(TER_ander_ele_kWh/1000),0,TER_ander_ele_kWh/1000)</f>
        <v>1037.7290029999999</v>
      </c>
      <c r="C30" s="39">
        <f>IF(ISERROR(B30*3.6/1000000/'E Balans VL '!Z14*100),0,B30*3.6/1000000/'E Balans VL '!Z14*100)</f>
        <v>7.5301396387049066E-2</v>
      </c>
      <c r="D30" s="237" t="s">
        <v>716</v>
      </c>
      <c r="F30" s="6"/>
    </row>
    <row r="31" spans="1:18">
      <c r="A31" s="231" t="s">
        <v>54</v>
      </c>
      <c r="B31" s="33">
        <f>IF(ISERROR(TER_onderwijs_ele_kWh/1000),0,TER_onderwijs_ele_kWh/1000)</f>
        <v>34.125875000000001</v>
      </c>
      <c r="C31" s="39">
        <f>IF(ISERROR(B31*3.6/1000000/'E Balans VL '!Z11*100),0,B31*3.6/1000000/'E Balans VL '!Z11*100)</f>
        <v>9.7272640453380903E-3</v>
      </c>
      <c r="D31" s="237" t="s">
        <v>716</v>
      </c>
    </row>
    <row r="32" spans="1:18">
      <c r="A32" s="231" t="s">
        <v>259</v>
      </c>
      <c r="B32" s="33">
        <f>IF(ISERROR(TER_rest_ele_kWh/1000),0,TER_rest_ele_kWh/1000)</f>
        <v>1927.602928</v>
      </c>
      <c r="C32" s="39">
        <f>IF(ISERROR(B32*3.6/1000000/'E Balans VL '!Z8*100),0,B32*3.6/1000000/'E Balans VL '!Z8*100)</f>
        <v>1.5790530551841864E-2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6392.5303550000008</v>
      </c>
      <c r="C5" s="17">
        <f>IF(ISERROR('Eigen informatie GS &amp; warmtenet'!B61),0,'Eigen informatie GS &amp; warmtenet'!B61)</f>
        <v>0</v>
      </c>
      <c r="D5" s="30">
        <f>SUM(D6:D15)</f>
        <v>3583.816619614</v>
      </c>
      <c r="E5" s="17">
        <f>SUM(E6:E15)</f>
        <v>520.88778412327906</v>
      </c>
      <c r="F5" s="17">
        <f>SUM(F6:F15)</f>
        <v>1784.7439098531484</v>
      </c>
      <c r="G5" s="18"/>
      <c r="H5" s="17"/>
      <c r="I5" s="17"/>
      <c r="J5" s="17">
        <f>SUM(J6:J15)</f>
        <v>41.363452900620501</v>
      </c>
      <c r="K5" s="17"/>
      <c r="L5" s="17"/>
      <c r="M5" s="17"/>
      <c r="N5" s="17">
        <f>SUM(N6:N15)</f>
        <v>301.3356368934401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810.94169299999999</v>
      </c>
      <c r="C8" s="33"/>
      <c r="D8" s="37">
        <f>IF( ISERROR(IND_metaal_Gas_kWH/1000),0,IND_metaal_Gas_kWH/1000)*0.902</f>
        <v>389.08674164799999</v>
      </c>
      <c r="E8" s="33">
        <f>C30*'E Balans VL '!I18/100/3.6*1000000</f>
        <v>5.8503751429202788</v>
      </c>
      <c r="F8" s="33">
        <f>C30*'E Balans VL '!L18/100/3.6*1000000+C30*'E Balans VL '!N18/100/3.6*1000000</f>
        <v>76.700131440422098</v>
      </c>
      <c r="G8" s="34"/>
      <c r="H8" s="33"/>
      <c r="I8" s="33"/>
      <c r="J8" s="40">
        <f>C30*'E Balans VL '!D18/100/3.6*1000000+C30*'E Balans VL '!E18/100/3.6*1000000</f>
        <v>0.81564986736223943</v>
      </c>
      <c r="K8" s="33"/>
      <c r="L8" s="33"/>
      <c r="M8" s="33"/>
      <c r="N8" s="33">
        <f>C30*'E Balans VL '!Y18/100/3.6*1000000</f>
        <v>10.252448539418138</v>
      </c>
      <c r="O8" s="33"/>
      <c r="P8" s="33"/>
      <c r="R8" s="32"/>
    </row>
    <row r="9" spans="1:18">
      <c r="A9" s="6" t="s">
        <v>32</v>
      </c>
      <c r="B9" s="37">
        <f t="shared" si="0"/>
        <v>1448.934878</v>
      </c>
      <c r="C9" s="33"/>
      <c r="D9" s="37">
        <f>IF( ISERROR(IND_andere_gas_kWh/1000),0,IND_andere_gas_kWh/1000)*0.902</f>
        <v>1305.262870406</v>
      </c>
      <c r="E9" s="33">
        <f>C31*'E Balans VL '!I19/100/3.6*1000000</f>
        <v>401.51922938042281</v>
      </c>
      <c r="F9" s="33">
        <f>C31*'E Balans VL '!L19/100/3.6*1000000+C31*'E Balans VL '!N19/100/3.6*1000000</f>
        <v>1200.8803580588028</v>
      </c>
      <c r="G9" s="34"/>
      <c r="H9" s="33"/>
      <c r="I9" s="33"/>
      <c r="J9" s="40">
        <f>C31*'E Balans VL '!D19/100/3.6*1000000+C31*'E Balans VL '!E19/100/3.6*1000000</f>
        <v>0</v>
      </c>
      <c r="K9" s="33"/>
      <c r="L9" s="33"/>
      <c r="M9" s="33"/>
      <c r="N9" s="33">
        <f>C31*'E Balans VL '!Y19/100/3.6*1000000</f>
        <v>105.17494975064666</v>
      </c>
      <c r="O9" s="33"/>
      <c r="P9" s="33"/>
      <c r="R9" s="32"/>
    </row>
    <row r="10" spans="1:18">
      <c r="A10" s="6" t="s">
        <v>40</v>
      </c>
      <c r="B10" s="37">
        <f t="shared" si="0"/>
        <v>1554.4267080000002</v>
      </c>
      <c r="C10" s="33"/>
      <c r="D10" s="37">
        <f>IF( ISERROR(IND_voed_gas_kWh/1000),0,IND_voed_gas_kWh/1000)*0.902</f>
        <v>954.78245396599982</v>
      </c>
      <c r="E10" s="33">
        <f>C32*'E Balans VL '!I20/100/3.6*1000000</f>
        <v>2.7518617912425825</v>
      </c>
      <c r="F10" s="33">
        <f>C32*'E Balans VL '!L20/100/3.6*1000000+C32*'E Balans VL '!N20/100/3.6*1000000</f>
        <v>83.952818992333448</v>
      </c>
      <c r="G10" s="34"/>
      <c r="H10" s="33"/>
      <c r="I10" s="33"/>
      <c r="J10" s="40">
        <f>C32*'E Balans VL '!D20/100/3.6*1000000+C32*'E Balans VL '!E20/100/3.6*1000000</f>
        <v>0</v>
      </c>
      <c r="K10" s="33"/>
      <c r="L10" s="33"/>
      <c r="M10" s="33"/>
      <c r="N10" s="33">
        <f>C32*'E Balans VL '!Y20/100/3.6*1000000</f>
        <v>90.324063039496011</v>
      </c>
      <c r="O10" s="33"/>
      <c r="P10" s="33"/>
      <c r="R10" s="32"/>
    </row>
    <row r="11" spans="1:18">
      <c r="A11" s="6" t="s">
        <v>39</v>
      </c>
      <c r="B11" s="37">
        <f t="shared" si="0"/>
        <v>46.849809999999998</v>
      </c>
      <c r="C11" s="33"/>
      <c r="D11" s="37">
        <f>IF( ISERROR(IND_textiel_gas_kWh/1000),0,IND_textiel_gas_kWh/1000)*0.902</f>
        <v>0</v>
      </c>
      <c r="E11" s="33">
        <f>C33*'E Balans VL '!I21/100/3.6*1000000</f>
        <v>0.16515044302462797</v>
      </c>
      <c r="F11" s="33">
        <f>C33*'E Balans VL '!L21/100/3.6*1000000+C33*'E Balans VL '!N21/100/3.6*1000000</f>
        <v>1.3751119808946954</v>
      </c>
      <c r="G11" s="34"/>
      <c r="H11" s="33"/>
      <c r="I11" s="33"/>
      <c r="J11" s="40">
        <f>C33*'E Balans VL '!D21/100/3.6*1000000+C33*'E Balans VL '!E21/100/3.6*1000000</f>
        <v>0</v>
      </c>
      <c r="K11" s="33"/>
      <c r="L11" s="33"/>
      <c r="M11" s="33"/>
      <c r="N11" s="33">
        <f>C33*'E Balans VL '!Y21/100/3.6*1000000</f>
        <v>2.0641959222241422</v>
      </c>
      <c r="O11" s="33"/>
      <c r="P11" s="33"/>
      <c r="R11" s="32"/>
    </row>
    <row r="12" spans="1:18">
      <c r="A12" s="6" t="s">
        <v>36</v>
      </c>
      <c r="B12" s="37">
        <f t="shared" si="0"/>
        <v>21.086321000000002</v>
      </c>
      <c r="C12" s="33"/>
      <c r="D12" s="37">
        <f>IF( ISERROR(IND_min_gas_kWh/1000),0,IND_min_gas_kWh/1000)*0.902</f>
        <v>0</v>
      </c>
      <c r="E12" s="33">
        <f>C34*'E Balans VL '!I22/100/3.6*1000000</f>
        <v>0.92856636121636515</v>
      </c>
      <c r="F12" s="33">
        <f>C34*'E Balans VL '!L22/100/3.6*1000000+C34*'E Balans VL '!N22/100/3.6*1000000</f>
        <v>8.2456030938730986</v>
      </c>
      <c r="G12" s="34"/>
      <c r="H12" s="33"/>
      <c r="I12" s="33"/>
      <c r="J12" s="40">
        <f>C34*'E Balans VL '!D22/100/3.6*1000000+C34*'E Balans VL '!E22/100/3.6*1000000</f>
        <v>6.4025563782803231E-3</v>
      </c>
      <c r="K12" s="33"/>
      <c r="L12" s="33"/>
      <c r="M12" s="33"/>
      <c r="N12" s="33">
        <f>C34*'E Balans VL '!Y22/100/3.6*1000000</f>
        <v>5.216116792755372</v>
      </c>
      <c r="O12" s="33"/>
      <c r="P12" s="33"/>
      <c r="R12" s="32"/>
    </row>
    <row r="13" spans="1:18">
      <c r="A13" s="6" t="s">
        <v>38</v>
      </c>
      <c r="B13" s="37">
        <f t="shared" si="0"/>
        <v>195.792868</v>
      </c>
      <c r="C13" s="33"/>
      <c r="D13" s="37">
        <f>IF( ISERROR(IND_papier_gas_kWh/1000),0,IND_papier_gas_kWh/1000)*0.902</f>
        <v>0</v>
      </c>
      <c r="E13" s="33">
        <f>C35*'E Balans VL '!I23/100/3.6*1000000</f>
        <v>0.28807854021748985</v>
      </c>
      <c r="F13" s="33">
        <f>C35*'E Balans VL '!L23/100/3.6*1000000+C35*'E Balans VL '!N23/100/3.6*1000000</f>
        <v>2.0964142535846793</v>
      </c>
      <c r="G13" s="34"/>
      <c r="H13" s="33"/>
      <c r="I13" s="33"/>
      <c r="J13" s="40">
        <f>C35*'E Balans VL '!D23/100/3.6*1000000+C35*'E Balans VL '!E23/100/3.6*1000000</f>
        <v>21.420837708148994</v>
      </c>
      <c r="K13" s="33"/>
      <c r="L13" s="33"/>
      <c r="M13" s="33"/>
      <c r="N13" s="33">
        <f>C35*'E Balans VL '!Y23/100/3.6*1000000</f>
        <v>-1.773715615499132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2314.4980770000002</v>
      </c>
      <c r="C15" s="33"/>
      <c r="D15" s="37">
        <f>IF( ISERROR(IND_rest_gas_kWh/1000),0,IND_rest_gas_kWh/1000)*0.902</f>
        <v>934.68455359400002</v>
      </c>
      <c r="E15" s="33">
        <f>C37*'E Balans VL '!I15/100/3.6*1000000</f>
        <v>109.38452246423498</v>
      </c>
      <c r="F15" s="33">
        <f>C37*'E Balans VL '!L15/100/3.6*1000000+C37*'E Balans VL '!N15/100/3.6*1000000</f>
        <v>411.49347203323731</v>
      </c>
      <c r="G15" s="34"/>
      <c r="H15" s="33"/>
      <c r="I15" s="33"/>
      <c r="J15" s="40">
        <f>C37*'E Balans VL '!D15/100/3.6*1000000+C37*'E Balans VL '!E15/100/3.6*1000000</f>
        <v>19.120562768730991</v>
      </c>
      <c r="K15" s="33"/>
      <c r="L15" s="33"/>
      <c r="M15" s="33"/>
      <c r="N15" s="33">
        <f>C37*'E Balans VL '!Y15/100/3.6*1000000</f>
        <v>90.077578464398911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6392.5303550000008</v>
      </c>
      <c r="C18" s="21">
        <f>C5+C16</f>
        <v>0</v>
      </c>
      <c r="D18" s="21">
        <f>MAX((D5+D16),0)</f>
        <v>3583.816619614</v>
      </c>
      <c r="E18" s="21">
        <f>MAX((E5+E16),0)</f>
        <v>520.88778412327906</v>
      </c>
      <c r="F18" s="21">
        <f>MAX((F5+F16),0)</f>
        <v>1784.7439098531484</v>
      </c>
      <c r="G18" s="21"/>
      <c r="H18" s="21"/>
      <c r="I18" s="21"/>
      <c r="J18" s="21">
        <f>MAX((J5+J16),0)</f>
        <v>41.363452900620501</v>
      </c>
      <c r="K18" s="21"/>
      <c r="L18" s="21">
        <f>MAX((L5+L16),0)</f>
        <v>0</v>
      </c>
      <c r="M18" s="21"/>
      <c r="N18" s="21">
        <f>MAX((N5+N16),0)</f>
        <v>301.3356368934401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0.37932608201266077</v>
      </c>
      <c r="C20" s="25">
        <f ca="1">'EF ele_warmte'!B22</f>
        <v>0.16023360452368993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2424.8534937091536</v>
      </c>
      <c r="C22" s="23">
        <f ca="1">C18*C20</f>
        <v>0</v>
      </c>
      <c r="D22" s="23">
        <f>D18*D20</f>
        <v>723.93095716202811</v>
      </c>
      <c r="E22" s="23">
        <f>E18*E20</f>
        <v>118.24152699598434</v>
      </c>
      <c r="F22" s="23">
        <f>F18*F20</f>
        <v>476.52662393079066</v>
      </c>
      <c r="G22" s="23"/>
      <c r="H22" s="23"/>
      <c r="I22" s="23"/>
      <c r="J22" s="23">
        <f>J18*J20</f>
        <v>14.642662326819657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810.94169299999999</v>
      </c>
      <c r="C30" s="39">
        <f>IF(ISERROR(B30*3.6/1000000/'E Balans VL '!Z18*100),0,B30*3.6/1000000/'E Balans VL '!Z18*100)</f>
        <v>4.6814398585910605E-2</v>
      </c>
      <c r="D30" s="237" t="s">
        <v>716</v>
      </c>
    </row>
    <row r="31" spans="1:18">
      <c r="A31" s="6" t="s">
        <v>32</v>
      </c>
      <c r="B31" s="37">
        <f>IF( ISERROR(IND_ander_ele_kWh/1000),0,IND_ander_ele_kWh/1000)</f>
        <v>1448.934878</v>
      </c>
      <c r="C31" s="39">
        <f>IF(ISERROR(B31*3.6/1000000/'E Balans VL '!Z19*100),0,B31*3.6/1000000/'E Balans VL '!Z19*100)</f>
        <v>7.2876727822847598E-2</v>
      </c>
      <c r="D31" s="237" t="s">
        <v>716</v>
      </c>
    </row>
    <row r="32" spans="1:18">
      <c r="A32" s="171" t="s">
        <v>40</v>
      </c>
      <c r="B32" s="37">
        <f>IF( ISERROR(IND_voed_ele_kWh/1000),0,IND_voed_ele_kWh/1000)</f>
        <v>1554.4267080000002</v>
      </c>
      <c r="C32" s="39">
        <f>IF(ISERROR(B32*3.6/1000000/'E Balans VL '!Z20*100),0,B32*3.6/1000000/'E Balans VL '!Z20*100)</f>
        <v>5.1771639947822634E-2</v>
      </c>
      <c r="D32" s="237" t="s">
        <v>716</v>
      </c>
    </row>
    <row r="33" spans="1:5">
      <c r="A33" s="171" t="s">
        <v>39</v>
      </c>
      <c r="B33" s="37">
        <f>IF( ISERROR(IND_textiel_ele_kWh/1000),0,IND_textiel_ele_kWh/1000)</f>
        <v>46.849809999999998</v>
      </c>
      <c r="C33" s="39">
        <f>IF(ISERROR(B33*3.6/1000000/'E Balans VL '!Z21*100),0,B33*3.6/1000000/'E Balans VL '!Z21*100)</f>
        <v>7.3044816567487316E-3</v>
      </c>
      <c r="D33" s="237" t="s">
        <v>716</v>
      </c>
    </row>
    <row r="34" spans="1:5">
      <c r="A34" s="171" t="s">
        <v>36</v>
      </c>
      <c r="B34" s="37">
        <f>IF( ISERROR(IND_min_ele_kWh/1000),0,IND_min_ele_kWh/1000)</f>
        <v>21.086321000000002</v>
      </c>
      <c r="C34" s="39">
        <f>IF(ISERROR(B34*3.6/1000000/'E Balans VL '!Z22*100),0,B34*3.6/1000000/'E Balans VL '!Z22*100)</f>
        <v>3.9333110856327553E-3</v>
      </c>
      <c r="D34" s="237" t="s">
        <v>716</v>
      </c>
    </row>
    <row r="35" spans="1:5">
      <c r="A35" s="171" t="s">
        <v>38</v>
      </c>
      <c r="B35" s="37">
        <f>IF( ISERROR(IND_papier_ele_kWh/1000),0,IND_papier_ele_kWh/1000)</f>
        <v>195.792868</v>
      </c>
      <c r="C35" s="39">
        <f>IF(ISERROR(B35*3.6/1000000/'E Balans VL '!Z22*100),0,B35*3.6/1000000/'E Balans VL '!Z22*100)</f>
        <v>3.652198305205686E-2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2314.4980770000002</v>
      </c>
      <c r="C37" s="39">
        <f>IF(ISERROR(B37*3.6/1000000/'E Balans VL '!Z15*100),0,B37*3.6/1000000/'E Balans VL '!Z15*100)</f>
        <v>1.8059414299237762E-2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2473.038395</v>
      </c>
      <c r="C5" s="17">
        <f>'Eigen informatie GS &amp; warmtenet'!B62</f>
        <v>0</v>
      </c>
      <c r="D5" s="30">
        <f>IF(ISERROR(SUM(LB_lb_gas_kWh,LB_rest_gas_kWh)/1000),0,SUM(LB_lb_gas_kWh,LB_rest_gas_kWh)/1000)*0.902</f>
        <v>155143.33523502</v>
      </c>
      <c r="E5" s="17">
        <f>B17*'E Balans VL '!I25/3.6*1000000/100</f>
        <v>77.18271280049477</v>
      </c>
      <c r="F5" s="17">
        <f>B17*('E Balans VL '!L25/3.6*1000000+'E Balans VL '!N25/3.6*1000000)/100</f>
        <v>8739.9916437331685</v>
      </c>
      <c r="G5" s="18"/>
      <c r="H5" s="17"/>
      <c r="I5" s="17"/>
      <c r="J5" s="17">
        <f>('E Balans VL '!D25+'E Balans VL '!E25)/3.6*1000000*landbouw!B17/100</f>
        <v>681.33922819346469</v>
      </c>
      <c r="K5" s="17"/>
      <c r="L5" s="17">
        <f>L6*(-1)</f>
        <v>16745.625</v>
      </c>
      <c r="M5" s="17"/>
      <c r="N5" s="17">
        <f>N6*(-1)</f>
        <v>0</v>
      </c>
      <c r="O5" s="17"/>
      <c r="P5" s="17"/>
      <c r="R5" s="32"/>
    </row>
    <row r="6" spans="1:18">
      <c r="A6" s="16" t="s">
        <v>482</v>
      </c>
      <c r="B6" s="17" t="s">
        <v>210</v>
      </c>
      <c r="C6" s="17">
        <f>'lokale energieproductie'!O92+'lokale energieproductie'!O61</f>
        <v>98925.991071428594</v>
      </c>
      <c r="D6" s="310">
        <f>('lokale energieproductie'!P61+'lokale energieproductie'!P92)*(-1)</f>
        <v>-130827.85714285716</v>
      </c>
      <c r="E6" s="248"/>
      <c r="F6" s="310">
        <f>('lokale energieproductie'!S61+'lokale energieproductie'!S92)*(-1)</f>
        <v>-2975.625</v>
      </c>
      <c r="G6" s="249"/>
      <c r="H6" s="248"/>
      <c r="I6" s="248"/>
      <c r="J6" s="248"/>
      <c r="K6" s="248"/>
      <c r="L6" s="310">
        <f>('lokale energieproductie'!T61+'lokale energieproductie'!U61+'lokale energieproductie'!T92+'lokale energieproductie'!U92)*(-1)</f>
        <v>-16745.625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2473.038395</v>
      </c>
      <c r="C8" s="21">
        <f>C5+C6</f>
        <v>98925.991071428594</v>
      </c>
      <c r="D8" s="21">
        <f>MAX((D5+D6),0)</f>
        <v>24315.478092162841</v>
      </c>
      <c r="E8" s="21">
        <f>MAX((E5+E6),0)</f>
        <v>77.18271280049477</v>
      </c>
      <c r="F8" s="21">
        <f>MAX((F5+F6),0)</f>
        <v>5764.3666437331685</v>
      </c>
      <c r="G8" s="21"/>
      <c r="H8" s="21"/>
      <c r="I8" s="21"/>
      <c r="J8" s="21">
        <f>MAX((J5+J6),0)</f>
        <v>681.33922819346469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0.37932608201266077</v>
      </c>
      <c r="C10" s="31">
        <f ca="1">'EF ele_warmte'!B22</f>
        <v>0.16023360452368993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938.08796504222903</v>
      </c>
      <c r="C12" s="23">
        <f ca="1">C8*C10</f>
        <v>15851.268130453371</v>
      </c>
      <c r="D12" s="23">
        <f>D8*D10</f>
        <v>4911.7265746168941</v>
      </c>
      <c r="E12" s="23">
        <f>E8*E10</f>
        <v>17.520475805712312</v>
      </c>
      <c r="F12" s="23">
        <f>F8*F10</f>
        <v>1539.085893876756</v>
      </c>
      <c r="G12" s="23"/>
      <c r="H12" s="23"/>
      <c r="I12" s="23"/>
      <c r="J12" s="23">
        <f>J8*J10</f>
        <v>241.19408678048649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0.36763488583523979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145.70052693001793</v>
      </c>
      <c r="C26" s="247">
        <f>B26*'GWP N2O_CH4'!B5</f>
        <v>3059.7110655303763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29.099793973512366</v>
      </c>
      <c r="C27" s="247">
        <f>B27*'GWP N2O_CH4'!B5</f>
        <v>611.09567344375967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2.0719514821477398</v>
      </c>
      <c r="C28" s="247">
        <f>B28*'GWP N2O_CH4'!B4</f>
        <v>642.30495946579936</v>
      </c>
      <c r="D28" s="50"/>
    </row>
    <row r="29" spans="1:4">
      <c r="A29" s="41" t="s">
        <v>276</v>
      </c>
      <c r="B29" s="247">
        <f>B34*'ha_N2O bodem landbouw'!B4</f>
        <v>10.256005740800266</v>
      </c>
      <c r="C29" s="247">
        <f>B29*'GWP N2O_CH4'!B4</f>
        <v>3179.3617796480821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2.2489574037260741E-3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2.4342248099E-4</v>
      </c>
      <c r="C5" s="463" t="s">
        <v>210</v>
      </c>
      <c r="D5" s="448">
        <f>SUM(D6:D11)</f>
        <v>9.5944102388903995E-4</v>
      </c>
      <c r="E5" s="448">
        <f>SUM(E6:E11)</f>
        <v>7.4094977035954999E-4</v>
      </c>
      <c r="F5" s="461" t="s">
        <v>210</v>
      </c>
      <c r="G5" s="448">
        <f>SUM(G6:G11)</f>
        <v>0.25936546809909428</v>
      </c>
      <c r="H5" s="448">
        <f>SUM(H6:H11)</f>
        <v>7.1518616740819566E-2</v>
      </c>
      <c r="I5" s="463" t="s">
        <v>210</v>
      </c>
      <c r="J5" s="463" t="s">
        <v>210</v>
      </c>
      <c r="K5" s="463" t="s">
        <v>210</v>
      </c>
      <c r="L5" s="463" t="s">
        <v>210</v>
      </c>
      <c r="M5" s="448">
        <f>SUM(M6:M11)</f>
        <v>1.9656394173509048E-2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2.0119628350000001E-4</v>
      </c>
      <c r="C6" s="449"/>
      <c r="D6" s="917">
        <f>vkm_2011_GW_PW*SUMIFS(TableVerdeelsleutelVkm[CNG],TableVerdeelsleutelVkm[Voertuigtype],"Lichte voertuigen")*SUMIFS(TableECFTransport[EnergieConsumptieFactor (PJ per km)],TableECFTransport[Index],CONCATENATE($A6,"_CNG_CNG"))</f>
        <v>6.9959374799159996E-4</v>
      </c>
      <c r="E6" s="917">
        <f>vkm_2011_GW_PW*SUMIFS(TableVerdeelsleutelVkm[LPG],TableVerdeelsleutelVkm[Voertuigtype],"Lichte voertuigen")*SUMIFS(TableECFTransport[EnergieConsumptieFactor (PJ per km)],TableECFTransport[Index],CONCATENATE($A6,"_LPG_LPG"))</f>
        <v>5.5116461172E-4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0.15003341594406769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5.2501730595130087E-2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1.2102748009616637E-2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5.9491281333730987E-2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1.4987770866059854E-5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3.4304531454089704E-3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4.2226197489999999E-5</v>
      </c>
      <c r="C8" s="449"/>
      <c r="D8" s="451">
        <f>vkm_2011_NGW_PW*SUMIFS(TableVerdeelsleutelVkm[CNG],TableVerdeelsleutelVkm[Voertuigtype],"Lichte voertuigen")*SUMIFS(TableECFTransport[EnergieConsumptieFactor (PJ per km)],TableECFTransport[Index],CONCATENATE($A8,"_CNG_CNG"))</f>
        <v>2.5984727589744005E-4</v>
      </c>
      <c r="E8" s="451">
        <f>vkm_2011_NGW_PW*SUMIFS(TableVerdeelsleutelVkm[LPG],TableVerdeelsleutelVkm[Voertuigtype],"Lichte voertuigen")*SUMIFS(TableECFTransport[EnergieConsumptieFactor (PJ per km)],TableECFTransport[Index],CONCATENATE($A8,"_LPG_LPG"))</f>
        <v>1.8978515863955E-4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4.7940507905074793E-2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1.9001446659830269E-2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4.0136196995791892E-3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1.9002629162207909E-3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4.5171499314029716E-7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1.0957331890425283E-4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67.617355830555553</v>
      </c>
      <c r="C14" s="21"/>
      <c r="D14" s="21">
        <f t="shared" ref="D14:M14" si="0">((D5)*10^9/3600)+D12</f>
        <v>266.51139552473336</v>
      </c>
      <c r="E14" s="21">
        <f t="shared" si="0"/>
        <v>205.81938065543056</v>
      </c>
      <c r="F14" s="21"/>
      <c r="G14" s="21">
        <f t="shared" si="0"/>
        <v>72045.963360859518</v>
      </c>
      <c r="H14" s="21">
        <f t="shared" si="0"/>
        <v>19866.282428005434</v>
      </c>
      <c r="I14" s="21"/>
      <c r="J14" s="21"/>
      <c r="K14" s="21"/>
      <c r="L14" s="21"/>
      <c r="M14" s="21">
        <f t="shared" si="0"/>
        <v>5460.1094926414016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0.37932608201266077</v>
      </c>
      <c r="C16" s="56">
        <f ca="1">'EF ele_warmte'!B22</f>
        <v>0.16023360452368993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25.649026663260582</v>
      </c>
      <c r="C18" s="23"/>
      <c r="D18" s="23">
        <f t="shared" ref="D18:M18" si="1">D14*D16</f>
        <v>53.835301895996139</v>
      </c>
      <c r="E18" s="23">
        <f t="shared" si="1"/>
        <v>46.720999408782738</v>
      </c>
      <c r="F18" s="23"/>
      <c r="G18" s="23">
        <f t="shared" si="1"/>
        <v>19236.272217349491</v>
      </c>
      <c r="H18" s="23">
        <f t="shared" si="1"/>
        <v>4946.704324573353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5.0939397953550384E-3</v>
      </c>
      <c r="H50" s="321">
        <f t="shared" si="2"/>
        <v>0</v>
      </c>
      <c r="I50" s="321">
        <f t="shared" si="2"/>
        <v>0</v>
      </c>
      <c r="J50" s="321">
        <f t="shared" si="2"/>
        <v>0</v>
      </c>
      <c r="K50" s="321">
        <f t="shared" si="2"/>
        <v>0</v>
      </c>
      <c r="L50" s="321">
        <f t="shared" si="2"/>
        <v>0</v>
      </c>
      <c r="M50" s="321">
        <f t="shared" si="2"/>
        <v>2.8312173743930927E-4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5.0939397953550384E-3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2.8312173743930927E-4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1414.9832764875107</v>
      </c>
      <c r="H54" s="21">
        <f t="shared" si="3"/>
        <v>0</v>
      </c>
      <c r="I54" s="21">
        <f t="shared" si="3"/>
        <v>0</v>
      </c>
      <c r="J54" s="21">
        <f t="shared" si="3"/>
        <v>0</v>
      </c>
      <c r="K54" s="21">
        <f t="shared" si="3"/>
        <v>0</v>
      </c>
      <c r="L54" s="21">
        <f t="shared" si="3"/>
        <v>0</v>
      </c>
      <c r="M54" s="21">
        <f t="shared" si="3"/>
        <v>78.644927066474793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0.37932608201266077</v>
      </c>
      <c r="C56" s="56">
        <f ca="1">'EF ele_warmte'!B22</f>
        <v>0.16023360452368993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377.80053482216539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13066.364351666667</v>
      </c>
      <c r="D10" s="712">
        <f ca="1">tertiair!C16</f>
        <v>34.050997425997423</v>
      </c>
      <c r="E10" s="712">
        <f ca="1">tertiair!D16</f>
        <v>25610.854302783977</v>
      </c>
      <c r="F10" s="712">
        <f>tertiair!E16</f>
        <v>194.09557010938454</v>
      </c>
      <c r="G10" s="712">
        <f ca="1">tertiair!F16</f>
        <v>1349.0781443412957</v>
      </c>
      <c r="H10" s="712">
        <f>tertiair!G16</f>
        <v>0</v>
      </c>
      <c r="I10" s="712">
        <f>tertiair!H16</f>
        <v>0</v>
      </c>
      <c r="J10" s="712">
        <f>tertiair!I16</f>
        <v>0</v>
      </c>
      <c r="K10" s="712">
        <f>tertiair!J16</f>
        <v>2.131069326574371E-2</v>
      </c>
      <c r="L10" s="712">
        <f>tertiair!K16</f>
        <v>0</v>
      </c>
      <c r="M10" s="712">
        <f ca="1">tertiair!L16</f>
        <v>0</v>
      </c>
      <c r="N10" s="712">
        <f>tertiair!M16</f>
        <v>0</v>
      </c>
      <c r="O10" s="712">
        <f ca="1">tertiair!N16</f>
        <v>838.1816690467025</v>
      </c>
      <c r="P10" s="712">
        <f>tertiair!O16</f>
        <v>9.7945215316823084</v>
      </c>
      <c r="Q10" s="713">
        <f>tertiair!P16</f>
        <v>210.15655322598008</v>
      </c>
      <c r="R10" s="715">
        <f ca="1">SUM(C10:Q10)</f>
        <v>41312.597420824939</v>
      </c>
      <c r="S10" s="67"/>
    </row>
    <row r="11" spans="1:19" s="474" customFormat="1">
      <c r="A11" s="834" t="s">
        <v>224</v>
      </c>
      <c r="B11" s="839"/>
      <c r="C11" s="712">
        <f>huishoudens!B8</f>
        <v>31437.559588573436</v>
      </c>
      <c r="D11" s="712">
        <f>huishoudens!C8</f>
        <v>0</v>
      </c>
      <c r="E11" s="712">
        <f>huishoudens!D8</f>
        <v>57235.501253039998</v>
      </c>
      <c r="F11" s="712">
        <f>huishoudens!E8</f>
        <v>10848.752434746424</v>
      </c>
      <c r="G11" s="712">
        <f>huishoudens!F8</f>
        <v>28160.708203057075</v>
      </c>
      <c r="H11" s="712">
        <f>huishoudens!G8</f>
        <v>0</v>
      </c>
      <c r="I11" s="712">
        <f>huishoudens!H8</f>
        <v>0</v>
      </c>
      <c r="J11" s="712">
        <f>huishoudens!I8</f>
        <v>0</v>
      </c>
      <c r="K11" s="712">
        <f>huishoudens!J8</f>
        <v>0</v>
      </c>
      <c r="L11" s="712">
        <f>huishoudens!K8</f>
        <v>0</v>
      </c>
      <c r="M11" s="712">
        <f>huishoudens!L8</f>
        <v>0</v>
      </c>
      <c r="N11" s="712">
        <f>huishoudens!M8</f>
        <v>0</v>
      </c>
      <c r="O11" s="712">
        <f>huishoudens!N8</f>
        <v>12292.600681460737</v>
      </c>
      <c r="P11" s="712">
        <f>huishoudens!O8</f>
        <v>406.71143497434156</v>
      </c>
      <c r="Q11" s="713">
        <f>huishoudens!P8</f>
        <v>1221.9392796914628</v>
      </c>
      <c r="R11" s="715">
        <f>SUM(C11:Q11)</f>
        <v>141603.77287554345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6392.5303550000008</v>
      </c>
      <c r="D13" s="712">
        <f>industrie!C18</f>
        <v>0</v>
      </c>
      <c r="E13" s="712">
        <f>industrie!D18</f>
        <v>3583.816619614</v>
      </c>
      <c r="F13" s="712">
        <f>industrie!E18</f>
        <v>520.88778412327906</v>
      </c>
      <c r="G13" s="712">
        <f>industrie!F18</f>
        <v>1784.7439098531484</v>
      </c>
      <c r="H13" s="712">
        <f>industrie!G18</f>
        <v>0</v>
      </c>
      <c r="I13" s="712">
        <f>industrie!H18</f>
        <v>0</v>
      </c>
      <c r="J13" s="712">
        <f>industrie!I18</f>
        <v>0</v>
      </c>
      <c r="K13" s="712">
        <f>industrie!J18</f>
        <v>41.363452900620501</v>
      </c>
      <c r="L13" s="712">
        <f>industrie!K18</f>
        <v>0</v>
      </c>
      <c r="M13" s="712">
        <f>industrie!L18</f>
        <v>0</v>
      </c>
      <c r="N13" s="712">
        <f>industrie!M18</f>
        <v>0</v>
      </c>
      <c r="O13" s="712">
        <f>industrie!N18</f>
        <v>301.3356368934401</v>
      </c>
      <c r="P13" s="712">
        <f>industrie!O18</f>
        <v>0</v>
      </c>
      <c r="Q13" s="713">
        <f>industrie!P18</f>
        <v>0</v>
      </c>
      <c r="R13" s="715">
        <f>SUM(C13:Q13)</f>
        <v>12624.677758384489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50896.454295240103</v>
      </c>
      <c r="D16" s="748">
        <f t="shared" ref="D16:R16" ca="1" si="0">SUM(D9:D15)</f>
        <v>34.050997425997423</v>
      </c>
      <c r="E16" s="748">
        <f t="shared" ca="1" si="0"/>
        <v>86430.172175437969</v>
      </c>
      <c r="F16" s="748">
        <f t="shared" si="0"/>
        <v>11563.735788979087</v>
      </c>
      <c r="G16" s="748">
        <f t="shared" ca="1" si="0"/>
        <v>31294.530257251517</v>
      </c>
      <c r="H16" s="748">
        <f t="shared" si="0"/>
        <v>0</v>
      </c>
      <c r="I16" s="748">
        <f t="shared" si="0"/>
        <v>0</v>
      </c>
      <c r="J16" s="748">
        <f t="shared" si="0"/>
        <v>0</v>
      </c>
      <c r="K16" s="748">
        <f t="shared" si="0"/>
        <v>41.384763593886248</v>
      </c>
      <c r="L16" s="748">
        <f t="shared" si="0"/>
        <v>0</v>
      </c>
      <c r="M16" s="748">
        <f t="shared" ca="1" si="0"/>
        <v>0</v>
      </c>
      <c r="N16" s="748">
        <f t="shared" si="0"/>
        <v>0</v>
      </c>
      <c r="O16" s="748">
        <f t="shared" ca="1" si="0"/>
        <v>13432.117987400879</v>
      </c>
      <c r="P16" s="748">
        <f t="shared" si="0"/>
        <v>416.50595650602389</v>
      </c>
      <c r="Q16" s="748">
        <f t="shared" si="0"/>
        <v>1432.095832917443</v>
      </c>
      <c r="R16" s="748">
        <f t="shared" ca="1" si="0"/>
        <v>195541.04805475287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1414.9832764875107</v>
      </c>
      <c r="I19" s="712">
        <f>transport!H54</f>
        <v>0</v>
      </c>
      <c r="J19" s="712">
        <f>transport!I54</f>
        <v>0</v>
      </c>
      <c r="K19" s="712">
        <f>transport!J54</f>
        <v>0</v>
      </c>
      <c r="L19" s="712">
        <f>transport!K54</f>
        <v>0</v>
      </c>
      <c r="M19" s="712">
        <f>transport!L54</f>
        <v>0</v>
      </c>
      <c r="N19" s="712">
        <f>transport!M54</f>
        <v>78.644927066474793</v>
      </c>
      <c r="O19" s="712">
        <f>transport!N54</f>
        <v>0</v>
      </c>
      <c r="P19" s="712">
        <f>transport!O54</f>
        <v>0</v>
      </c>
      <c r="Q19" s="713">
        <f>transport!P54</f>
        <v>0</v>
      </c>
      <c r="R19" s="715">
        <f>SUM(C19:Q19)</f>
        <v>1493.6282035539855</v>
      </c>
      <c r="S19" s="67"/>
    </row>
    <row r="20" spans="1:19" s="474" customFormat="1">
      <c r="A20" s="834" t="s">
        <v>306</v>
      </c>
      <c r="B20" s="839"/>
      <c r="C20" s="712">
        <f>transport!B14</f>
        <v>67.617355830555553</v>
      </c>
      <c r="D20" s="712">
        <f>transport!C14</f>
        <v>0</v>
      </c>
      <c r="E20" s="712">
        <f>transport!D14</f>
        <v>266.51139552473336</v>
      </c>
      <c r="F20" s="712">
        <f>transport!E14</f>
        <v>205.81938065543056</v>
      </c>
      <c r="G20" s="712">
        <f>transport!F14</f>
        <v>0</v>
      </c>
      <c r="H20" s="712">
        <f>transport!G14</f>
        <v>72045.963360859518</v>
      </c>
      <c r="I20" s="712">
        <f>transport!H14</f>
        <v>19866.282428005434</v>
      </c>
      <c r="J20" s="712">
        <f>transport!I14</f>
        <v>0</v>
      </c>
      <c r="K20" s="712">
        <f>transport!J14</f>
        <v>0</v>
      </c>
      <c r="L20" s="712">
        <f>transport!K14</f>
        <v>0</v>
      </c>
      <c r="M20" s="712">
        <f>transport!L14</f>
        <v>0</v>
      </c>
      <c r="N20" s="712">
        <f>transport!M14</f>
        <v>5460.1094926414016</v>
      </c>
      <c r="O20" s="712">
        <f>transport!N14</f>
        <v>0</v>
      </c>
      <c r="P20" s="712">
        <f>transport!O14</f>
        <v>0</v>
      </c>
      <c r="Q20" s="713">
        <f>transport!P14</f>
        <v>0</v>
      </c>
      <c r="R20" s="715">
        <f>SUM(C20:Q20)</f>
        <v>97912.303413517075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67.617355830555553</v>
      </c>
      <c r="D22" s="837">
        <f t="shared" ref="D22:R22" si="1">SUM(D18:D21)</f>
        <v>0</v>
      </c>
      <c r="E22" s="837">
        <f t="shared" si="1"/>
        <v>266.51139552473336</v>
      </c>
      <c r="F22" s="837">
        <f t="shared" si="1"/>
        <v>205.81938065543056</v>
      </c>
      <c r="G22" s="837">
        <f t="shared" si="1"/>
        <v>0</v>
      </c>
      <c r="H22" s="837">
        <f t="shared" si="1"/>
        <v>73460.946637347035</v>
      </c>
      <c r="I22" s="837">
        <f t="shared" si="1"/>
        <v>19866.282428005434</v>
      </c>
      <c r="J22" s="837">
        <f t="shared" si="1"/>
        <v>0</v>
      </c>
      <c r="K22" s="837">
        <f t="shared" si="1"/>
        <v>0</v>
      </c>
      <c r="L22" s="837">
        <f t="shared" si="1"/>
        <v>0</v>
      </c>
      <c r="M22" s="837">
        <f t="shared" si="1"/>
        <v>0</v>
      </c>
      <c r="N22" s="837">
        <f t="shared" si="1"/>
        <v>5538.7544197078769</v>
      </c>
      <c r="O22" s="837">
        <f t="shared" si="1"/>
        <v>0</v>
      </c>
      <c r="P22" s="837">
        <f t="shared" si="1"/>
        <v>0</v>
      </c>
      <c r="Q22" s="837">
        <f t="shared" si="1"/>
        <v>0</v>
      </c>
      <c r="R22" s="837">
        <f t="shared" si="1"/>
        <v>99405.931617071066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2473.038395</v>
      </c>
      <c r="D24" s="712">
        <f>+landbouw!C8</f>
        <v>98925.991071428594</v>
      </c>
      <c r="E24" s="712">
        <f>+landbouw!D8</f>
        <v>24315.478092162841</v>
      </c>
      <c r="F24" s="712">
        <f>+landbouw!E8</f>
        <v>77.18271280049477</v>
      </c>
      <c r="G24" s="712">
        <f>+landbouw!F8</f>
        <v>5764.3666437331685</v>
      </c>
      <c r="H24" s="712">
        <f>+landbouw!G8</f>
        <v>0</v>
      </c>
      <c r="I24" s="712">
        <f>+landbouw!H8</f>
        <v>0</v>
      </c>
      <c r="J24" s="712">
        <f>+landbouw!I8</f>
        <v>0</v>
      </c>
      <c r="K24" s="712">
        <f>+landbouw!J8</f>
        <v>681.33922819346469</v>
      </c>
      <c r="L24" s="712">
        <f>+landbouw!K8</f>
        <v>0</v>
      </c>
      <c r="M24" s="712">
        <f>+landbouw!L8</f>
        <v>0</v>
      </c>
      <c r="N24" s="712">
        <f>+landbouw!M8</f>
        <v>0</v>
      </c>
      <c r="O24" s="712">
        <f>+landbouw!N8</f>
        <v>0</v>
      </c>
      <c r="P24" s="712">
        <f>+landbouw!O8</f>
        <v>0</v>
      </c>
      <c r="Q24" s="713">
        <f>+landbouw!P8</f>
        <v>0</v>
      </c>
      <c r="R24" s="715">
        <f>SUM(C24:Q24)</f>
        <v>132237.39614331853</v>
      </c>
      <c r="S24" s="67"/>
    </row>
    <row r="25" spans="1:19" s="474" customFormat="1" ht="15" thickBot="1">
      <c r="A25" s="856" t="s">
        <v>734</v>
      </c>
      <c r="B25" s="982"/>
      <c r="C25" s="983">
        <f>IF(Onbekend_ele_kWh="---",0,Onbekend_ele_kWh)/1000+IF(REST_rest_ele_kWh="---",0,REST_rest_ele_kWh)/1000</f>
        <v>972.26736399999993</v>
      </c>
      <c r="D25" s="983"/>
      <c r="E25" s="983">
        <f>IF(onbekend_gas_kWh="---",0,onbekend_gas_kWh)/1000+IF(REST_rest_gas_kWh="---",0,REST_rest_gas_kWh)/1000</f>
        <v>2132.5968250000001</v>
      </c>
      <c r="F25" s="983"/>
      <c r="G25" s="983"/>
      <c r="H25" s="983"/>
      <c r="I25" s="983"/>
      <c r="J25" s="983"/>
      <c r="K25" s="983"/>
      <c r="L25" s="983"/>
      <c r="M25" s="983"/>
      <c r="N25" s="983"/>
      <c r="O25" s="983"/>
      <c r="P25" s="983"/>
      <c r="Q25" s="984"/>
      <c r="R25" s="715">
        <f>SUM(C25:Q25)</f>
        <v>3104.8641889999999</v>
      </c>
      <c r="S25" s="67"/>
    </row>
    <row r="26" spans="1:19" s="474" customFormat="1" ht="15.75" thickBot="1">
      <c r="A26" s="720" t="s">
        <v>735</v>
      </c>
      <c r="B26" s="842"/>
      <c r="C26" s="837">
        <f>SUM(C24:C25)</f>
        <v>3445.3057589999999</v>
      </c>
      <c r="D26" s="837">
        <f t="shared" ref="D26:R26" si="2">SUM(D24:D25)</f>
        <v>98925.991071428594</v>
      </c>
      <c r="E26" s="837">
        <f t="shared" si="2"/>
        <v>26448.074917162841</v>
      </c>
      <c r="F26" s="837">
        <f t="shared" si="2"/>
        <v>77.18271280049477</v>
      </c>
      <c r="G26" s="837">
        <f t="shared" si="2"/>
        <v>5764.3666437331685</v>
      </c>
      <c r="H26" s="837">
        <f t="shared" si="2"/>
        <v>0</v>
      </c>
      <c r="I26" s="837">
        <f t="shared" si="2"/>
        <v>0</v>
      </c>
      <c r="J26" s="837">
        <f t="shared" si="2"/>
        <v>0</v>
      </c>
      <c r="K26" s="837">
        <f t="shared" si="2"/>
        <v>681.33922819346469</v>
      </c>
      <c r="L26" s="837">
        <f t="shared" si="2"/>
        <v>0</v>
      </c>
      <c r="M26" s="837">
        <f t="shared" si="2"/>
        <v>0</v>
      </c>
      <c r="N26" s="837">
        <f t="shared" si="2"/>
        <v>0</v>
      </c>
      <c r="O26" s="837">
        <f t="shared" si="2"/>
        <v>0</v>
      </c>
      <c r="P26" s="837">
        <f t="shared" si="2"/>
        <v>0</v>
      </c>
      <c r="Q26" s="837">
        <f t="shared" si="2"/>
        <v>0</v>
      </c>
      <c r="R26" s="837">
        <f t="shared" si="2"/>
        <v>135342.26033231855</v>
      </c>
      <c r="S26" s="67"/>
    </row>
    <row r="27" spans="1:19" s="474" customFormat="1" ht="17.25" thickTop="1" thickBot="1">
      <c r="A27" s="721" t="s">
        <v>115</v>
      </c>
      <c r="B27" s="829"/>
      <c r="C27" s="722">
        <f ca="1">C22+C16+C26</f>
        <v>54409.377410070658</v>
      </c>
      <c r="D27" s="722">
        <f t="shared" ref="D27:R27" ca="1" si="3">D22+D16+D26</f>
        <v>98960.042068854586</v>
      </c>
      <c r="E27" s="722">
        <f t="shared" ca="1" si="3"/>
        <v>113144.75848812555</v>
      </c>
      <c r="F27" s="722">
        <f t="shared" si="3"/>
        <v>11846.737882435013</v>
      </c>
      <c r="G27" s="722">
        <f t="shared" ca="1" si="3"/>
        <v>37058.896900984684</v>
      </c>
      <c r="H27" s="722">
        <f t="shared" si="3"/>
        <v>73460.946637347035</v>
      </c>
      <c r="I27" s="722">
        <f t="shared" si="3"/>
        <v>19866.282428005434</v>
      </c>
      <c r="J27" s="722">
        <f t="shared" si="3"/>
        <v>0</v>
      </c>
      <c r="K27" s="722">
        <f t="shared" si="3"/>
        <v>722.723991787351</v>
      </c>
      <c r="L27" s="722">
        <f t="shared" si="3"/>
        <v>0</v>
      </c>
      <c r="M27" s="722">
        <f t="shared" ca="1" si="3"/>
        <v>0</v>
      </c>
      <c r="N27" s="722">
        <f t="shared" si="3"/>
        <v>5538.7544197078769</v>
      </c>
      <c r="O27" s="722">
        <f t="shared" ca="1" si="3"/>
        <v>13432.117987400879</v>
      </c>
      <c r="P27" s="722">
        <f t="shared" si="3"/>
        <v>416.50595650602389</v>
      </c>
      <c r="Q27" s="722">
        <f t="shared" si="3"/>
        <v>1432.095832917443</v>
      </c>
      <c r="R27" s="722">
        <f t="shared" ca="1" si="3"/>
        <v>430289.24000414246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4956.4127956676166</v>
      </c>
      <c r="D40" s="712">
        <f ca="1">tertiair!C20</f>
        <v>5.4561140551944547</v>
      </c>
      <c r="E40" s="712">
        <f ca="1">tertiair!D20</f>
        <v>5173.3925691623635</v>
      </c>
      <c r="F40" s="712">
        <f>tertiair!E20</f>
        <v>44.05969441483029</v>
      </c>
      <c r="G40" s="712">
        <f ca="1">tertiair!F20</f>
        <v>360.20386453912596</v>
      </c>
      <c r="H40" s="712">
        <f>tertiair!G20</f>
        <v>0</v>
      </c>
      <c r="I40" s="712">
        <f>tertiair!H20</f>
        <v>0</v>
      </c>
      <c r="J40" s="712">
        <f>tertiair!I20</f>
        <v>0</v>
      </c>
      <c r="K40" s="712">
        <f>tertiair!J20</f>
        <v>7.5439854160732735E-3</v>
      </c>
      <c r="L40" s="712">
        <f>tertiair!K20</f>
        <v>0</v>
      </c>
      <c r="M40" s="712">
        <f ca="1">tertiair!L20</f>
        <v>0</v>
      </c>
      <c r="N40" s="712">
        <f>tertiair!M20</f>
        <v>0</v>
      </c>
      <c r="O40" s="712">
        <f ca="1">tertiair!N20</f>
        <v>0</v>
      </c>
      <c r="P40" s="712">
        <f>tertiair!O20</f>
        <v>0</v>
      </c>
      <c r="Q40" s="795">
        <f>tertiair!P20</f>
        <v>0</v>
      </c>
      <c r="R40" s="875">
        <f t="shared" ca="1" si="4"/>
        <v>10539.532581824547</v>
      </c>
    </row>
    <row r="41" spans="1:18">
      <c r="A41" s="847" t="s">
        <v>224</v>
      </c>
      <c r="B41" s="854"/>
      <c r="C41" s="712">
        <f ca="1">huishoudens!B12</f>
        <v>11925.086306773117</v>
      </c>
      <c r="D41" s="712">
        <f ca="1">huishoudens!C12</f>
        <v>0</v>
      </c>
      <c r="E41" s="712">
        <f>huishoudens!D12</f>
        <v>11561.57125311408</v>
      </c>
      <c r="F41" s="712">
        <f>huishoudens!E12</f>
        <v>2462.6668026874386</v>
      </c>
      <c r="G41" s="712">
        <f>huishoudens!F12</f>
        <v>7518.9090902162397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33468.233452790875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2424.8534937091536</v>
      </c>
      <c r="D43" s="712">
        <f ca="1">industrie!C22</f>
        <v>0</v>
      </c>
      <c r="E43" s="712">
        <f>industrie!D22</f>
        <v>723.93095716202811</v>
      </c>
      <c r="F43" s="712">
        <f>industrie!E22</f>
        <v>118.24152699598434</v>
      </c>
      <c r="G43" s="712">
        <f>industrie!F22</f>
        <v>476.52662393079066</v>
      </c>
      <c r="H43" s="712">
        <f>industrie!G22</f>
        <v>0</v>
      </c>
      <c r="I43" s="712">
        <f>industrie!H22</f>
        <v>0</v>
      </c>
      <c r="J43" s="712">
        <f>industrie!I22</f>
        <v>0</v>
      </c>
      <c r="K43" s="712">
        <f>industrie!J22</f>
        <v>14.642662326819657</v>
      </c>
      <c r="L43" s="712">
        <f>industrie!K22</f>
        <v>0</v>
      </c>
      <c r="M43" s="712">
        <f>industrie!L22</f>
        <v>0</v>
      </c>
      <c r="N43" s="712">
        <f>industrie!M22</f>
        <v>0</v>
      </c>
      <c r="O43" s="712">
        <f>industrie!N22</f>
        <v>0</v>
      </c>
      <c r="P43" s="712">
        <f>industrie!O22</f>
        <v>0</v>
      </c>
      <c r="Q43" s="795">
        <f>industrie!P22</f>
        <v>0</v>
      </c>
      <c r="R43" s="874">
        <f t="shared" ca="1" si="4"/>
        <v>3758.1952641247763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19306.352596149889</v>
      </c>
      <c r="D46" s="748">
        <f t="shared" ref="D46:Q46" ca="1" si="5">SUM(D39:D45)</f>
        <v>5.4561140551944547</v>
      </c>
      <c r="E46" s="748">
        <f t="shared" ca="1" si="5"/>
        <v>17458.894779438473</v>
      </c>
      <c r="F46" s="748">
        <f t="shared" si="5"/>
        <v>2624.968024098253</v>
      </c>
      <c r="G46" s="748">
        <f t="shared" ca="1" si="5"/>
        <v>8355.6395786861558</v>
      </c>
      <c r="H46" s="748">
        <f t="shared" si="5"/>
        <v>0</v>
      </c>
      <c r="I46" s="748">
        <f t="shared" si="5"/>
        <v>0</v>
      </c>
      <c r="J46" s="748">
        <f t="shared" si="5"/>
        <v>0</v>
      </c>
      <c r="K46" s="748">
        <f t="shared" si="5"/>
        <v>14.650206312235731</v>
      </c>
      <c r="L46" s="748">
        <f t="shared" si="5"/>
        <v>0</v>
      </c>
      <c r="M46" s="748">
        <f t="shared" ca="1" si="5"/>
        <v>0</v>
      </c>
      <c r="N46" s="748">
        <f t="shared" si="5"/>
        <v>0</v>
      </c>
      <c r="O46" s="748">
        <f t="shared" ca="1" si="5"/>
        <v>0</v>
      </c>
      <c r="P46" s="748">
        <f t="shared" si="5"/>
        <v>0</v>
      </c>
      <c r="Q46" s="748">
        <f t="shared" si="5"/>
        <v>0</v>
      </c>
      <c r="R46" s="748">
        <f ca="1">SUM(R39:R45)</f>
        <v>47765.9612987402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377.80053482216539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377.80053482216539</v>
      </c>
    </row>
    <row r="50" spans="1:18">
      <c r="A50" s="850" t="s">
        <v>306</v>
      </c>
      <c r="B50" s="860"/>
      <c r="C50" s="718">
        <f ca="1">transport!B18</f>
        <v>25.649026663260582</v>
      </c>
      <c r="D50" s="718">
        <f>transport!C18</f>
        <v>0</v>
      </c>
      <c r="E50" s="718">
        <f>transport!D18</f>
        <v>53.835301895996139</v>
      </c>
      <c r="F50" s="718">
        <f>transport!E18</f>
        <v>46.720999408782738</v>
      </c>
      <c r="G50" s="718">
        <f>transport!F18</f>
        <v>0</v>
      </c>
      <c r="H50" s="718">
        <f>transport!G18</f>
        <v>19236.272217349491</v>
      </c>
      <c r="I50" s="718">
        <f>transport!H18</f>
        <v>4946.704324573353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24309.181869890883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25.649026663260582</v>
      </c>
      <c r="D52" s="748">
        <f t="shared" ref="D52:Q52" ca="1" si="6">SUM(D48:D51)</f>
        <v>0</v>
      </c>
      <c r="E52" s="748">
        <f t="shared" si="6"/>
        <v>53.835301895996139</v>
      </c>
      <c r="F52" s="748">
        <f t="shared" si="6"/>
        <v>46.720999408782738</v>
      </c>
      <c r="G52" s="748">
        <f t="shared" si="6"/>
        <v>0</v>
      </c>
      <c r="H52" s="748">
        <f t="shared" si="6"/>
        <v>19614.072752171658</v>
      </c>
      <c r="I52" s="748">
        <f t="shared" si="6"/>
        <v>4946.704324573353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24686.98240471305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938.08796504222903</v>
      </c>
      <c r="D54" s="718">
        <f ca="1">+landbouw!C12</f>
        <v>15851.268130453371</v>
      </c>
      <c r="E54" s="718">
        <f>+landbouw!D12</f>
        <v>4911.7265746168941</v>
      </c>
      <c r="F54" s="718">
        <f>+landbouw!E12</f>
        <v>17.520475805712312</v>
      </c>
      <c r="G54" s="718">
        <f>+landbouw!F12</f>
        <v>1539.085893876756</v>
      </c>
      <c r="H54" s="718">
        <f>+landbouw!G12</f>
        <v>0</v>
      </c>
      <c r="I54" s="718">
        <f>+landbouw!H12</f>
        <v>0</v>
      </c>
      <c r="J54" s="718">
        <f>+landbouw!I12</f>
        <v>0</v>
      </c>
      <c r="K54" s="718">
        <f>+landbouw!J12</f>
        <v>241.19408678048649</v>
      </c>
      <c r="L54" s="718">
        <f>+landbouw!K12</f>
        <v>0</v>
      </c>
      <c r="M54" s="718">
        <f>+landbouw!L12</f>
        <v>0</v>
      </c>
      <c r="N54" s="718">
        <f>+landbouw!M12</f>
        <v>0</v>
      </c>
      <c r="O54" s="718">
        <f>+landbouw!N12</f>
        <v>0</v>
      </c>
      <c r="P54" s="718">
        <f>+landbouw!O12</f>
        <v>0</v>
      </c>
      <c r="Q54" s="719">
        <f>+landbouw!P12</f>
        <v>0</v>
      </c>
      <c r="R54" s="747">
        <f ca="1">SUM(C54:Q54)</f>
        <v>23498.883126575452</v>
      </c>
    </row>
    <row r="55" spans="1:18" ht="15" thickBot="1">
      <c r="A55" s="850" t="s">
        <v>734</v>
      </c>
      <c r="B55" s="860"/>
      <c r="C55" s="718">
        <f ca="1">C25*'EF ele_warmte'!B12</f>
        <v>368.80636985489747</v>
      </c>
      <c r="D55" s="718"/>
      <c r="E55" s="718">
        <f>E25*EF_CO2_aardgas</f>
        <v>430.78455865000006</v>
      </c>
      <c r="F55" s="718"/>
      <c r="G55" s="718"/>
      <c r="H55" s="718"/>
      <c r="I55" s="718"/>
      <c r="J55" s="718"/>
      <c r="K55" s="718"/>
      <c r="L55" s="718"/>
      <c r="M55" s="718"/>
      <c r="N55" s="718"/>
      <c r="O55" s="718"/>
      <c r="P55" s="718"/>
      <c r="Q55" s="719"/>
      <c r="R55" s="747">
        <f ca="1">SUM(C55:Q55)</f>
        <v>799.59092850489753</v>
      </c>
    </row>
    <row r="56" spans="1:18" ht="15.75" thickBot="1">
      <c r="A56" s="848" t="s">
        <v>735</v>
      </c>
      <c r="B56" s="861"/>
      <c r="C56" s="748">
        <f ca="1">SUM(C54:C55)</f>
        <v>1306.8943348971266</v>
      </c>
      <c r="D56" s="748">
        <f t="shared" ref="D56:Q56" ca="1" si="7">SUM(D54:D55)</f>
        <v>15851.268130453371</v>
      </c>
      <c r="E56" s="748">
        <f t="shared" si="7"/>
        <v>5342.5111332668939</v>
      </c>
      <c r="F56" s="748">
        <f t="shared" si="7"/>
        <v>17.520475805712312</v>
      </c>
      <c r="G56" s="748">
        <f t="shared" si="7"/>
        <v>1539.085893876756</v>
      </c>
      <c r="H56" s="748">
        <f t="shared" si="7"/>
        <v>0</v>
      </c>
      <c r="I56" s="748">
        <f t="shared" si="7"/>
        <v>0</v>
      </c>
      <c r="J56" s="748">
        <f t="shared" si="7"/>
        <v>0</v>
      </c>
      <c r="K56" s="748">
        <f t="shared" si="7"/>
        <v>241.19408678048649</v>
      </c>
      <c r="L56" s="748">
        <f t="shared" si="7"/>
        <v>0</v>
      </c>
      <c r="M56" s="748">
        <f t="shared" si="7"/>
        <v>0</v>
      </c>
      <c r="N56" s="748">
        <f t="shared" si="7"/>
        <v>0</v>
      </c>
      <c r="O56" s="748">
        <f t="shared" si="7"/>
        <v>0</v>
      </c>
      <c r="P56" s="748">
        <f t="shared" si="7"/>
        <v>0</v>
      </c>
      <c r="Q56" s="749">
        <f t="shared" si="7"/>
        <v>0</v>
      </c>
      <c r="R56" s="750">
        <f ca="1">SUM(R54:R55)</f>
        <v>24298.474055080351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20638.895957710276</v>
      </c>
      <c r="D61" s="756">
        <f t="shared" ref="D61:Q61" ca="1" si="8">D46+D52+D56</f>
        <v>15856.724244508565</v>
      </c>
      <c r="E61" s="756">
        <f t="shared" ca="1" si="8"/>
        <v>22855.241214601363</v>
      </c>
      <c r="F61" s="756">
        <f t="shared" si="8"/>
        <v>2689.209499312748</v>
      </c>
      <c r="G61" s="756">
        <f t="shared" ca="1" si="8"/>
        <v>9894.7254725629118</v>
      </c>
      <c r="H61" s="756">
        <f t="shared" si="8"/>
        <v>19614.072752171658</v>
      </c>
      <c r="I61" s="756">
        <f t="shared" si="8"/>
        <v>4946.704324573353</v>
      </c>
      <c r="J61" s="756">
        <f t="shared" si="8"/>
        <v>0</v>
      </c>
      <c r="K61" s="756">
        <f t="shared" si="8"/>
        <v>255.84429309272221</v>
      </c>
      <c r="L61" s="756">
        <f t="shared" si="8"/>
        <v>0</v>
      </c>
      <c r="M61" s="756">
        <f t="shared" ca="1" si="8"/>
        <v>0</v>
      </c>
      <c r="N61" s="756">
        <f t="shared" si="8"/>
        <v>0</v>
      </c>
      <c r="O61" s="756">
        <f t="shared" ca="1" si="8"/>
        <v>0</v>
      </c>
      <c r="P61" s="756">
        <f t="shared" si="8"/>
        <v>0</v>
      </c>
      <c r="Q61" s="756">
        <f t="shared" si="8"/>
        <v>0</v>
      </c>
      <c r="R61" s="756">
        <f ca="1">R46+R52+R56</f>
        <v>96751.4177585336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0.37932608201266077</v>
      </c>
      <c r="D63" s="802">
        <f t="shared" ca="1" si="9"/>
        <v>0.16023360452368993</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4570.2384396356347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7890.7432728684817</v>
      </c>
      <c r="C76" s="769">
        <f>'lokale energieproductie'!B8*IFERROR(SUM(D76:H76)/SUM(D76:O76),0)</f>
        <v>63057.548393798192</v>
      </c>
      <c r="D76" s="991">
        <f>'lokale energieproductie'!C8</f>
        <v>54636.366758595395</v>
      </c>
      <c r="E76" s="992">
        <f>'lokale energieproductie'!D8</f>
        <v>0</v>
      </c>
      <c r="F76" s="992">
        <f>'lokale energieproductie'!E8</f>
        <v>1242.5259300067453</v>
      </c>
      <c r="G76" s="992">
        <f>'lokale energieproductie'!F8</f>
        <v>0</v>
      </c>
      <c r="H76" s="992">
        <f>'lokale energieproductie'!G8</f>
        <v>0</v>
      </c>
      <c r="I76" s="992">
        <f>'lokale energieproductie'!I8</f>
        <v>6992.4379841778455</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11368.300508548071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12460.981712504115</v>
      </c>
      <c r="C78" s="774">
        <f>SUM(C72:C77)</f>
        <v>63057.548393798192</v>
      </c>
      <c r="D78" s="775">
        <f t="shared" ref="D78:H78" si="10">SUM(D76:D77)</f>
        <v>54636.366758595395</v>
      </c>
      <c r="E78" s="775">
        <f t="shared" si="10"/>
        <v>0</v>
      </c>
      <c r="F78" s="775">
        <f t="shared" si="10"/>
        <v>1242.5259300067453</v>
      </c>
      <c r="G78" s="775">
        <f t="shared" si="10"/>
        <v>0</v>
      </c>
      <c r="H78" s="775">
        <f t="shared" si="10"/>
        <v>0</v>
      </c>
      <c r="I78" s="775">
        <f>SUM(I76:I77)</f>
        <v>6992.4379841778455</v>
      </c>
      <c r="J78" s="775">
        <f>SUM(J76:J77)</f>
        <v>0</v>
      </c>
      <c r="K78" s="775">
        <f t="shared" ref="K78:L78" si="11">SUM(K76:K77)</f>
        <v>0</v>
      </c>
      <c r="L78" s="775">
        <f t="shared" si="11"/>
        <v>0</v>
      </c>
      <c r="M78" s="775">
        <f>SUM(M76:M77)</f>
        <v>0</v>
      </c>
      <c r="N78" s="775">
        <f>SUM(N76:N77)</f>
        <v>0</v>
      </c>
      <c r="O78" s="885">
        <f>SUM(O76:O77)</f>
        <v>0</v>
      </c>
      <c r="P78" s="776">
        <v>0</v>
      </c>
      <c r="Q78" s="776">
        <f>SUM(Q76:Q77)</f>
        <v>11368.300508548071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11006.160513438666</v>
      </c>
      <c r="C87" s="787">
        <f>'lokale energieproductie'!B17*IFERROR(SUM(D87:H87)/SUM(D87:O87),0)</f>
        <v>87953.881555415937</v>
      </c>
      <c r="D87" s="798">
        <f>'lokale energieproductie'!C17</f>
        <v>76207.855410001808</v>
      </c>
      <c r="E87" s="798">
        <f>'lokale energieproductie'!D17</f>
        <v>0</v>
      </c>
      <c r="F87" s="798">
        <f>'lokale energieproductie'!E17</f>
        <v>1733.0990699932547</v>
      </c>
      <c r="G87" s="798">
        <f>'lokale energieproductie'!F17</f>
        <v>0</v>
      </c>
      <c r="H87" s="798">
        <f>'lokale energieproductie'!G17</f>
        <v>0</v>
      </c>
      <c r="I87" s="798">
        <f>'lokale energieproductie'!I17</f>
        <v>9753.1870158221536</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15856.724244508565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11006.160513438666</v>
      </c>
      <c r="C90" s="774">
        <f>SUM(C87:C89)</f>
        <v>87953.881555415937</v>
      </c>
      <c r="D90" s="774">
        <f t="shared" ref="D90:H90" si="12">SUM(D87:D89)</f>
        <v>76207.855410001808</v>
      </c>
      <c r="E90" s="774">
        <f t="shared" si="12"/>
        <v>0</v>
      </c>
      <c r="F90" s="774">
        <f t="shared" si="12"/>
        <v>1733.0990699932547</v>
      </c>
      <c r="G90" s="774">
        <f t="shared" si="12"/>
        <v>0</v>
      </c>
      <c r="H90" s="774">
        <f t="shared" si="12"/>
        <v>0</v>
      </c>
      <c r="I90" s="774">
        <f>SUM(I87:I89)</f>
        <v>9753.1870158221536</v>
      </c>
      <c r="J90" s="774">
        <f>SUM(J87:J89)</f>
        <v>0</v>
      </c>
      <c r="K90" s="774">
        <f t="shared" ref="K90:L90" si="13">SUM(K87:K89)</f>
        <v>0</v>
      </c>
      <c r="L90" s="774">
        <f t="shared" si="13"/>
        <v>0</v>
      </c>
      <c r="M90" s="774">
        <f>SUM(M87:M89)</f>
        <v>0</v>
      </c>
      <c r="N90" s="774">
        <f>SUM(N87:N89)</f>
        <v>0</v>
      </c>
      <c r="O90" s="774">
        <f>SUM(O87:O89)</f>
        <v>0</v>
      </c>
      <c r="P90" s="774">
        <v>0</v>
      </c>
      <c r="Q90" s="774">
        <f>SUM(Q87:Q89)</f>
        <v>15856.724244508565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4570.2384396356347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70948.291666666672</v>
      </c>
      <c r="C8" s="574">
        <f>B101</f>
        <v>54636.366758595395</v>
      </c>
      <c r="D8" s="575"/>
      <c r="E8" s="575">
        <f>E101</f>
        <v>1242.5259300067453</v>
      </c>
      <c r="F8" s="576"/>
      <c r="G8" s="577"/>
      <c r="H8" s="575">
        <f>I101</f>
        <v>0</v>
      </c>
      <c r="I8" s="575">
        <f>G101+F101</f>
        <v>6992.4379841778455</v>
      </c>
      <c r="J8" s="575">
        <f>H101+D101+C101</f>
        <v>0</v>
      </c>
      <c r="K8" s="575"/>
      <c r="L8" s="575"/>
      <c r="M8" s="575"/>
      <c r="N8" s="578"/>
      <c r="O8" s="579">
        <f>C8*$C$12+D8*$D$12+E8*$E$12+F8*$F$12+G8*$G$12+H8*$H$12+I8*$I$12+J8*$J$12</f>
        <v>11368.300508548071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75518.530106302307</v>
      </c>
      <c r="C10" s="589">
        <f t="shared" ref="C10:L10" si="0">SUM(C8:C9)</f>
        <v>54636.366758595395</v>
      </c>
      <c r="D10" s="589">
        <f t="shared" si="0"/>
        <v>0</v>
      </c>
      <c r="E10" s="589">
        <f t="shared" si="0"/>
        <v>1242.5259300067453</v>
      </c>
      <c r="F10" s="589">
        <f t="shared" si="0"/>
        <v>0</v>
      </c>
      <c r="G10" s="589">
        <f t="shared" si="0"/>
        <v>0</v>
      </c>
      <c r="H10" s="589">
        <f t="shared" si="0"/>
        <v>0</v>
      </c>
      <c r="I10" s="589">
        <f t="shared" si="0"/>
        <v>6992.4379841778455</v>
      </c>
      <c r="J10" s="589">
        <f t="shared" si="0"/>
        <v>0</v>
      </c>
      <c r="K10" s="589">
        <f t="shared" si="0"/>
        <v>0</v>
      </c>
      <c r="L10" s="589">
        <f t="shared" si="0"/>
        <v>0</v>
      </c>
      <c r="M10" s="1004"/>
      <c r="N10" s="1004"/>
      <c r="O10" s="590">
        <f>SUM(O4:O9)</f>
        <v>11368.300508548071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98960.0420688546</v>
      </c>
      <c r="C17" s="605">
        <f>B102</f>
        <v>76207.855410001808</v>
      </c>
      <c r="D17" s="606"/>
      <c r="E17" s="606">
        <f>E102</f>
        <v>1733.0990699932547</v>
      </c>
      <c r="F17" s="607"/>
      <c r="G17" s="608"/>
      <c r="H17" s="605">
        <f>I102</f>
        <v>0</v>
      </c>
      <c r="I17" s="606">
        <f>G102+F102</f>
        <v>9753.1870158221536</v>
      </c>
      <c r="J17" s="606">
        <f>H102+D102+C102</f>
        <v>0</v>
      </c>
      <c r="K17" s="606"/>
      <c r="L17" s="606"/>
      <c r="M17" s="606"/>
      <c r="N17" s="1005"/>
      <c r="O17" s="609">
        <f>C17*$C$22+E17*$E$22+H17*$H$22+I17*$I$22+J17*$J$22+D17*$D$22+F17*$F$22+G17*$G$22+K17*$K$22+L17*$L$22</f>
        <v>15856.724244508565</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98960.0420688546</v>
      </c>
      <c r="C20" s="588">
        <f>SUM(C17:C19)</f>
        <v>76207.855410001808</v>
      </c>
      <c r="D20" s="588">
        <f t="shared" ref="D20:L20" si="1">SUM(D17:D19)</f>
        <v>0</v>
      </c>
      <c r="E20" s="588">
        <f t="shared" si="1"/>
        <v>1733.0990699932547</v>
      </c>
      <c r="F20" s="588">
        <f t="shared" si="1"/>
        <v>0</v>
      </c>
      <c r="G20" s="588">
        <f t="shared" si="1"/>
        <v>0</v>
      </c>
      <c r="H20" s="588">
        <f t="shared" si="1"/>
        <v>0</v>
      </c>
      <c r="I20" s="588">
        <f t="shared" si="1"/>
        <v>9753.1870158221536</v>
      </c>
      <c r="J20" s="588">
        <f t="shared" si="1"/>
        <v>0</v>
      </c>
      <c r="K20" s="588">
        <f t="shared" si="1"/>
        <v>0</v>
      </c>
      <c r="L20" s="588">
        <f t="shared" si="1"/>
        <v>0</v>
      </c>
      <c r="M20" s="588"/>
      <c r="N20" s="588"/>
      <c r="O20" s="614">
        <f>SUM(O17:O19)</f>
        <v>15856.724244508565</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12029</v>
      </c>
      <c r="C28" s="817">
        <v>2580</v>
      </c>
      <c r="D28" s="666" t="s">
        <v>882</v>
      </c>
      <c r="E28" s="665" t="s">
        <v>883</v>
      </c>
      <c r="F28" s="665" t="s">
        <v>884</v>
      </c>
      <c r="G28" s="665" t="s">
        <v>885</v>
      </c>
      <c r="H28" s="665" t="s">
        <v>886</v>
      </c>
      <c r="I28" s="665" t="s">
        <v>883</v>
      </c>
      <c r="J28" s="816">
        <v>39174</v>
      </c>
      <c r="K28" s="816">
        <v>39218</v>
      </c>
      <c r="L28" s="665" t="s">
        <v>887</v>
      </c>
      <c r="M28" s="665">
        <v>1147</v>
      </c>
      <c r="N28" s="665">
        <v>5161.5</v>
      </c>
      <c r="O28" s="665">
        <v>7373.5714285714284</v>
      </c>
      <c r="P28" s="665">
        <v>14747.142857142859</v>
      </c>
      <c r="Q28" s="665">
        <v>0</v>
      </c>
      <c r="R28" s="665">
        <v>0</v>
      </c>
      <c r="S28" s="665">
        <v>0</v>
      </c>
      <c r="T28" s="665">
        <v>0</v>
      </c>
      <c r="U28" s="665">
        <v>0</v>
      </c>
      <c r="V28" s="665">
        <v>0</v>
      </c>
      <c r="W28" s="665">
        <v>0</v>
      </c>
      <c r="X28" s="665">
        <v>10</v>
      </c>
      <c r="Y28" s="665" t="s">
        <v>111</v>
      </c>
      <c r="Z28" s="667" t="s">
        <v>111</v>
      </c>
    </row>
    <row r="29" spans="1:26" s="619" customFormat="1" ht="25.5">
      <c r="A29" s="618"/>
      <c r="B29" s="817">
        <v>12029</v>
      </c>
      <c r="C29" s="817">
        <v>2580</v>
      </c>
      <c r="D29" s="666" t="s">
        <v>888</v>
      </c>
      <c r="E29" s="665" t="s">
        <v>889</v>
      </c>
      <c r="F29" s="665" t="s">
        <v>890</v>
      </c>
      <c r="G29" s="665" t="s">
        <v>885</v>
      </c>
      <c r="H29" s="665" t="s">
        <v>886</v>
      </c>
      <c r="I29" s="665" t="s">
        <v>889</v>
      </c>
      <c r="J29" s="816">
        <v>40970</v>
      </c>
      <c r="K29" s="816">
        <v>39303</v>
      </c>
      <c r="L29" s="665" t="s">
        <v>887</v>
      </c>
      <c r="M29" s="665">
        <v>3602</v>
      </c>
      <c r="N29" s="665">
        <v>16209</v>
      </c>
      <c r="O29" s="665">
        <v>23155.714285714286</v>
      </c>
      <c r="P29" s="665">
        <v>46311.428571428572</v>
      </c>
      <c r="Q29" s="665">
        <v>0</v>
      </c>
      <c r="R29" s="665">
        <v>0</v>
      </c>
      <c r="S29" s="665">
        <v>0</v>
      </c>
      <c r="T29" s="665">
        <v>0</v>
      </c>
      <c r="U29" s="665">
        <v>0</v>
      </c>
      <c r="V29" s="665">
        <v>0</v>
      </c>
      <c r="W29" s="665">
        <v>0</v>
      </c>
      <c r="X29" s="665">
        <v>10</v>
      </c>
      <c r="Y29" s="665" t="s">
        <v>111</v>
      </c>
      <c r="Z29" s="667" t="s">
        <v>111</v>
      </c>
    </row>
    <row r="30" spans="1:26" s="619" customFormat="1" ht="25.5">
      <c r="A30" s="618"/>
      <c r="B30" s="817">
        <v>12029</v>
      </c>
      <c r="C30" s="817">
        <v>2580</v>
      </c>
      <c r="D30" s="666" t="s">
        <v>891</v>
      </c>
      <c r="E30" s="665" t="s">
        <v>892</v>
      </c>
      <c r="F30" s="665" t="s">
        <v>893</v>
      </c>
      <c r="G30" s="665" t="s">
        <v>885</v>
      </c>
      <c r="H30" s="665" t="s">
        <v>886</v>
      </c>
      <c r="I30" s="665" t="s">
        <v>894</v>
      </c>
      <c r="J30" s="816">
        <v>39706</v>
      </c>
      <c r="K30" s="816">
        <v>39735</v>
      </c>
      <c r="L30" s="665" t="s">
        <v>887</v>
      </c>
      <c r="M30" s="665">
        <v>1464</v>
      </c>
      <c r="N30" s="665">
        <v>6588</v>
      </c>
      <c r="O30" s="665">
        <v>9411.4285714285725</v>
      </c>
      <c r="P30" s="665">
        <v>18822.857142857145</v>
      </c>
      <c r="Q30" s="665">
        <v>0</v>
      </c>
      <c r="R30" s="665">
        <v>0</v>
      </c>
      <c r="S30" s="665">
        <v>0</v>
      </c>
      <c r="T30" s="665">
        <v>0</v>
      </c>
      <c r="U30" s="665">
        <v>0</v>
      </c>
      <c r="V30" s="665">
        <v>0</v>
      </c>
      <c r="W30" s="665">
        <v>0</v>
      </c>
      <c r="X30" s="665">
        <v>10</v>
      </c>
      <c r="Y30" s="665" t="s">
        <v>111</v>
      </c>
      <c r="Z30" s="667" t="s">
        <v>111</v>
      </c>
    </row>
    <row r="31" spans="1:26" s="619" customFormat="1" ht="25.5">
      <c r="A31" s="618"/>
      <c r="B31" s="817">
        <v>12029</v>
      </c>
      <c r="C31" s="817">
        <v>2580</v>
      </c>
      <c r="D31" s="666" t="s">
        <v>895</v>
      </c>
      <c r="E31" s="665" t="s">
        <v>896</v>
      </c>
      <c r="F31" s="665" t="s">
        <v>897</v>
      </c>
      <c r="G31" s="665" t="s">
        <v>885</v>
      </c>
      <c r="H31" s="665" t="s">
        <v>886</v>
      </c>
      <c r="I31" s="665" t="s">
        <v>896</v>
      </c>
      <c r="J31" s="816">
        <v>39805</v>
      </c>
      <c r="K31" s="816">
        <v>39833</v>
      </c>
      <c r="L31" s="665" t="s">
        <v>887</v>
      </c>
      <c r="M31" s="665">
        <v>485</v>
      </c>
      <c r="N31" s="665">
        <v>2182.5</v>
      </c>
      <c r="O31" s="665">
        <v>3117.8571428571431</v>
      </c>
      <c r="P31" s="665">
        <v>6235.7142857142862</v>
      </c>
      <c r="Q31" s="665">
        <v>0</v>
      </c>
      <c r="R31" s="665">
        <v>0</v>
      </c>
      <c r="S31" s="665">
        <v>0</v>
      </c>
      <c r="T31" s="665">
        <v>0</v>
      </c>
      <c r="U31" s="665">
        <v>0</v>
      </c>
      <c r="V31" s="665">
        <v>0</v>
      </c>
      <c r="W31" s="665">
        <v>0</v>
      </c>
      <c r="X31" s="665">
        <v>10</v>
      </c>
      <c r="Y31" s="665" t="s">
        <v>111</v>
      </c>
      <c r="Z31" s="667" t="s">
        <v>111</v>
      </c>
    </row>
    <row r="32" spans="1:26" s="619" customFormat="1" ht="38.25">
      <c r="A32" s="618"/>
      <c r="B32" s="817">
        <v>12029</v>
      </c>
      <c r="C32" s="817">
        <v>2580</v>
      </c>
      <c r="D32" s="666" t="s">
        <v>898</v>
      </c>
      <c r="E32" s="665" t="s">
        <v>899</v>
      </c>
      <c r="F32" s="665" t="s">
        <v>900</v>
      </c>
      <c r="G32" s="665" t="s">
        <v>885</v>
      </c>
      <c r="H32" s="665" t="s">
        <v>901</v>
      </c>
      <c r="I32" s="665" t="s">
        <v>899</v>
      </c>
      <c r="J32" s="816">
        <v>40093</v>
      </c>
      <c r="K32" s="816">
        <v>40093</v>
      </c>
      <c r="L32" s="665" t="s">
        <v>887</v>
      </c>
      <c r="M32" s="665">
        <v>1058</v>
      </c>
      <c r="N32" s="665">
        <v>4761</v>
      </c>
      <c r="O32" s="665">
        <v>5356.125</v>
      </c>
      <c r="P32" s="665">
        <v>0</v>
      </c>
      <c r="Q32" s="665">
        <v>0</v>
      </c>
      <c r="R32" s="665">
        <v>0</v>
      </c>
      <c r="S32" s="665">
        <v>2975.625</v>
      </c>
      <c r="T32" s="665">
        <v>8926.875</v>
      </c>
      <c r="U32" s="665">
        <v>0</v>
      </c>
      <c r="V32" s="665">
        <v>0</v>
      </c>
      <c r="W32" s="665">
        <v>0</v>
      </c>
      <c r="X32" s="665">
        <v>10</v>
      </c>
      <c r="Y32" s="665" t="s">
        <v>111</v>
      </c>
      <c r="Z32" s="667" t="s">
        <v>111</v>
      </c>
    </row>
    <row r="33" spans="1:26" s="619" customFormat="1" ht="38.25">
      <c r="A33" s="618"/>
      <c r="B33" s="817">
        <v>12029</v>
      </c>
      <c r="C33" s="817">
        <v>2580</v>
      </c>
      <c r="D33" s="666" t="s">
        <v>902</v>
      </c>
      <c r="E33" s="665" t="s">
        <v>903</v>
      </c>
      <c r="F33" s="665" t="s">
        <v>904</v>
      </c>
      <c r="G33" s="665" t="s">
        <v>885</v>
      </c>
      <c r="H33" s="665" t="s">
        <v>901</v>
      </c>
      <c r="I33" s="665" t="s">
        <v>903</v>
      </c>
      <c r="J33" s="816">
        <v>40142</v>
      </c>
      <c r="K33" s="816">
        <v>40175</v>
      </c>
      <c r="L33" s="665" t="s">
        <v>887</v>
      </c>
      <c r="M33" s="665">
        <v>695</v>
      </c>
      <c r="N33" s="665">
        <v>3127.5</v>
      </c>
      <c r="O33" s="665">
        <v>3518.4375</v>
      </c>
      <c r="P33" s="665">
        <v>0</v>
      </c>
      <c r="Q33" s="665">
        <v>0</v>
      </c>
      <c r="R33" s="665">
        <v>0</v>
      </c>
      <c r="S33" s="665">
        <v>0</v>
      </c>
      <c r="T33" s="665">
        <v>7818.75</v>
      </c>
      <c r="U33" s="665">
        <v>0</v>
      </c>
      <c r="V33" s="665">
        <v>0</v>
      </c>
      <c r="W33" s="665">
        <v>0</v>
      </c>
      <c r="X33" s="665">
        <v>10</v>
      </c>
      <c r="Y33" s="665" t="s">
        <v>111</v>
      </c>
      <c r="Z33" s="667" t="s">
        <v>111</v>
      </c>
    </row>
    <row r="34" spans="1:26" s="619" customFormat="1" ht="25.5">
      <c r="A34" s="618"/>
      <c r="B34" s="817">
        <v>12029</v>
      </c>
      <c r="C34" s="817">
        <v>2580</v>
      </c>
      <c r="D34" s="666" t="s">
        <v>905</v>
      </c>
      <c r="E34" s="665" t="s">
        <v>906</v>
      </c>
      <c r="F34" s="665" t="s">
        <v>907</v>
      </c>
      <c r="G34" s="665" t="s">
        <v>885</v>
      </c>
      <c r="H34" s="665" t="s">
        <v>886</v>
      </c>
      <c r="I34" s="665" t="s">
        <v>908</v>
      </c>
      <c r="J34" s="816">
        <v>40315</v>
      </c>
      <c r="K34" s="816">
        <v>40343</v>
      </c>
      <c r="L34" s="665" t="s">
        <v>887</v>
      </c>
      <c r="M34" s="665">
        <v>1400</v>
      </c>
      <c r="N34" s="665">
        <v>6300</v>
      </c>
      <c r="O34" s="665">
        <v>9000</v>
      </c>
      <c r="P34" s="665">
        <v>18000</v>
      </c>
      <c r="Q34" s="665">
        <v>0</v>
      </c>
      <c r="R34" s="665">
        <v>0</v>
      </c>
      <c r="S34" s="665">
        <v>0</v>
      </c>
      <c r="T34" s="665">
        <v>0</v>
      </c>
      <c r="U34" s="665">
        <v>0</v>
      </c>
      <c r="V34" s="665">
        <v>0</v>
      </c>
      <c r="W34" s="665">
        <v>0</v>
      </c>
      <c r="X34" s="665">
        <v>10</v>
      </c>
      <c r="Y34" s="665" t="s">
        <v>111</v>
      </c>
      <c r="Z34" s="667" t="s">
        <v>111</v>
      </c>
    </row>
    <row r="35" spans="1:26" s="619" customFormat="1" ht="25.5">
      <c r="A35" s="618"/>
      <c r="B35" s="817">
        <v>12029</v>
      </c>
      <c r="C35" s="817">
        <v>2580</v>
      </c>
      <c r="D35" s="666" t="s">
        <v>909</v>
      </c>
      <c r="E35" s="665" t="s">
        <v>910</v>
      </c>
      <c r="F35" s="665" t="s">
        <v>911</v>
      </c>
      <c r="G35" s="665" t="s">
        <v>885</v>
      </c>
      <c r="H35" s="665" t="s">
        <v>886</v>
      </c>
      <c r="I35" s="665" t="s">
        <v>910</v>
      </c>
      <c r="J35" s="816">
        <v>40445</v>
      </c>
      <c r="K35" s="816">
        <v>40445</v>
      </c>
      <c r="L35" s="665" t="s">
        <v>887</v>
      </c>
      <c r="M35" s="665">
        <v>800</v>
      </c>
      <c r="N35" s="665">
        <v>3600</v>
      </c>
      <c r="O35" s="665">
        <v>5142.8571428571431</v>
      </c>
      <c r="P35" s="665">
        <v>10285.714285714286</v>
      </c>
      <c r="Q35" s="665">
        <v>0</v>
      </c>
      <c r="R35" s="665">
        <v>0</v>
      </c>
      <c r="S35" s="665">
        <v>0</v>
      </c>
      <c r="T35" s="665">
        <v>0</v>
      </c>
      <c r="U35" s="665">
        <v>0</v>
      </c>
      <c r="V35" s="665">
        <v>0</v>
      </c>
      <c r="W35" s="665">
        <v>0</v>
      </c>
      <c r="X35" s="665">
        <v>10</v>
      </c>
      <c r="Y35" s="665" t="s">
        <v>111</v>
      </c>
      <c r="Z35" s="667" t="s">
        <v>111</v>
      </c>
    </row>
    <row r="36" spans="1:26" s="619" customFormat="1" ht="25.5">
      <c r="A36" s="618"/>
      <c r="B36" s="817">
        <v>12029</v>
      </c>
      <c r="C36" s="817">
        <v>2580</v>
      </c>
      <c r="D36" s="666"/>
      <c r="E36" s="665"/>
      <c r="F36" s="665" t="s">
        <v>912</v>
      </c>
      <c r="G36" s="665" t="s">
        <v>913</v>
      </c>
      <c r="H36" s="665" t="s">
        <v>913</v>
      </c>
      <c r="I36" s="665" t="s">
        <v>914</v>
      </c>
      <c r="J36" s="816">
        <v>41338</v>
      </c>
      <c r="K36" s="816">
        <v>42352</v>
      </c>
      <c r="L36" s="665" t="s">
        <v>887</v>
      </c>
      <c r="M36" s="665">
        <v>1.7</v>
      </c>
      <c r="N36" s="665">
        <v>0</v>
      </c>
      <c r="O36" s="665">
        <v>0</v>
      </c>
      <c r="P36" s="665">
        <v>0</v>
      </c>
      <c r="Q36" s="665">
        <v>0</v>
      </c>
      <c r="R36" s="665">
        <v>0</v>
      </c>
      <c r="S36" s="665">
        <v>0</v>
      </c>
      <c r="T36" s="665">
        <v>0</v>
      </c>
      <c r="U36" s="665">
        <v>0</v>
      </c>
      <c r="V36" s="665">
        <v>0</v>
      </c>
      <c r="W36" s="665">
        <v>0</v>
      </c>
      <c r="X36" s="665">
        <v>16000</v>
      </c>
      <c r="Y36" s="665" t="s">
        <v>915</v>
      </c>
      <c r="Z36" s="667" t="s">
        <v>388</v>
      </c>
    </row>
    <row r="37" spans="1:26" s="619" customFormat="1" ht="25.5">
      <c r="A37" s="618"/>
      <c r="B37" s="817">
        <v>12029</v>
      </c>
      <c r="C37" s="817">
        <v>2580</v>
      </c>
      <c r="D37" s="666" t="s">
        <v>916</v>
      </c>
      <c r="E37" s="665"/>
      <c r="F37" s="665" t="s">
        <v>917</v>
      </c>
      <c r="G37" s="665" t="s">
        <v>918</v>
      </c>
      <c r="H37" s="665" t="s">
        <v>886</v>
      </c>
      <c r="I37" s="665" t="s">
        <v>919</v>
      </c>
      <c r="J37" s="816">
        <v>42342</v>
      </c>
      <c r="K37" s="816">
        <v>42342</v>
      </c>
      <c r="L37" s="665" t="s">
        <v>920</v>
      </c>
      <c r="M37" s="665">
        <v>4383</v>
      </c>
      <c r="N37" s="665">
        <v>19723.5</v>
      </c>
      <c r="O37" s="665">
        <v>28176.428571428572</v>
      </c>
      <c r="P37" s="665">
        <v>14088.214285714286</v>
      </c>
      <c r="Q37" s="665">
        <v>0</v>
      </c>
      <c r="R37" s="665">
        <v>0</v>
      </c>
      <c r="S37" s="665">
        <v>0</v>
      </c>
      <c r="T37" s="665">
        <v>0</v>
      </c>
      <c r="U37" s="665">
        <v>0</v>
      </c>
      <c r="V37" s="665">
        <v>0</v>
      </c>
      <c r="W37" s="665">
        <v>0</v>
      </c>
      <c r="X37" s="665">
        <v>10</v>
      </c>
      <c r="Y37" s="665" t="s">
        <v>111</v>
      </c>
      <c r="Z37" s="667" t="s">
        <v>111</v>
      </c>
    </row>
    <row r="38" spans="1:26" s="619" customFormat="1" ht="25.5">
      <c r="A38" s="618"/>
      <c r="B38" s="817">
        <v>12029</v>
      </c>
      <c r="C38" s="817">
        <v>2580</v>
      </c>
      <c r="D38" s="666" t="s">
        <v>921</v>
      </c>
      <c r="E38" s="665"/>
      <c r="F38" s="665" t="s">
        <v>922</v>
      </c>
      <c r="G38" s="665" t="s">
        <v>918</v>
      </c>
      <c r="H38" s="665" t="s">
        <v>886</v>
      </c>
      <c r="I38" s="665" t="s">
        <v>923</v>
      </c>
      <c r="J38" s="816">
        <v>43014</v>
      </c>
      <c r="K38" s="816">
        <v>43014</v>
      </c>
      <c r="L38" s="665" t="s">
        <v>920</v>
      </c>
      <c r="M38" s="665">
        <v>3360</v>
      </c>
      <c r="N38" s="665">
        <v>2520</v>
      </c>
      <c r="O38" s="665">
        <v>3600</v>
      </c>
      <c r="P38" s="665">
        <v>1800.0000000000002</v>
      </c>
      <c r="Q38" s="665">
        <v>0</v>
      </c>
      <c r="R38" s="665">
        <v>0</v>
      </c>
      <c r="S38" s="665">
        <v>0</v>
      </c>
      <c r="T38" s="665">
        <v>0</v>
      </c>
      <c r="U38" s="665">
        <v>0</v>
      </c>
      <c r="V38" s="665">
        <v>0</v>
      </c>
      <c r="W38" s="665">
        <v>0</v>
      </c>
      <c r="X38" s="665">
        <v>10</v>
      </c>
      <c r="Y38" s="665" t="s">
        <v>111</v>
      </c>
      <c r="Z38" s="667" t="s">
        <v>111</v>
      </c>
    </row>
    <row r="39" spans="1:26" s="619" customFormat="1" ht="25.5">
      <c r="A39" s="618"/>
      <c r="B39" s="817">
        <v>12029</v>
      </c>
      <c r="C39" s="817">
        <v>2580</v>
      </c>
      <c r="D39" s="666" t="s">
        <v>924</v>
      </c>
      <c r="E39" s="665"/>
      <c r="F39" s="665" t="s">
        <v>925</v>
      </c>
      <c r="G39" s="665" t="s">
        <v>918</v>
      </c>
      <c r="H39" s="665" t="s">
        <v>886</v>
      </c>
      <c r="I39" s="665" t="s">
        <v>926</v>
      </c>
      <c r="J39" s="816">
        <v>43060</v>
      </c>
      <c r="K39" s="816">
        <v>43060</v>
      </c>
      <c r="L39" s="665" t="s">
        <v>920</v>
      </c>
      <c r="M39" s="665">
        <v>2004</v>
      </c>
      <c r="N39" s="665">
        <v>751.5</v>
      </c>
      <c r="O39" s="665">
        <v>1073.5714285714287</v>
      </c>
      <c r="P39" s="665">
        <v>536.78571428571433</v>
      </c>
      <c r="Q39" s="665">
        <v>0</v>
      </c>
      <c r="R39" s="665">
        <v>0</v>
      </c>
      <c r="S39" s="665">
        <v>0</v>
      </c>
      <c r="T39" s="665">
        <v>0</v>
      </c>
      <c r="U39" s="665">
        <v>0</v>
      </c>
      <c r="V39" s="665">
        <v>0</v>
      </c>
      <c r="W39" s="665">
        <v>0</v>
      </c>
      <c r="X39" s="665">
        <v>10</v>
      </c>
      <c r="Y39" s="665" t="s">
        <v>111</v>
      </c>
      <c r="Z39" s="667" t="s">
        <v>111</v>
      </c>
    </row>
    <row r="40" spans="1:26" s="619" customFormat="1" ht="12.75">
      <c r="A40" s="618"/>
      <c r="B40" s="817">
        <v>12029</v>
      </c>
      <c r="C40" s="817">
        <v>2580</v>
      </c>
      <c r="D40" s="666" t="s">
        <v>927</v>
      </c>
      <c r="E40" s="665"/>
      <c r="F40" s="665" t="s">
        <v>928</v>
      </c>
      <c r="G40" s="665" t="s">
        <v>929</v>
      </c>
      <c r="H40" s="665" t="s">
        <v>913</v>
      </c>
      <c r="I40" s="665" t="s">
        <v>930</v>
      </c>
      <c r="J40" s="816">
        <v>42839</v>
      </c>
      <c r="K40" s="816">
        <v>42839</v>
      </c>
      <c r="L40" s="665" t="s">
        <v>920</v>
      </c>
      <c r="M40" s="665">
        <v>1.7</v>
      </c>
      <c r="N40" s="665">
        <v>5.6666666666666661</v>
      </c>
      <c r="O40" s="665">
        <v>8.1171171171171164</v>
      </c>
      <c r="P40" s="665">
        <v>3.8288288288288284</v>
      </c>
      <c r="Q40" s="665">
        <v>0</v>
      </c>
      <c r="R40" s="665">
        <v>0</v>
      </c>
      <c r="S40" s="665">
        <v>0</v>
      </c>
      <c r="T40" s="665">
        <v>0</v>
      </c>
      <c r="U40" s="665">
        <v>0</v>
      </c>
      <c r="V40" s="665">
        <v>0</v>
      </c>
      <c r="W40" s="665">
        <v>0</v>
      </c>
      <c r="X40" s="665">
        <v>1100</v>
      </c>
      <c r="Y40" s="665" t="s">
        <v>160</v>
      </c>
      <c r="Z40" s="667" t="s">
        <v>155</v>
      </c>
    </row>
    <row r="41" spans="1:26" s="619" customFormat="1" ht="51">
      <c r="A41" s="618"/>
      <c r="B41" s="817">
        <v>12029</v>
      </c>
      <c r="C41" s="817">
        <v>2580</v>
      </c>
      <c r="D41" s="666" t="s">
        <v>931</v>
      </c>
      <c r="E41" s="665"/>
      <c r="F41" s="665" t="s">
        <v>932</v>
      </c>
      <c r="G41" s="665" t="s">
        <v>913</v>
      </c>
      <c r="H41" s="665" t="s">
        <v>913</v>
      </c>
      <c r="I41" s="665" t="s">
        <v>933</v>
      </c>
      <c r="J41" s="816">
        <v>43004</v>
      </c>
      <c r="K41" s="816">
        <v>43004</v>
      </c>
      <c r="L41" s="665" t="s">
        <v>920</v>
      </c>
      <c r="M41" s="665">
        <v>1.7</v>
      </c>
      <c r="N41" s="665">
        <v>2.125</v>
      </c>
      <c r="O41" s="665">
        <v>3.0439189189189189</v>
      </c>
      <c r="P41" s="665">
        <v>1.4358108108108107</v>
      </c>
      <c r="Q41" s="665">
        <v>0</v>
      </c>
      <c r="R41" s="665">
        <v>0</v>
      </c>
      <c r="S41" s="665">
        <v>0</v>
      </c>
      <c r="T41" s="665">
        <v>0</v>
      </c>
      <c r="U41" s="665">
        <v>0</v>
      </c>
      <c r="V41" s="665">
        <v>0</v>
      </c>
      <c r="W41" s="665">
        <v>0</v>
      </c>
      <c r="X41" s="665">
        <v>1500</v>
      </c>
      <c r="Y41" s="665" t="s">
        <v>50</v>
      </c>
      <c r="Z41" s="667" t="s">
        <v>155</v>
      </c>
    </row>
    <row r="42" spans="1:26" s="619" customFormat="1" ht="63.75">
      <c r="A42" s="618"/>
      <c r="B42" s="817">
        <v>12029</v>
      </c>
      <c r="C42" s="817">
        <v>2580</v>
      </c>
      <c r="D42" s="666" t="s">
        <v>934</v>
      </c>
      <c r="E42" s="665"/>
      <c r="F42" s="665" t="s">
        <v>935</v>
      </c>
      <c r="G42" s="665" t="s">
        <v>913</v>
      </c>
      <c r="H42" s="665" t="s">
        <v>913</v>
      </c>
      <c r="I42" s="665" t="s">
        <v>936</v>
      </c>
      <c r="J42" s="816">
        <v>43004</v>
      </c>
      <c r="K42" s="816">
        <v>43004</v>
      </c>
      <c r="L42" s="665" t="s">
        <v>920</v>
      </c>
      <c r="M42" s="665">
        <v>3.4</v>
      </c>
      <c r="N42" s="665">
        <v>4.25</v>
      </c>
      <c r="O42" s="665">
        <v>6.0878378378378377</v>
      </c>
      <c r="P42" s="665">
        <v>2.8716216216216215</v>
      </c>
      <c r="Q42" s="665">
        <v>0</v>
      </c>
      <c r="R42" s="665">
        <v>0</v>
      </c>
      <c r="S42" s="665">
        <v>0</v>
      </c>
      <c r="T42" s="665">
        <v>0</v>
      </c>
      <c r="U42" s="665">
        <v>0</v>
      </c>
      <c r="V42" s="665">
        <v>0</v>
      </c>
      <c r="W42" s="665">
        <v>0</v>
      </c>
      <c r="X42" s="665">
        <v>1600</v>
      </c>
      <c r="Y42" s="665" t="s">
        <v>49</v>
      </c>
      <c r="Z42" s="667" t="s">
        <v>155</v>
      </c>
    </row>
    <row r="43" spans="1:26" s="619" customFormat="1" ht="12.75">
      <c r="A43" s="618"/>
      <c r="B43" s="817">
        <v>12029</v>
      </c>
      <c r="C43" s="817">
        <v>2580</v>
      </c>
      <c r="D43" s="666" t="s">
        <v>937</v>
      </c>
      <c r="E43" s="665"/>
      <c r="F43" s="665" t="s">
        <v>938</v>
      </c>
      <c r="G43" s="665" t="s">
        <v>913</v>
      </c>
      <c r="H43" s="665" t="s">
        <v>913</v>
      </c>
      <c r="I43" s="665" t="s">
        <v>939</v>
      </c>
      <c r="J43" s="816">
        <v>43004</v>
      </c>
      <c r="K43" s="816">
        <v>43004</v>
      </c>
      <c r="L43" s="665" t="s">
        <v>920</v>
      </c>
      <c r="M43" s="665">
        <v>3.4</v>
      </c>
      <c r="N43" s="665">
        <v>4.25</v>
      </c>
      <c r="O43" s="665">
        <v>6.0878378378378377</v>
      </c>
      <c r="P43" s="665">
        <v>2.8716216216216215</v>
      </c>
      <c r="Q43" s="665">
        <v>0</v>
      </c>
      <c r="R43" s="665">
        <v>0</v>
      </c>
      <c r="S43" s="665">
        <v>0</v>
      </c>
      <c r="T43" s="665">
        <v>0</v>
      </c>
      <c r="U43" s="665">
        <v>0</v>
      </c>
      <c r="V43" s="665">
        <v>0</v>
      </c>
      <c r="W43" s="665">
        <v>0</v>
      </c>
      <c r="X43" s="665">
        <v>1100</v>
      </c>
      <c r="Y43" s="665" t="s">
        <v>160</v>
      </c>
      <c r="Z43" s="667" t="s">
        <v>155</v>
      </c>
    </row>
    <row r="44" spans="1:26" s="619" customFormat="1" ht="51">
      <c r="A44" s="618"/>
      <c r="B44" s="817">
        <v>12029</v>
      </c>
      <c r="C44" s="817">
        <v>2580</v>
      </c>
      <c r="D44" s="666" t="s">
        <v>940</v>
      </c>
      <c r="E44" s="665"/>
      <c r="F44" s="665" t="s">
        <v>941</v>
      </c>
      <c r="G44" s="665" t="s">
        <v>918</v>
      </c>
      <c r="H44" s="665" t="s">
        <v>886</v>
      </c>
      <c r="I44" s="665" t="s">
        <v>942</v>
      </c>
      <c r="J44" s="816">
        <v>43052</v>
      </c>
      <c r="K44" s="816">
        <v>43052</v>
      </c>
      <c r="L44" s="665" t="s">
        <v>920</v>
      </c>
      <c r="M44" s="665">
        <v>20</v>
      </c>
      <c r="N44" s="665">
        <v>7.5</v>
      </c>
      <c r="O44" s="665">
        <v>10.714285714285715</v>
      </c>
      <c r="P44" s="665">
        <v>5.3571428571428577</v>
      </c>
      <c r="Q44" s="665">
        <v>0</v>
      </c>
      <c r="R44" s="665">
        <v>0</v>
      </c>
      <c r="S44" s="665">
        <v>0</v>
      </c>
      <c r="T44" s="665">
        <v>0</v>
      </c>
      <c r="U44" s="665">
        <v>0</v>
      </c>
      <c r="V44" s="665">
        <v>0</v>
      </c>
      <c r="W44" s="665">
        <v>0</v>
      </c>
      <c r="X44" s="665">
        <v>1500</v>
      </c>
      <c r="Y44" s="665" t="s">
        <v>943</v>
      </c>
      <c r="Z44" s="667" t="s">
        <v>155</v>
      </c>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20429.900000000005</v>
      </c>
      <c r="N58" s="623">
        <f>SUM(N28:N57)</f>
        <v>70948.291666666672</v>
      </c>
      <c r="O58" s="623">
        <f t="shared" ref="O58:W58" si="2">SUM(O28:O57)</f>
        <v>98960.0420688546</v>
      </c>
      <c r="P58" s="623">
        <f t="shared" si="2"/>
        <v>130844.2221685972</v>
      </c>
      <c r="Q58" s="623">
        <f t="shared" si="2"/>
        <v>0</v>
      </c>
      <c r="R58" s="623">
        <f t="shared" si="2"/>
        <v>0</v>
      </c>
      <c r="S58" s="623">
        <f t="shared" si="2"/>
        <v>2975.625</v>
      </c>
      <c r="T58" s="623">
        <f t="shared" si="2"/>
        <v>16745.625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30.2</v>
      </c>
      <c r="N60" s="623">
        <f ca="1">SUMIF($Z$28:AD57,"tertiair",N28:N57)</f>
        <v>23.791666666666664</v>
      </c>
      <c r="O60" s="623">
        <f ca="1">SUMIF($Z$28:AE57,"tertiair",O28:O57)</f>
        <v>34.050997425997423</v>
      </c>
      <c r="P60" s="623">
        <f ca="1">SUMIF($Z$28:AF57,"tertiair",P28:P57)</f>
        <v>16.36502574002574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20398</v>
      </c>
      <c r="N61" s="628">
        <f t="shared" si="4"/>
        <v>70924.5</v>
      </c>
      <c r="O61" s="628">
        <f t="shared" si="4"/>
        <v>98925.991071428594</v>
      </c>
      <c r="P61" s="628">
        <f t="shared" si="4"/>
        <v>130827.85714285716</v>
      </c>
      <c r="Q61" s="628">
        <f t="shared" si="4"/>
        <v>0</v>
      </c>
      <c r="R61" s="628">
        <f t="shared" si="4"/>
        <v>0</v>
      </c>
      <c r="S61" s="628">
        <f t="shared" si="4"/>
        <v>2975.625</v>
      </c>
      <c r="T61" s="628">
        <f t="shared" si="4"/>
        <v>16745.625</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0.58243194958815536</v>
      </c>
      <c r="C98" s="648">
        <f>IF(ISERROR(N58/(O58+N58)),0,N58/(N58+O58))</f>
        <v>0.41756805041184464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54636.366758595395</v>
      </c>
      <c r="C101" s="657">
        <f t="shared" si="9"/>
        <v>0</v>
      </c>
      <c r="D101" s="657">
        <f t="shared" si="9"/>
        <v>0</v>
      </c>
      <c r="E101" s="657">
        <f t="shared" si="9"/>
        <v>1242.5259300067453</v>
      </c>
      <c r="F101" s="657">
        <f t="shared" si="9"/>
        <v>6992.4379841778455</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76207.855410001808</v>
      </c>
      <c r="C102" s="660">
        <f t="shared" si="10"/>
        <v>0</v>
      </c>
      <c r="D102" s="660">
        <f t="shared" si="10"/>
        <v>0</v>
      </c>
      <c r="E102" s="660">
        <f t="shared" si="10"/>
        <v>1733.0990699932547</v>
      </c>
      <c r="F102" s="660">
        <f t="shared" si="10"/>
        <v>9753.1870158221536</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31437.559588573436</v>
      </c>
      <c r="C4" s="478">
        <f>huishoudens!C8</f>
        <v>0</v>
      </c>
      <c r="D4" s="478">
        <f>huishoudens!D8</f>
        <v>57235.501253039998</v>
      </c>
      <c r="E4" s="478">
        <f>huishoudens!E8</f>
        <v>10848.752434746424</v>
      </c>
      <c r="F4" s="478">
        <f>huishoudens!F8</f>
        <v>28160.708203057075</v>
      </c>
      <c r="G4" s="478">
        <f>huishoudens!G8</f>
        <v>0</v>
      </c>
      <c r="H4" s="478">
        <f>huishoudens!H8</f>
        <v>0</v>
      </c>
      <c r="I4" s="478">
        <f>huishoudens!I8</f>
        <v>0</v>
      </c>
      <c r="J4" s="478">
        <f>huishoudens!J8</f>
        <v>0</v>
      </c>
      <c r="K4" s="478">
        <f>huishoudens!K8</f>
        <v>0</v>
      </c>
      <c r="L4" s="478">
        <f>huishoudens!L8</f>
        <v>0</v>
      </c>
      <c r="M4" s="478">
        <f>huishoudens!M8</f>
        <v>0</v>
      </c>
      <c r="N4" s="478">
        <f>huishoudens!N8</f>
        <v>12292.600681460737</v>
      </c>
      <c r="O4" s="478">
        <f>huishoudens!O8</f>
        <v>406.71143497434156</v>
      </c>
      <c r="P4" s="479">
        <f>huishoudens!P8</f>
        <v>1221.9392796914628</v>
      </c>
      <c r="Q4" s="480">
        <f>SUM(B4:P4)</f>
        <v>141603.77287554345</v>
      </c>
    </row>
    <row r="5" spans="1:17">
      <c r="A5" s="477" t="s">
        <v>155</v>
      </c>
      <c r="B5" s="478">
        <f ca="1">tertiair!B16</f>
        <v>12079.789351666666</v>
      </c>
      <c r="C5" s="478">
        <f ca="1">tertiair!C16</f>
        <v>34.050997425997423</v>
      </c>
      <c r="D5" s="478">
        <f ca="1">tertiair!D16</f>
        <v>25610.854302783977</v>
      </c>
      <c r="E5" s="478">
        <f>tertiair!E16</f>
        <v>194.09557010938454</v>
      </c>
      <c r="F5" s="478">
        <f ca="1">tertiair!F16</f>
        <v>1349.0781443412957</v>
      </c>
      <c r="G5" s="478">
        <f>tertiair!G16</f>
        <v>0</v>
      </c>
      <c r="H5" s="478">
        <f>tertiair!H16</f>
        <v>0</v>
      </c>
      <c r="I5" s="478">
        <f>tertiair!I16</f>
        <v>0</v>
      </c>
      <c r="J5" s="478">
        <f>tertiair!J16</f>
        <v>2.131069326574371E-2</v>
      </c>
      <c r="K5" s="478">
        <f>tertiair!K16</f>
        <v>0</v>
      </c>
      <c r="L5" s="478">
        <f ca="1">tertiair!L16</f>
        <v>0</v>
      </c>
      <c r="M5" s="478">
        <f>tertiair!M16</f>
        <v>0</v>
      </c>
      <c r="N5" s="478">
        <f ca="1">tertiair!N16</f>
        <v>838.1816690467025</v>
      </c>
      <c r="O5" s="478">
        <f>tertiair!O16</f>
        <v>9.7945215316823084</v>
      </c>
      <c r="P5" s="479">
        <f>tertiair!P16</f>
        <v>210.15655322598008</v>
      </c>
      <c r="Q5" s="477">
        <f t="shared" ref="Q5:Q14" ca="1" si="0">SUM(B5:P5)</f>
        <v>40326.022420824942</v>
      </c>
    </row>
    <row r="6" spans="1:17">
      <c r="A6" s="477" t="s">
        <v>193</v>
      </c>
      <c r="B6" s="478">
        <f>'openbare verlichting'!B8</f>
        <v>986.57500000000005</v>
      </c>
      <c r="C6" s="478"/>
      <c r="D6" s="478"/>
      <c r="E6" s="478"/>
      <c r="F6" s="478"/>
      <c r="G6" s="478"/>
      <c r="H6" s="478"/>
      <c r="I6" s="478"/>
      <c r="J6" s="478"/>
      <c r="K6" s="478"/>
      <c r="L6" s="478"/>
      <c r="M6" s="478"/>
      <c r="N6" s="478"/>
      <c r="O6" s="478"/>
      <c r="P6" s="479"/>
      <c r="Q6" s="477">
        <f t="shared" si="0"/>
        <v>986.57500000000005</v>
      </c>
    </row>
    <row r="7" spans="1:17">
      <c r="A7" s="477" t="s">
        <v>111</v>
      </c>
      <c r="B7" s="478">
        <f>landbouw!B8</f>
        <v>2473.038395</v>
      </c>
      <c r="C7" s="478">
        <f>landbouw!C8</f>
        <v>98925.991071428594</v>
      </c>
      <c r="D7" s="478">
        <f>landbouw!D8</f>
        <v>24315.478092162841</v>
      </c>
      <c r="E7" s="478">
        <f>landbouw!E8</f>
        <v>77.18271280049477</v>
      </c>
      <c r="F7" s="478">
        <f>landbouw!F8</f>
        <v>5764.3666437331685</v>
      </c>
      <c r="G7" s="478">
        <f>landbouw!G8</f>
        <v>0</v>
      </c>
      <c r="H7" s="478">
        <f>landbouw!H8</f>
        <v>0</v>
      </c>
      <c r="I7" s="478">
        <f>landbouw!I8</f>
        <v>0</v>
      </c>
      <c r="J7" s="478">
        <f>landbouw!J8</f>
        <v>681.33922819346469</v>
      </c>
      <c r="K7" s="478">
        <f>landbouw!K8</f>
        <v>0</v>
      </c>
      <c r="L7" s="478">
        <f>landbouw!L8</f>
        <v>0</v>
      </c>
      <c r="M7" s="478">
        <f>landbouw!M8</f>
        <v>0</v>
      </c>
      <c r="N7" s="478">
        <f>landbouw!N8</f>
        <v>0</v>
      </c>
      <c r="O7" s="478">
        <f>landbouw!O8</f>
        <v>0</v>
      </c>
      <c r="P7" s="479">
        <f>landbouw!P8</f>
        <v>0</v>
      </c>
      <c r="Q7" s="477">
        <f t="shared" si="0"/>
        <v>132237.39614331853</v>
      </c>
    </row>
    <row r="8" spans="1:17">
      <c r="A8" s="477" t="s">
        <v>629</v>
      </c>
      <c r="B8" s="478">
        <f>industrie!B18</f>
        <v>6392.5303550000008</v>
      </c>
      <c r="C8" s="478">
        <f>industrie!C18</f>
        <v>0</v>
      </c>
      <c r="D8" s="478">
        <f>industrie!D18</f>
        <v>3583.816619614</v>
      </c>
      <c r="E8" s="478">
        <f>industrie!E18</f>
        <v>520.88778412327906</v>
      </c>
      <c r="F8" s="478">
        <f>industrie!F18</f>
        <v>1784.7439098531484</v>
      </c>
      <c r="G8" s="478">
        <f>industrie!G18</f>
        <v>0</v>
      </c>
      <c r="H8" s="478">
        <f>industrie!H18</f>
        <v>0</v>
      </c>
      <c r="I8" s="478">
        <f>industrie!I18</f>
        <v>0</v>
      </c>
      <c r="J8" s="478">
        <f>industrie!J18</f>
        <v>41.363452900620501</v>
      </c>
      <c r="K8" s="478">
        <f>industrie!K18</f>
        <v>0</v>
      </c>
      <c r="L8" s="478">
        <f>industrie!L18</f>
        <v>0</v>
      </c>
      <c r="M8" s="478">
        <f>industrie!M18</f>
        <v>0</v>
      </c>
      <c r="N8" s="478">
        <f>industrie!N18</f>
        <v>301.3356368934401</v>
      </c>
      <c r="O8" s="478">
        <f>industrie!O18</f>
        <v>0</v>
      </c>
      <c r="P8" s="479">
        <f>industrie!P18</f>
        <v>0</v>
      </c>
      <c r="Q8" s="477">
        <f t="shared" si="0"/>
        <v>12624.677758384489</v>
      </c>
    </row>
    <row r="9" spans="1:17" s="483" customFormat="1">
      <c r="A9" s="481" t="s">
        <v>555</v>
      </c>
      <c r="B9" s="482">
        <f>transport!B14</f>
        <v>67.617355830555553</v>
      </c>
      <c r="C9" s="482">
        <f>transport!C14</f>
        <v>0</v>
      </c>
      <c r="D9" s="482">
        <f>transport!D14</f>
        <v>266.51139552473336</v>
      </c>
      <c r="E9" s="482">
        <f>transport!E14</f>
        <v>205.81938065543056</v>
      </c>
      <c r="F9" s="482">
        <f>transport!F14</f>
        <v>0</v>
      </c>
      <c r="G9" s="482">
        <f>transport!G14</f>
        <v>72045.963360859518</v>
      </c>
      <c r="H9" s="482">
        <f>transport!H14</f>
        <v>19866.282428005434</v>
      </c>
      <c r="I9" s="482">
        <f>transport!I14</f>
        <v>0</v>
      </c>
      <c r="J9" s="482">
        <f>transport!J14</f>
        <v>0</v>
      </c>
      <c r="K9" s="482">
        <f>transport!K14</f>
        <v>0</v>
      </c>
      <c r="L9" s="482">
        <f>transport!L14</f>
        <v>0</v>
      </c>
      <c r="M9" s="482">
        <f>transport!M14</f>
        <v>5460.1094926414016</v>
      </c>
      <c r="N9" s="482">
        <f>transport!N14</f>
        <v>0</v>
      </c>
      <c r="O9" s="482">
        <f>transport!O14</f>
        <v>0</v>
      </c>
      <c r="P9" s="482">
        <f>transport!P14</f>
        <v>0</v>
      </c>
      <c r="Q9" s="481">
        <f>SUM(B9:P9)</f>
        <v>97912.303413517075</v>
      </c>
    </row>
    <row r="10" spans="1:17">
      <c r="A10" s="477" t="s">
        <v>545</v>
      </c>
      <c r="B10" s="478">
        <f>transport!B54</f>
        <v>0</v>
      </c>
      <c r="C10" s="478">
        <f>transport!C54</f>
        <v>0</v>
      </c>
      <c r="D10" s="478">
        <f>transport!D54</f>
        <v>0</v>
      </c>
      <c r="E10" s="478">
        <f>transport!E54</f>
        <v>0</v>
      </c>
      <c r="F10" s="478">
        <f>transport!F54</f>
        <v>0</v>
      </c>
      <c r="G10" s="478">
        <f>transport!G54</f>
        <v>1414.9832764875107</v>
      </c>
      <c r="H10" s="478">
        <f>transport!H54</f>
        <v>0</v>
      </c>
      <c r="I10" s="478">
        <f>transport!I54</f>
        <v>0</v>
      </c>
      <c r="J10" s="478">
        <f>transport!J54</f>
        <v>0</v>
      </c>
      <c r="K10" s="478">
        <f>transport!K54</f>
        <v>0</v>
      </c>
      <c r="L10" s="478">
        <f>transport!L54</f>
        <v>0</v>
      </c>
      <c r="M10" s="478">
        <f>transport!M54</f>
        <v>78.644927066474793</v>
      </c>
      <c r="N10" s="478">
        <f>transport!N54</f>
        <v>0</v>
      </c>
      <c r="O10" s="478">
        <f>transport!O54</f>
        <v>0</v>
      </c>
      <c r="P10" s="479">
        <f>transport!P54</f>
        <v>0</v>
      </c>
      <c r="Q10" s="477">
        <f t="shared" si="0"/>
        <v>1493.6282035539855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972.26736399999993</v>
      </c>
      <c r="C14" s="485"/>
      <c r="D14" s="485">
        <f>'SEAP template'!E25</f>
        <v>2132.5968250000001</v>
      </c>
      <c r="E14" s="485"/>
      <c r="F14" s="485"/>
      <c r="G14" s="485"/>
      <c r="H14" s="485"/>
      <c r="I14" s="485"/>
      <c r="J14" s="485"/>
      <c r="K14" s="485"/>
      <c r="L14" s="485"/>
      <c r="M14" s="485"/>
      <c r="N14" s="485"/>
      <c r="O14" s="485"/>
      <c r="P14" s="486"/>
      <c r="Q14" s="477">
        <f t="shared" si="0"/>
        <v>3104.8641889999999</v>
      </c>
    </row>
    <row r="15" spans="1:17" s="489" customFormat="1">
      <c r="A15" s="487" t="s">
        <v>549</v>
      </c>
      <c r="B15" s="488">
        <f ca="1">SUM(B4:B14)</f>
        <v>54409.377410070658</v>
      </c>
      <c r="C15" s="488">
        <f t="shared" ref="C15:Q15" ca="1" si="1">SUM(C4:C14)</f>
        <v>98960.042068854586</v>
      </c>
      <c r="D15" s="488">
        <f t="shared" ca="1" si="1"/>
        <v>113144.75848812555</v>
      </c>
      <c r="E15" s="488">
        <f t="shared" si="1"/>
        <v>11846.737882435013</v>
      </c>
      <c r="F15" s="488">
        <f t="shared" ca="1" si="1"/>
        <v>37058.896900984684</v>
      </c>
      <c r="G15" s="488">
        <f t="shared" si="1"/>
        <v>73460.946637347035</v>
      </c>
      <c r="H15" s="488">
        <f t="shared" si="1"/>
        <v>19866.282428005434</v>
      </c>
      <c r="I15" s="488">
        <f t="shared" si="1"/>
        <v>0</v>
      </c>
      <c r="J15" s="488">
        <f t="shared" si="1"/>
        <v>722.72399178735088</v>
      </c>
      <c r="K15" s="488">
        <f t="shared" si="1"/>
        <v>0</v>
      </c>
      <c r="L15" s="488">
        <f t="shared" ca="1" si="1"/>
        <v>0</v>
      </c>
      <c r="M15" s="488">
        <f t="shared" si="1"/>
        <v>5538.7544197078769</v>
      </c>
      <c r="N15" s="488">
        <f t="shared" ca="1" si="1"/>
        <v>13432.117987400879</v>
      </c>
      <c r="O15" s="488">
        <f t="shared" si="1"/>
        <v>416.50595650602389</v>
      </c>
      <c r="P15" s="488">
        <f t="shared" si="1"/>
        <v>1432.095832917443</v>
      </c>
      <c r="Q15" s="488">
        <f t="shared" ca="1" si="1"/>
        <v>430289.24000414246</v>
      </c>
    </row>
    <row r="17" spans="1:17">
      <c r="A17" s="490" t="s">
        <v>550</v>
      </c>
      <c r="B17" s="807">
        <f ca="1">huishoudens!B10</f>
        <v>0.37932608201266077</v>
      </c>
      <c r="C17" s="807">
        <f ca="1">huishoudens!C10</f>
        <v>0.16023360452368993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11925.086306773117</v>
      </c>
      <c r="C22" s="478">
        <f t="shared" ref="C22:C32" ca="1" si="3">C4*$C$17</f>
        <v>0</v>
      </c>
      <c r="D22" s="478">
        <f t="shared" ref="D22:D32" si="4">D4*$D$17</f>
        <v>11561.57125311408</v>
      </c>
      <c r="E22" s="478">
        <f t="shared" ref="E22:E32" si="5">E4*$E$17</f>
        <v>2462.6668026874386</v>
      </c>
      <c r="F22" s="478">
        <f t="shared" ref="F22:F32" si="6">F4*$F$17</f>
        <v>7518.9090902162397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33468.233452790875</v>
      </c>
    </row>
    <row r="23" spans="1:17">
      <c r="A23" s="477" t="s">
        <v>155</v>
      </c>
      <c r="B23" s="478">
        <f t="shared" ca="1" si="2"/>
        <v>4582.1791663059757</v>
      </c>
      <c r="C23" s="478">
        <f t="shared" ca="1" si="3"/>
        <v>5.4561140551944547</v>
      </c>
      <c r="D23" s="478">
        <f t="shared" ca="1" si="4"/>
        <v>5173.3925691623635</v>
      </c>
      <c r="E23" s="478">
        <f t="shared" si="5"/>
        <v>44.05969441483029</v>
      </c>
      <c r="F23" s="478">
        <f t="shared" ca="1" si="6"/>
        <v>360.20386453912596</v>
      </c>
      <c r="G23" s="478">
        <f t="shared" si="7"/>
        <v>0</v>
      </c>
      <c r="H23" s="478">
        <f t="shared" si="8"/>
        <v>0</v>
      </c>
      <c r="I23" s="478">
        <f t="shared" si="9"/>
        <v>0</v>
      </c>
      <c r="J23" s="478">
        <f t="shared" si="10"/>
        <v>7.5439854160732735E-3</v>
      </c>
      <c r="K23" s="478">
        <f t="shared" si="11"/>
        <v>0</v>
      </c>
      <c r="L23" s="478">
        <f t="shared" ca="1" si="12"/>
        <v>0</v>
      </c>
      <c r="M23" s="478">
        <f t="shared" si="13"/>
        <v>0</v>
      </c>
      <c r="N23" s="478">
        <f t="shared" ca="1" si="14"/>
        <v>0</v>
      </c>
      <c r="O23" s="478">
        <f t="shared" si="15"/>
        <v>0</v>
      </c>
      <c r="P23" s="479">
        <f t="shared" si="16"/>
        <v>0</v>
      </c>
      <c r="Q23" s="477">
        <f t="shared" ref="Q23:Q31" ca="1" si="17">SUM(B23:P23)</f>
        <v>10165.298952462905</v>
      </c>
    </row>
    <row r="24" spans="1:17">
      <c r="A24" s="477" t="s">
        <v>193</v>
      </c>
      <c r="B24" s="478">
        <f t="shared" ca="1" si="2"/>
        <v>374.23362936164079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374.23362936164079</v>
      </c>
    </row>
    <row r="25" spans="1:17">
      <c r="A25" s="477" t="s">
        <v>111</v>
      </c>
      <c r="B25" s="478">
        <f t="shared" ca="1" si="2"/>
        <v>938.08796504222903</v>
      </c>
      <c r="C25" s="478">
        <f t="shared" ca="1" si="3"/>
        <v>15851.268130453371</v>
      </c>
      <c r="D25" s="478">
        <f t="shared" si="4"/>
        <v>4911.7265746168941</v>
      </c>
      <c r="E25" s="478">
        <f t="shared" si="5"/>
        <v>17.520475805712312</v>
      </c>
      <c r="F25" s="478">
        <f t="shared" si="6"/>
        <v>1539.085893876756</v>
      </c>
      <c r="G25" s="478">
        <f t="shared" si="7"/>
        <v>0</v>
      </c>
      <c r="H25" s="478">
        <f t="shared" si="8"/>
        <v>0</v>
      </c>
      <c r="I25" s="478">
        <f t="shared" si="9"/>
        <v>0</v>
      </c>
      <c r="J25" s="478">
        <f t="shared" si="10"/>
        <v>241.19408678048649</v>
      </c>
      <c r="K25" s="478">
        <f t="shared" si="11"/>
        <v>0</v>
      </c>
      <c r="L25" s="478">
        <f t="shared" si="12"/>
        <v>0</v>
      </c>
      <c r="M25" s="478">
        <f t="shared" si="13"/>
        <v>0</v>
      </c>
      <c r="N25" s="478">
        <f t="shared" si="14"/>
        <v>0</v>
      </c>
      <c r="O25" s="478">
        <f t="shared" si="15"/>
        <v>0</v>
      </c>
      <c r="P25" s="479">
        <f t="shared" si="16"/>
        <v>0</v>
      </c>
      <c r="Q25" s="477">
        <f t="shared" ca="1" si="17"/>
        <v>23498.883126575452</v>
      </c>
    </row>
    <row r="26" spans="1:17">
      <c r="A26" s="477" t="s">
        <v>629</v>
      </c>
      <c r="B26" s="478">
        <f t="shared" ca="1" si="2"/>
        <v>2424.8534937091536</v>
      </c>
      <c r="C26" s="478">
        <f t="shared" ca="1" si="3"/>
        <v>0</v>
      </c>
      <c r="D26" s="478">
        <f t="shared" si="4"/>
        <v>723.93095716202811</v>
      </c>
      <c r="E26" s="478">
        <f t="shared" si="5"/>
        <v>118.24152699598434</v>
      </c>
      <c r="F26" s="478">
        <f t="shared" si="6"/>
        <v>476.52662393079066</v>
      </c>
      <c r="G26" s="478">
        <f t="shared" si="7"/>
        <v>0</v>
      </c>
      <c r="H26" s="478">
        <f t="shared" si="8"/>
        <v>0</v>
      </c>
      <c r="I26" s="478">
        <f t="shared" si="9"/>
        <v>0</v>
      </c>
      <c r="J26" s="478">
        <f t="shared" si="10"/>
        <v>14.642662326819657</v>
      </c>
      <c r="K26" s="478">
        <f t="shared" si="11"/>
        <v>0</v>
      </c>
      <c r="L26" s="478">
        <f t="shared" si="12"/>
        <v>0</v>
      </c>
      <c r="M26" s="478">
        <f t="shared" si="13"/>
        <v>0</v>
      </c>
      <c r="N26" s="478">
        <f t="shared" si="14"/>
        <v>0</v>
      </c>
      <c r="O26" s="478">
        <f t="shared" si="15"/>
        <v>0</v>
      </c>
      <c r="P26" s="479">
        <f t="shared" si="16"/>
        <v>0</v>
      </c>
      <c r="Q26" s="477">
        <f t="shared" ca="1" si="17"/>
        <v>3758.1952641247763</v>
      </c>
    </row>
    <row r="27" spans="1:17" s="483" customFormat="1">
      <c r="A27" s="481" t="s">
        <v>555</v>
      </c>
      <c r="B27" s="801">
        <f t="shared" ca="1" si="2"/>
        <v>25.649026663260582</v>
      </c>
      <c r="C27" s="482">
        <f t="shared" ca="1" si="3"/>
        <v>0</v>
      </c>
      <c r="D27" s="482">
        <f t="shared" si="4"/>
        <v>53.835301895996139</v>
      </c>
      <c r="E27" s="482">
        <f t="shared" si="5"/>
        <v>46.720999408782738</v>
      </c>
      <c r="F27" s="482">
        <f t="shared" si="6"/>
        <v>0</v>
      </c>
      <c r="G27" s="482">
        <f t="shared" si="7"/>
        <v>19236.272217349491</v>
      </c>
      <c r="H27" s="482">
        <f t="shared" si="8"/>
        <v>4946.704324573353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24309.181869890883</v>
      </c>
    </row>
    <row r="28" spans="1:17" ht="16.5" customHeight="1">
      <c r="A28" s="477" t="s">
        <v>545</v>
      </c>
      <c r="B28" s="478">
        <f t="shared" ca="1" si="2"/>
        <v>0</v>
      </c>
      <c r="C28" s="478">
        <f t="shared" ca="1" si="3"/>
        <v>0</v>
      </c>
      <c r="D28" s="478">
        <f t="shared" si="4"/>
        <v>0</v>
      </c>
      <c r="E28" s="478">
        <f t="shared" si="5"/>
        <v>0</v>
      </c>
      <c r="F28" s="478">
        <f t="shared" si="6"/>
        <v>0</v>
      </c>
      <c r="G28" s="478">
        <f t="shared" si="7"/>
        <v>377.80053482216539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377.80053482216539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368.80636985489747</v>
      </c>
      <c r="C32" s="478">
        <f t="shared" ca="1" si="3"/>
        <v>0</v>
      </c>
      <c r="D32" s="478">
        <f t="shared" si="4"/>
        <v>430.78455865000006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799.59092850489753</v>
      </c>
    </row>
    <row r="33" spans="1:17" s="489" customFormat="1">
      <c r="A33" s="487" t="s">
        <v>549</v>
      </c>
      <c r="B33" s="488">
        <f ca="1">SUM(B22:B32)</f>
        <v>20638.895957710272</v>
      </c>
      <c r="C33" s="488">
        <f t="shared" ref="C33:Q33" ca="1" si="19">SUM(C22:C32)</f>
        <v>15856.724244508565</v>
      </c>
      <c r="D33" s="488">
        <f t="shared" ca="1" si="19"/>
        <v>22855.241214601367</v>
      </c>
      <c r="E33" s="488">
        <f t="shared" si="19"/>
        <v>2689.209499312748</v>
      </c>
      <c r="F33" s="488">
        <f t="shared" ca="1" si="19"/>
        <v>9894.7254725629118</v>
      </c>
      <c r="G33" s="488">
        <f t="shared" si="19"/>
        <v>19614.072752171658</v>
      </c>
      <c r="H33" s="488">
        <f t="shared" si="19"/>
        <v>4946.704324573353</v>
      </c>
      <c r="I33" s="488">
        <f t="shared" si="19"/>
        <v>0</v>
      </c>
      <c r="J33" s="488">
        <f t="shared" si="19"/>
        <v>255.84429309272221</v>
      </c>
      <c r="K33" s="488">
        <f t="shared" si="19"/>
        <v>0</v>
      </c>
      <c r="L33" s="488">
        <f t="shared" ca="1" si="19"/>
        <v>0</v>
      </c>
      <c r="M33" s="488">
        <f t="shared" si="19"/>
        <v>0</v>
      </c>
      <c r="N33" s="488">
        <f t="shared" ca="1" si="19"/>
        <v>0</v>
      </c>
      <c r="O33" s="488">
        <f t="shared" si="19"/>
        <v>0</v>
      </c>
      <c r="P33" s="488">
        <f t="shared" si="19"/>
        <v>0</v>
      </c>
      <c r="Q33" s="488">
        <f t="shared" ca="1" si="19"/>
        <v>96751.4177585336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4570.2384396356347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7890.7432728684817</v>
      </c>
      <c r="C8" s="1062">
        <f>'SEAP template'!C76</f>
        <v>63057.548393798192</v>
      </c>
      <c r="D8" s="1062">
        <f>'SEAP template'!D76</f>
        <v>54636.366758595395</v>
      </c>
      <c r="E8" s="1062">
        <f>'SEAP template'!E76</f>
        <v>0</v>
      </c>
      <c r="F8" s="1062">
        <f>'SEAP template'!F76</f>
        <v>1242.5259300067453</v>
      </c>
      <c r="G8" s="1062">
        <f>'SEAP template'!G76</f>
        <v>0</v>
      </c>
      <c r="H8" s="1062">
        <f>'SEAP template'!H76</f>
        <v>0</v>
      </c>
      <c r="I8" s="1062">
        <f>'SEAP template'!I76</f>
        <v>6992.4379841778455</v>
      </c>
      <c r="J8" s="1062">
        <f>'SEAP template'!J76</f>
        <v>0</v>
      </c>
      <c r="K8" s="1062">
        <f>'SEAP template'!K76</f>
        <v>0</v>
      </c>
      <c r="L8" s="1062">
        <f>'SEAP template'!L76</f>
        <v>0</v>
      </c>
      <c r="M8" s="1062">
        <f>'SEAP template'!M76</f>
        <v>0</v>
      </c>
      <c r="N8" s="1062">
        <f>'SEAP template'!N76</f>
        <v>0</v>
      </c>
      <c r="O8" s="1062">
        <f>'SEAP template'!O76</f>
        <v>0</v>
      </c>
      <c r="P8" s="1063">
        <f>'SEAP template'!Q76</f>
        <v>11368.300508548071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12460.981712504115</v>
      </c>
      <c r="C10" s="1064">
        <f>SUM(C4:C9)</f>
        <v>63057.548393798192</v>
      </c>
      <c r="D10" s="1064">
        <f t="shared" ref="D10:H10" si="0">SUM(D8:D9)</f>
        <v>54636.366758595395</v>
      </c>
      <c r="E10" s="1064">
        <f t="shared" si="0"/>
        <v>0</v>
      </c>
      <c r="F10" s="1064">
        <f t="shared" si="0"/>
        <v>1242.5259300067453</v>
      </c>
      <c r="G10" s="1064">
        <f t="shared" si="0"/>
        <v>0</v>
      </c>
      <c r="H10" s="1064">
        <f t="shared" si="0"/>
        <v>0</v>
      </c>
      <c r="I10" s="1064">
        <f>SUM(I8:I9)</f>
        <v>6992.4379841778455</v>
      </c>
      <c r="J10" s="1064">
        <f>SUM(J8:J9)</f>
        <v>0</v>
      </c>
      <c r="K10" s="1064">
        <f t="shared" ref="K10:L10" si="1">SUM(K8:K9)</f>
        <v>0</v>
      </c>
      <c r="L10" s="1064">
        <f t="shared" si="1"/>
        <v>0</v>
      </c>
      <c r="M10" s="1064">
        <f>SUM(M8:M9)</f>
        <v>0</v>
      </c>
      <c r="N10" s="1064">
        <f>SUM(N8:N9)</f>
        <v>0</v>
      </c>
      <c r="O10" s="1064">
        <f>SUM(O8:O9)</f>
        <v>0</v>
      </c>
      <c r="P10" s="1064">
        <f>SUM(P8:P9)</f>
        <v>11368.300508548071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0.37932608201266077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11006.160513438666</v>
      </c>
      <c r="C17" s="1065">
        <f>'SEAP template'!C87</f>
        <v>87953.881555415937</v>
      </c>
      <c r="D17" s="1063">
        <f>'SEAP template'!D87</f>
        <v>76207.855410001808</v>
      </c>
      <c r="E17" s="1063">
        <f>'SEAP template'!E87</f>
        <v>0</v>
      </c>
      <c r="F17" s="1063">
        <f>'SEAP template'!F87</f>
        <v>1733.0990699932547</v>
      </c>
      <c r="G17" s="1063">
        <f>'SEAP template'!G87</f>
        <v>0</v>
      </c>
      <c r="H17" s="1063">
        <f>'SEAP template'!H87</f>
        <v>0</v>
      </c>
      <c r="I17" s="1063">
        <f>'SEAP template'!I87</f>
        <v>9753.1870158221536</v>
      </c>
      <c r="J17" s="1063">
        <f>'SEAP template'!J87</f>
        <v>0</v>
      </c>
      <c r="K17" s="1063">
        <f>'SEAP template'!K87</f>
        <v>0</v>
      </c>
      <c r="L17" s="1063">
        <f>'SEAP template'!L87</f>
        <v>0</v>
      </c>
      <c r="M17" s="1063">
        <f>'SEAP template'!M87</f>
        <v>0</v>
      </c>
      <c r="N17" s="1063">
        <f>'SEAP template'!N87</f>
        <v>0</v>
      </c>
      <c r="O17" s="1063">
        <f>'SEAP template'!O87</f>
        <v>0</v>
      </c>
      <c r="P17" s="1063">
        <f>'SEAP template'!Q87</f>
        <v>15856.724244508565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11006.160513438666</v>
      </c>
      <c r="C20" s="1064">
        <f>SUM(C17:C19)</f>
        <v>87953.881555415937</v>
      </c>
      <c r="D20" s="1064">
        <f t="shared" ref="D20:H20" si="2">SUM(D17:D19)</f>
        <v>76207.855410001808</v>
      </c>
      <c r="E20" s="1064">
        <f t="shared" si="2"/>
        <v>0</v>
      </c>
      <c r="F20" s="1064">
        <f t="shared" si="2"/>
        <v>1733.0990699932547</v>
      </c>
      <c r="G20" s="1064">
        <f t="shared" si="2"/>
        <v>0</v>
      </c>
      <c r="H20" s="1064">
        <f t="shared" si="2"/>
        <v>0</v>
      </c>
      <c r="I20" s="1064">
        <f>SUM(I17:I19)</f>
        <v>9753.1870158221536</v>
      </c>
      <c r="J20" s="1064">
        <f>SUM(J17:J19)</f>
        <v>0</v>
      </c>
      <c r="K20" s="1064">
        <f t="shared" ref="K20:L20" si="3">SUM(K17:K19)</f>
        <v>0</v>
      </c>
      <c r="L20" s="1064">
        <f t="shared" si="3"/>
        <v>0</v>
      </c>
      <c r="M20" s="1064">
        <f>SUM(M17:M19)</f>
        <v>0</v>
      </c>
      <c r="N20" s="1064">
        <f>SUM(N17:N19)</f>
        <v>0</v>
      </c>
      <c r="O20" s="1064">
        <f>SUM(O17:O19)</f>
        <v>0</v>
      </c>
      <c r="P20" s="1064">
        <f>SUM(P17:P19)</f>
        <v>15856.724244508565</v>
      </c>
    </row>
    <row r="21" spans="1:16">
      <c r="B21" s="913"/>
    </row>
    <row r="22" spans="1:16">
      <c r="A22" s="490" t="s">
        <v>815</v>
      </c>
      <c r="B22" s="807" t="s">
        <v>813</v>
      </c>
      <c r="C22" s="807">
        <f ca="1">'EF ele_warmte'!B22</f>
        <v>0.16023360452368993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0.37932608201266077</v>
      </c>
      <c r="C17" s="527">
        <f ca="1">'EF ele_warmte'!B22</f>
        <v>0.16023360452368993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2019-06-29T17:08:14Z</dcterms:modified>
</cp:coreProperties>
</file>