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<sst xmlns="http://schemas.openxmlformats.org/spreadsheetml/2006/main" count="2376" uniqueCount="889">
  <si>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</si>
  <si>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</si>
  <si>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</si>
  <si>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</si>
  <si>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</si>
  <si>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</si>
  <si>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</si>
  <si>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</si>
  <si>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</si>
  <si>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</si>
  <si>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</si>
  <si>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</si>
  <si>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</si>
  <si>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</si>
  <si>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</si>
  <si>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</si>
  <si>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</si>
  <si>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</si>
  <si>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</si>
  <si>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</si>
  <si>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</si>
  <si>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</si>
  <si>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</si>
  <si>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</si>
  <si>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</si>
  <si>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</si>
  <si>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</si>
  <si>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</si>
  <si>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</si>
  <si>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</si>
  <si>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</si>
  <si>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</si>
  <si>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</si>
  <si>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</si>
  <si>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</si>
  <si>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</si>
  <si>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</si>
  <si>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</si>
  <si>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</si>
  <si>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</si>
  <si>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</si>
  <si>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</si>
  <si>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</si>
  <si>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</si>
  <si>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</si>
  <si>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</si>
  <si>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</si>
  <si>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</si>
  <si>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</si>
  <si>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</si>
  <si>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</si>
  <si>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</si>
  <si>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</si>
  <si>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</si>
  <si>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</si>
  <si>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</si>
  <si>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</si>
  <si>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</si>
  <si>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</si>
  <si>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</si>
  <si>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</si>
  <si>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</si>
  <si>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</si>
  <si>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</si>
  <si>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</si>
  <si>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</si>
  <si>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</si>
  <si>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</si>
  <si>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</si>
  <si>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</si>
  <si>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</si>
  <si>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</si>
  <si>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</si>
  <si>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</si>
  <si>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</si>
  <si>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</si>
  <si>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</si>
  <si>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</si>
  <si>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</si>
  <si>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</si>
  <si>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</si>
  <si>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</si>
  <si>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</si>
  <si>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</si>
  <si>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</si>
  <si>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</si>
  <si>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</si>
  <si>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</si>
  <si>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</si>
  <si>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</si>
  <si>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</si>
  <si>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</si>
  <si>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</si>
  <si>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</si>
  <si>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</si>
  <si>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</si>
  <si>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</si>
  <si>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</si>
  <si>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</si>
  <si>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</si>
  <si>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</si>
  <si>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</si>
  <si>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</si>
  <si>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</si>
  <si>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</si>
  <si>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</si>
  <si>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</si>
  <si>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</si>
  <si>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</si>
  <si>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</si>
  <si>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</si>
  <si>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</si>
  <si>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</si>
  <si>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</si>
  <si>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</si>
  <si>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</si>
  <si>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</si>
  <si>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</si>
  <si>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</si>
  <si>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</si>
  <si>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</si>
  <si>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</si>
  <si>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</si>
  <si>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</si>
  <si>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</si>
  <si>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</si>
  <si>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</si>
  <si>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</si>
  <si>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</si>
  <si>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</si>
  <si>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</si>
  <si>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</si>
  <si>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</si>
  <si>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</si>
  <si>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</si>
  <si>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</si>
  <si>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</si>
  <si>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</si>
  <si>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</si>
  <si>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</si>
  <si>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</si>
  <si>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</si>
  <si>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</si>
  <si>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</si>
  <si>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</si>
  <si>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</si>
  <si>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</si>
  <si>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</si>
  <si>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</si>
  <si>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</si>
  <si>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</si>
  <si>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</si>
  <si>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</si>
  <si>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</si>
  <si>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</si>
  <si>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</si>
  <si>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</si>
  <si>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</si>
  <si>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</si>
  <si>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</si>
  <si>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</si>
  <si>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</si>
  <si>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</si>
  <si>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</si>
  <si>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</si>
  <si>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</si>
  <si>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</si>
  <si>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</si>
  <si>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</si>
  <si>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</si>
  <si>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</si>
  <si>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</si>
  <si>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</si>
  <si>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</si>
  <si>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</si>
  <si>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</si>
  <si>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</si>
  <si>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</si>
  <si>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</si>
  <si>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</si>
  <si>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</si>
  <si>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</si>
  <si>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</si>
  <si>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</si>
  <si>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</si>
  <si>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</si>
  <si>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</si>
  <si>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</si>
  <si>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</si>
  <si>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</si>
  <si>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</si>
  <si>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</si>
  <si>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</si>
  <si>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</si>
  <si>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</si>
  <si>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</si>
  <si>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</si>
  <si>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</si>
  <si>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</si>
  <si>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</si>
  <si>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</si>
  <si>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</si>
  <si>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</si>
  <si>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</si>
  <si>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</si>
  <si>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</si>
  <si>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</si>
  <si>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</si>
  <si>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</si>
  <si>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</si>
  <si>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</si>
  <si>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</si>
  <si>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</si>
  <si>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</si>
  <si>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</si>
  <si>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</si>
  <si>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</si>
  <si>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</si>
  <si>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</si>
  <si>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</si>
  <si>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</si>
  <si>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</si>
  <si>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</si>
  <si>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</si>
  <si>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</si>
  <si>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</si>
  <si>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</si>
  <si>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</si>
  <si>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</si>
  <si>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</si>
  <si>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</si>
  <si>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</si>
  <si>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</si>
  <si>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</si>
  <si>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</si>
  <si>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</si>
  <si>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</si>
  <si>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</si>
  <si>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</si>
  <si>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</si>
  <si>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</si>
  <si>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</si>
  <si>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</si>
  <si>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</si>
  <si>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</si>
  <si>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</si>
  <si>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</si>
  <si>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</si>
  <si>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</si>
  <si>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</si>
  <si>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</si>
  <si>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</si>
  <si>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</si>
  <si>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</si>
  <si>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</si>
  <si>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</si>
  <si>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</si>
  <si>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</si>
  <si>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</si>
  <si>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</si>
  <si>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</si>
  <si>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</si>
  <si>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</si>
  <si>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</si>
  <si>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</si>
  <si>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</si>
  <si>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</si>
  <si>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</si>
  <si>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</si>
  <si>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</si>
  <si>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</si>
  <si>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</si>
  <si>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</si>
  <si>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</si>
  <si>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</si>
  <si>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</si>
  <si>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</si>
  <si>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</si>
  <si>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</si>
  <si>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</si>
  <si>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</si>
  <si>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</si>
  <si>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</si>
  <si>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</si>
  <si>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</si>
  <si>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</si>
  <si>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</si>
  <si>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</si>
  <si>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</si>
  <si>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</si>
  <si>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</si>
  <si>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</si>
  <si>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</si>
  <si>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</si>
  <si>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</si>
  <si>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</si>
  <si>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</si>
  <si>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</si>
  <si>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</si>
  <si>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</si>
  <si>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</si>
  <si>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</si>
  <si>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</si>
  <si>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</si>
  <si>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</si>
  <si>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</si>
  <si>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</si>
  <si>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</si>
  <si>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</si>
  <si>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</si>
  <si>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</si>
  <si>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</si>
  <si>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</si>
  <si>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</si>
  <si>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</si>
  <si>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</si>
  <si>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</si>
  <si>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</si>
  <si>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</si>
  <si>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</si>
  <si>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</si>
  <si>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</si>
  <si>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</si>
  <si>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</si>
  <si>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</si>
  <si>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</si>
  <si>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</si>
  <si>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</si>
  <si>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</si>
  <si>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</si>
  <si>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</si>
  <si>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</si>
  <si>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</si>
  <si>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</si>
  <si>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</si>
  <si>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</si>
  <si>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</si>
  <si>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</si>
  <si>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</si>
  <si>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</si>
  <si>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</si>
  <si>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</si>
  <si>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</si>
  <si>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</si>
  <si>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</si>
  <si>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</si>
  <si>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</si>
  <si>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</si>
  <si>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</si>
  <si>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</si>
  <si>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</si>
  <si>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</si>
  <si>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</si>
  <si>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</si>
  <si>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</si>
  <si>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</si>
  <si>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</si>
  <si>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</si>
  <si>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</si>
  <si>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</si>
  <si>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</si>
  <si>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</si>
  <si>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</si>
  <si>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</si>
  <si>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</si>
  <si>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</si>
  <si>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</si>
  <si>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</si>
  <si>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</si>
  <si>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</si>
  <si>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</si>
  <si>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</si>
  <si>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</si>
  <si>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</si>
  <si>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</si>
  <si>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</si>
  <si>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</si>
  <si>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</si>
  <si>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</si>
  <si>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</si>
  <si>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</si>
  <si>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</si>
  <si>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</si>
  <si>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</si>
  <si>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</si>
  <si>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</si>
  <si>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</si>
  <si>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</si>
  <si>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</si>
  <si>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</si>
  <si>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</si>
  <si>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</si>
  <si>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</si>
  <si>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</si>
  <si>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</si>
  <si>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</si>
  <si>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</si>
  <si>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</si>
  <si>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</si>
  <si>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</si>
  <si>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</si>
  <si>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</si>
  <si>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</si>
  <si>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</si>
  <si>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</si>
  <si>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</si>
  <si>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</si>
  <si>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</si>
  <si>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</si>
  <si>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</si>
  <si>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</si>
  <si>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</si>
  <si>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</si>
  <si>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</si>
  <si>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</si>
  <si>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</si>
  <si>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</si>
  <si>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</si>
  <si>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</si>
  <si>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</si>
  <si>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</si>
  <si>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</si>
  <si>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</si>
  <si>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</si>
  <si>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</si>
  <si>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</si>
  <si>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</si>
  <si>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</si>
  <si>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</si>
  <si>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</si>
  <si>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</si>
  <si>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</si>
  <si>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</si>
  <si>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</si>
  <si>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</si>
  <si>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</si>
  <si>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</si>
  <si>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</si>
  <si>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</si>
  <si>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</si>
  <si>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</si>
  <si>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</si>
  <si>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</si>
  <si>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</si>
  <si>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</si>
  <si>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</si>
  <si>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</si>
  <si>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</si>
  <si>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</si>
  <si>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</si>
  <si>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</si>
  <si>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</si>
  <si>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</si>
  <si>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</si>
  <si>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</si>
  <si>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</si>
  <si>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</si>
  <si>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</si>
  <si>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</si>
  <si>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</si>
  <si>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</si>
  <si>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</si>
  <si>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</si>
  <si>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</si>
  <si>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</si>
  <si>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</si>
  <si>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</si>
  <si>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</si>
  <si>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</si>
  <si>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</si>
  <si>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</si>
  <si>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</si>
  <si>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</si>
  <si>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</si>
  <si>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</si>
  <si>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</si>
  <si>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</si>
  <si>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</si>
  <si>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</si>
  <si>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</si>
  <si>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</si>
  <si>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</si>
  <si>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</si>
  <si>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</si>
  <si>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</si>
  <si>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</si>
  <si>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</si>
  <si>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</si>
  <si>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</si>
  <si>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</si>
  <si>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</si>
  <si>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</si>
  <si>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</si>
  <si>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</si>
  <si>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</si>
  <si>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</si>
  <si>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</si>
  <si>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</si>
  <si>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</si>
  <si>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</si>
  <si>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</si>
  <si>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</si>
  <si>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</si>
  <si>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</si>
  <si>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</si>
  <si>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</si>
  <si>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</si>
  <si>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</si>
  <si>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</si>
  <si>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</si>
  <si>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</si>
  <si>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</si>
  <si>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</si>
  <si>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</si>
  <si>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</si>
  <si>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</si>
  <si>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</si>
  <si>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</si>
  <si>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</si>
  <si>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</si>
  <si>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</si>
  <si>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</si>
  <si>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</si>
  <si>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</si>
  <si>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</si>
  <si>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</si>
  <si>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</si>
  <si>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</si>
  <si>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</si>
  <si>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</si>
  <si>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</si>
  <si>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</si>
  <si>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</si>
  <si>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</si>
  <si>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</si>
  <si>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</si>
  <si>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</si>
  <si>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</si>
  <si>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</si>
  <si>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</si>
  <si>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</si>
  <si>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</si>
  <si>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</si>
  <si>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</si>
  <si>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</si>
  <si>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</si>
  <si>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</si>
  <si>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</si>
  <si>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</si>
  <si>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</si>
  <si>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</si>
  <si>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</si>
  <si>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</si>
  <si>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</si>
  <si>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</si>
  <si>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</si>
  <si>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</si>
  <si>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</si>
  <si>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</si>
  <si>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</si>
  <si>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</si>
  <si>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</si>
  <si>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</si>
  <si>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</si>
  <si>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</si>
  <si>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</si>
  <si>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</si>
  <si>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</si>
  <si>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</si>
  <si>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</si>
  <si>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</si>
  <si>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</si>
  <si>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</si>
  <si>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</si>
  <si>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</si>
  <si>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</si>
  <si>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</si>
  <si>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</si>
  <si>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</si>
  <si>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</si>
  <si>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</si>
  <si>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</si>
  <si>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</si>
  <si>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</si>
  <si>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</si>
  <si>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</si>
  <si>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</si>
  <si>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</si>
  <si>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</si>
  <si>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</si>
  <si>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</si>
  <si>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</si>
  <si>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</si>
  <si>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</si>
  <si>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</si>
  <si>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</si>
  <si>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</si>
  <si>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</si>
  <si>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</si>
  <si>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</si>
  <si>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</si>
  <si>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</si>
  <si>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</si>
  <si>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</si>
  <si>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</si>
  <si>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</si>
  <si>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</si>
  <si>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</si>
  <si>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</si>
  <si>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</si>
  <si>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</si>
  <si>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</si>
  <si>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</si>
  <si>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</si>
  <si>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</si>
  <si>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</si>
  <si>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</si>
  <si>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</si>
  <si>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</si>
  <si>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</si>
  <si>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</si>
  <si>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</si>
  <si>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</si>
  <si>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</si>
  <si>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</si>
  <si>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</si>
  <si>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</si>
  <si>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</si>
  <si>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</si>
  <si>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</si>
  <si>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</si>
  <si>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</si>
  <si>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</si>
  <si>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</si>
  <si>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</si>
  <si>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</si>
  <si>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</si>
  <si>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</si>
  <si>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</si>
  <si>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</si>
  <si>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</si>
  <si>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</si>
  <si>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</si>
  <si>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</si>
  <si>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</si>
  <si>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</si>
  <si>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</si>
  <si>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</si>
  <si>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</si>
  <si>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</si>
  <si>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</si>
  <si>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</si>
  <si>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</si>
  <si>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</si>
  <si>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</si>
  <si>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</si>
  <si>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</si>
  <si>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</si>
  <si>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</si>
  <si>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</si>
  <si>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</si>
  <si>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</si>
  <si>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</si>
  <si>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</si>
  <si>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</si>
  <si>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</si>
  <si>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</si>
  <si>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</si>
  <si>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</si>
  <si>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</si>
  <si>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</si>
  <si>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</si>
  <si>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</si>
  <si>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</si>
  <si>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</si>
  <si>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</si>
  <si>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</si>
  <si>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</si>
  <si>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</si>
  <si>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</si>
  <si>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</si>
  <si>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</si>
  <si>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</si>
  <si>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</si>
  <si>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</si>
  <si>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</si>
  <si>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</si>
  <si>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</si>
  <si>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</si>
  <si>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</si>
  <si>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</si>
  <si>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</si>
  <si>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</si>
  <si>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</si>
  <si>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</si>
  <si>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</si>
  <si>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</si>
  <si>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</si>
  <si>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</si>
  <si>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</si>
  <si>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</si>
  <si>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</si>
  <si>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</si>
  <si>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</si>
  <si>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</si>
  <si>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</si>
  <si>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</si>
  <si>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</si>
  <si>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</si>
  <si>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</si>
  <si>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</si>
  <si>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</si>
  <si>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</si>
  <si>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</si>
  <si>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</si>
  <si>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</si>
  <si>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</si>
  <si>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</si>
  <si>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</si>
  <si>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</si>
  <si>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</si>
  <si>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</si>
  <si>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</si>
  <si>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</si>
  <si>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</si>
  <si>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</si>
  <si>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</si>
  <si>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</si>
  <si>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</si>
  <si>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</si>
  <si>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</si>
  <si>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</si>
  <si>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</si>
  <si>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</si>
  <si>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</si>
  <si>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</si>
  <si>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</si>
  <si>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</si>
  <si>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</si>
  <si>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</si>
  <si>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</si>
  <si>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</si>
  <si>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</si>
  <si>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</si>
  <si>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</si>
  <si>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</si>
  <si>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</si>
  <si>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</si>
  <si>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</si>
  <si>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</si>
  <si>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</si>
  <si>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</si>
  <si>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</si>
  <si>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</si>
  <si>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</si>
  <si>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</si>
  <si>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</si>
  <si>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</si>
  <si>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</si>
  <si>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</si>
  <si>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</si>
  <si>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</si>
  <si>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</si>
  <si>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</si>
  <si>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</si>
  <si>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</si>
  <si>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</si>
  <si>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</si>
  <si>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</si>
  <si>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</si>
  <si>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</si>
  <si>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</si>
  <si>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</si>
  <si>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</si>
  <si>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</si>
  <si>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</si>
  <si>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</si>
  <si>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</si>
  <si>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</si>
  <si>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</si>
  <si>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</si>
  <si>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</si>
  <si>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</si>
  <si>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</si>
  <si>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</si>
  <si>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</si>
  <si>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</si>
  <si>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</si>
  <si>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</si>
  <si>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</si>
  <si>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</si>
  <si>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</si>
  <si>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</si>
  <si>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</si>
  <si>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</si>
  <si>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</si>
  <si>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</si>
  <si>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</si>
  <si>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</si>
  <si>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</si>
  <si>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</si>
  <si>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</si>
  <si>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</si>
  <si>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</si>
  <si>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</si>
  <si>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</si>
  <si>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</si>
  <si>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</si>
  <si>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</si>
  <si>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</si>
  <si>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</si>
  <si>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</si>
  <si>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</si>
  <si>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</si>
  <si>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</si>
  <si>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</si>
  <si>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</si>
  <si>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</si>
  <si>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</si>
  <si>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</si>
  <si>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</si>
  <si>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</si>
  <si>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</si>
  <si>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</si>
  <si>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</si>
  <si>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</si>
  <si>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</si>
  <si>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</si>
  <si>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</si>
  <si>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</si>
  <si>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</si>
  <si>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</si>
  <si>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</si>
  <si>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</si>
  <si>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</si>
  <si>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</si>
  <si>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</si>
  <si>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</si>
  <si>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</si>
  <si>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</si>
  <si>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</si>
  <si>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</si>
  <si>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</si>
  <si>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</si>
  <si>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</si>
  <si>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</si>
  <si>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</si>
  <si>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</si>
  <si>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</si>
  <si>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</si>
  <si>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</si>
  <si>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</si>
  <si>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</si>
  <si>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</si>
  <si>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</si>
  <si>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</si>
  <si>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</si>
  <si>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</si>
  <si>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</si>
  <si>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</si>
  <si>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</si>
  <si>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</si>
  <si>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</si>
  <si>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</si>
  <si>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</si>
  <si>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</si>
  <si>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</si>
  <si>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</si>
  <si>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</si>
  <si>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</si>
  <si>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</si>
  <si>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</si>
  <si>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</si>
  <si>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</si>
  <si>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12007</t>
  </si>
  <si>
    <t>BORNEM</t>
  </si>
  <si>
    <t>Mestbank (maart 2019)</t>
  </si>
  <si>
    <t>Fluvius (februari 2019)</t>
  </si>
  <si>
    <t>referentietaak LNE (2017); Jaarverslag De Lijn (2018)</t>
  </si>
  <si>
    <t>VEA (30 april 2019)</t>
  </si>
  <si>
    <t>VEA (mei 2018)</t>
  </si>
  <si>
    <t>VEA (mei 2019)</t>
  </si>
  <si>
    <t>Altimo International bvba</t>
  </si>
  <si>
    <t>Ijzerdijk 47 , 8600 Diksmuide</t>
  </si>
  <si>
    <t>WKK-0645 Altimo International</t>
  </si>
  <si>
    <t>interne verbrandingsmotor</t>
  </si>
  <si>
    <t>WKK interne verbrandinsgmotor (gas)</t>
  </si>
  <si>
    <t>Rijksweg 11 , 2880 Bornem</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</si>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</sst>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154062.04070725964</c:v>
                </c:pt>
                <c:pt idx="1">
                  <c:v>84085.042040420813</c:v>
                </c:pt>
                <c:pt idx="2">
                  <c:v>1626.7329999999999</c:v>
                </c:pt>
                <c:pt idx="3">
                  <c:v>4573.529031552891</c:v>
                </c:pt>
                <c:pt idx="4">
                  <c:v>185241.7534684836</c:v>
                </c:pt>
                <c:pt idx="5">
                  <c:v>114762.52014217246</c:v>
                </c:pt>
                <c:pt idx="6">
                  <c:v>614.04303086902439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376"/>
        <c:axId val="181958912"/>
      </c:barChart>
      <c:catAx>
        <c:axId val="181957376"/>
        <c:scaling>
          <c:orientation val="minMax"/>
        </c:scaling>
        <c:axPos val="b"/>
        <c:numFmt formatCode="General" sourceLinked="0"/>
        <c:tickLblPos val="nextTo"/>
        <c:crossAx val="181958912"/>
        <c:crosses val="autoZero"/>
        <c:auto val="1"/>
        <c:lblAlgn val="ctr"/>
        <c:lblOffset val="100"/>
      </c:catAx>
      <c:valAx>
        <c:axId val="181958912"/>
        <c:scaling>
          <c:orientation val="minMax"/>
        </c:scaling>
        <c:axPos val="l"/>
        <c:majorGridlines/>
        <c:numFmt formatCode="#,##0" sourceLinked="1"/>
        <c:tickLblPos val="nextTo"/>
        <c:crossAx val="181957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154062.04070725964</c:v>
                </c:pt>
                <c:pt idx="1">
                  <c:v>84085.042040420813</c:v>
                </c:pt>
                <c:pt idx="2">
                  <c:v>1626.7329999999999</c:v>
                </c:pt>
                <c:pt idx="3">
                  <c:v>4573.529031552891</c:v>
                </c:pt>
                <c:pt idx="4">
                  <c:v>185241.7534684836</c:v>
                </c:pt>
                <c:pt idx="5">
                  <c:v>114762.52014217246</c:v>
                </c:pt>
                <c:pt idx="6">
                  <c:v>614.04303086902439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27398.914565560444</c:v>
                </c:pt>
                <c:pt idx="1">
                  <c:v>16894.322657743156</c:v>
                </c:pt>
                <c:pt idx="2">
                  <c:v>337.3355861287526</c:v>
                </c:pt>
                <c:pt idx="3">
                  <c:v>1131.6434759881138</c:v>
                </c:pt>
                <c:pt idx="4">
                  <c:v>39391.468389924281</c:v>
                </c:pt>
                <c:pt idx="5">
                  <c:v>28541.795627591415</c:v>
                </c:pt>
                <c:pt idx="6">
                  <c:v>155.31695566148699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32800"/>
        <c:axId val="182367360"/>
      </c:barChart>
      <c:catAx>
        <c:axId val="182332800"/>
        <c:scaling>
          <c:orientation val="minMax"/>
        </c:scaling>
        <c:axPos val="b"/>
        <c:numFmt formatCode="General" sourceLinked="0"/>
        <c:tickLblPos val="nextTo"/>
        <c:crossAx val="182367360"/>
        <c:crosses val="autoZero"/>
        <c:auto val="1"/>
        <c:lblAlgn val="ctr"/>
        <c:lblOffset val="100"/>
      </c:catAx>
      <c:valAx>
        <c:axId val="182367360"/>
        <c:scaling>
          <c:orientation val="minMax"/>
        </c:scaling>
        <c:axPos val="l"/>
        <c:majorGridlines/>
        <c:numFmt formatCode="#,##0" sourceLinked="1"/>
        <c:tickLblPos val="nextTo"/>
        <c:crossAx val="1823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27398.914565560444</c:v>
                </c:pt>
                <c:pt idx="1">
                  <c:v>16894.322657743156</c:v>
                </c:pt>
                <c:pt idx="2">
                  <c:v>337.3355861287526</c:v>
                </c:pt>
                <c:pt idx="3">
                  <c:v>1131.6434759881138</c:v>
                </c:pt>
                <c:pt idx="4">
                  <c:v>39391.468389924281</c:v>
                </c:pt>
                <c:pt idx="5">
                  <c:v>28541.795627591415</c:v>
                </c:pt>
                <c:pt idx="6">
                  <c:v>155.31695566148699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12007</v>
      </c>
      <c r="B6" s="415"/>
      <c r="C6" s="416"/>
    </row>
    <row r="7" spans="1:7" s="413" customFormat="1" ht="15.75" customHeight="1">
      <c r="A7" s="417" t="str">
        <f>txtMunicipality</f>
        <v>BORNEM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0.20736997781980979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0.20736997781980979</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8983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1295.9100000000001</v>
      </c>
    </row>
    <row r="15" spans="1:6">
      <c r="A15" s="348" t="s">
        <v>183</v>
      </c>
      <c r="B15" s="334">
        <v>6</v>
      </c>
    </row>
    <row r="16" spans="1:6">
      <c r="A16" s="348" t="s">
        <v>6</v>
      </c>
      <c r="B16" s="334">
        <v>272</v>
      </c>
    </row>
    <row r="17" spans="1:6">
      <c r="A17" s="348" t="s">
        <v>7</v>
      </c>
      <c r="B17" s="334">
        <v>124</v>
      </c>
    </row>
    <row r="18" spans="1:6">
      <c r="A18" s="348" t="s">
        <v>8</v>
      </c>
      <c r="B18" s="334">
        <v>277</v>
      </c>
    </row>
    <row r="19" spans="1:6">
      <c r="A19" s="348" t="s">
        <v>9</v>
      </c>
      <c r="B19" s="334">
        <v>468</v>
      </c>
    </row>
    <row r="20" spans="1:6">
      <c r="A20" s="348" t="s">
        <v>10</v>
      </c>
      <c r="B20" s="334">
        <v>247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214</v>
      </c>
    </row>
    <row r="27" spans="1:6">
      <c r="A27" s="348" t="s">
        <v>17</v>
      </c>
      <c r="B27" s="334">
        <v>4</v>
      </c>
    </row>
    <row r="28" spans="1:6" s="356" customFormat="1">
      <c r="A28" s="355" t="s">
        <v>18</v>
      </c>
      <c r="B28" s="355">
        <v>0</v>
      </c>
    </row>
    <row r="29" spans="1:6">
      <c r="A29" s="355" t="s">
        <v>713</v>
      </c>
      <c r="B29" s="355">
        <v>52</v>
      </c>
      <c r="C29" s="356"/>
      <c r="D29" s="356"/>
      <c r="E29" s="356"/>
      <c r="F29" s="356"/>
    </row>
    <row r="30" spans="1:6">
      <c r="A30" s="341" t="s">
        <v>714</v>
      </c>
      <c r="B30" s="341">
        <v>30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3659</v>
      </c>
    </row>
    <row r="39" spans="1:6">
      <c r="A39" s="348" t="s">
        <v>29</v>
      </c>
      <c r="B39" s="348" t="s">
        <v>30</v>
      </c>
      <c r="C39" s="334">
        <v>7080</v>
      </c>
      <c r="D39" s="334">
        <v>104099398.8</v>
      </c>
      <c r="E39" s="334">
        <v>8995</v>
      </c>
      <c r="F39" s="334">
        <v>30267025.73</v>
      </c>
    </row>
    <row r="40" spans="1:6">
      <c r="A40" s="348" t="s">
        <v>29</v>
      </c>
      <c r="B40" s="348" t="s">
        <v>28</v>
      </c>
      <c r="C40" s="334">
        <v>0</v>
      </c>
      <c r="D40" s="334">
        <v>0</v>
      </c>
      <c r="E40" s="334">
        <v>0</v>
      </c>
      <c r="F40" s="334">
        <v>0</v>
      </c>
    </row>
    <row r="41" spans="1:6">
      <c r="A41" s="348" t="s">
        <v>31</v>
      </c>
      <c r="B41" s="348" t="s">
        <v>32</v>
      </c>
      <c r="C41" s="334">
        <v>80</v>
      </c>
      <c r="D41" s="334">
        <v>8842268.5370000005</v>
      </c>
      <c r="E41" s="334">
        <v>185</v>
      </c>
      <c r="F41" s="334">
        <v>26832882.32</v>
      </c>
    </row>
    <row r="42" spans="1:6">
      <c r="A42" s="348" t="s">
        <v>31</v>
      </c>
      <c r="B42" s="348" t="s">
        <v>33</v>
      </c>
      <c r="C42" s="334">
        <v>0</v>
      </c>
      <c r="D42" s="334">
        <v>0</v>
      </c>
      <c r="E42" s="334">
        <v>3</v>
      </c>
      <c r="F42" s="334">
        <v>9499.5920000000006</v>
      </c>
    </row>
    <row r="43" spans="1:6">
      <c r="A43" s="348" t="s">
        <v>31</v>
      </c>
      <c r="B43" s="348" t="s">
        <v>34</v>
      </c>
      <c r="C43" s="334">
        <v>0</v>
      </c>
      <c r="D43" s="334">
        <v>0</v>
      </c>
      <c r="E43" s="334">
        <v>0</v>
      </c>
      <c r="F43" s="334">
        <v>0</v>
      </c>
    </row>
    <row r="44" spans="1:6">
      <c r="A44" s="348" t="s">
        <v>31</v>
      </c>
      <c r="B44" s="348" t="s">
        <v>35</v>
      </c>
      <c r="C44" s="334">
        <v>10</v>
      </c>
      <c r="D44" s="334">
        <v>594725.54399999999</v>
      </c>
      <c r="E44" s="334">
        <v>12</v>
      </c>
      <c r="F44" s="334">
        <v>259843.217</v>
      </c>
    </row>
    <row r="45" spans="1:6">
      <c r="A45" s="348" t="s">
        <v>31</v>
      </c>
      <c r="B45" s="348" t="s">
        <v>36</v>
      </c>
      <c r="C45" s="334">
        <v>5</v>
      </c>
      <c r="D45" s="334">
        <v>277597.47600000002</v>
      </c>
      <c r="E45" s="334">
        <v>3</v>
      </c>
      <c r="F45" s="334">
        <v>1197227.1410000001</v>
      </c>
    </row>
    <row r="46" spans="1:6">
      <c r="A46" s="348" t="s">
        <v>31</v>
      </c>
      <c r="B46" s="348" t="s">
        <v>37</v>
      </c>
      <c r="C46" s="334">
        <v>0</v>
      </c>
      <c r="D46" s="334">
        <v>0</v>
      </c>
      <c r="E46" s="334">
        <v>0</v>
      </c>
      <c r="F46" s="334">
        <v>0</v>
      </c>
    </row>
    <row r="47" spans="1:6">
      <c r="A47" s="348" t="s">
        <v>31</v>
      </c>
      <c r="B47" s="348" t="s">
        <v>38</v>
      </c>
      <c r="C47" s="334">
        <v>3</v>
      </c>
      <c r="D47" s="334">
        <v>46196.582000000002</v>
      </c>
      <c r="E47" s="334">
        <v>4</v>
      </c>
      <c r="F47" s="334">
        <v>14314.065000000001</v>
      </c>
    </row>
    <row r="48" spans="1:6">
      <c r="A48" s="348" t="s">
        <v>31</v>
      </c>
      <c r="B48" s="348" t="s">
        <v>28</v>
      </c>
      <c r="C48" s="334">
        <v>31</v>
      </c>
      <c r="D48" s="334">
        <v>81488121.659999996</v>
      </c>
      <c r="E48" s="334">
        <v>41</v>
      </c>
      <c r="F48" s="334">
        <v>33292824.710000001</v>
      </c>
    </row>
    <row r="49" spans="1:6">
      <c r="A49" s="348" t="s">
        <v>31</v>
      </c>
      <c r="B49" s="348" t="s">
        <v>39</v>
      </c>
      <c r="C49" s="334">
        <v>0</v>
      </c>
      <c r="D49" s="334">
        <v>0</v>
      </c>
      <c r="E49" s="334">
        <v>0</v>
      </c>
      <c r="F49" s="334">
        <v>0</v>
      </c>
    </row>
    <row r="50" spans="1:6">
      <c r="A50" s="348" t="s">
        <v>31</v>
      </c>
      <c r="B50" s="348" t="s">
        <v>40</v>
      </c>
      <c r="C50" s="334">
        <v>6</v>
      </c>
      <c r="D50" s="334">
        <v>988330.41099999996</v>
      </c>
      <c r="E50" s="334">
        <v>13</v>
      </c>
      <c r="F50" s="334">
        <v>572572.81099999999</v>
      </c>
    </row>
    <row r="51" spans="1:6">
      <c r="A51" s="348" t="s">
        <v>41</v>
      </c>
      <c r="B51" s="348" t="s">
        <v>42</v>
      </c>
      <c r="C51" s="334">
        <v>0</v>
      </c>
      <c r="D51" s="334">
        <v>0</v>
      </c>
      <c r="E51" s="334">
        <v>30</v>
      </c>
      <c r="F51" s="334">
        <v>296849.98</v>
      </c>
    </row>
    <row r="52" spans="1:6">
      <c r="A52" s="348" t="s">
        <v>41</v>
      </c>
      <c r="B52" s="348" t="s">
        <v>28</v>
      </c>
      <c r="C52" s="334">
        <v>13</v>
      </c>
      <c r="D52" s="334">
        <v>1055357.307</v>
      </c>
      <c r="E52" s="334">
        <v>12</v>
      </c>
      <c r="F52" s="334">
        <v>451285.91800000001</v>
      </c>
    </row>
    <row r="53" spans="1:6">
      <c r="A53" s="348" t="s">
        <v>43</v>
      </c>
      <c r="B53" s="348" t="s">
        <v>44</v>
      </c>
      <c r="C53" s="334">
        <v>174</v>
      </c>
      <c r="D53" s="334">
        <v>5775311.8569999998</v>
      </c>
      <c r="E53" s="334">
        <v>352</v>
      </c>
      <c r="F53" s="334">
        <v>1981117.3659999999</v>
      </c>
    </row>
    <row r="54" spans="1:6">
      <c r="A54" s="348" t="s">
        <v>45</v>
      </c>
      <c r="B54" s="348" t="s">
        <v>46</v>
      </c>
      <c r="C54" s="334">
        <v>0</v>
      </c>
      <c r="D54" s="334">
        <v>0</v>
      </c>
      <c r="E54" s="334">
        <v>1</v>
      </c>
      <c r="F54" s="334">
        <v>1626733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51</v>
      </c>
      <c r="D57" s="334">
        <v>5244230.2759999996</v>
      </c>
      <c r="E57" s="334">
        <v>82</v>
      </c>
      <c r="F57" s="334">
        <v>3086939.6669999999</v>
      </c>
    </row>
    <row r="58" spans="1:6">
      <c r="A58" s="348" t="s">
        <v>48</v>
      </c>
      <c r="B58" s="348" t="s">
        <v>50</v>
      </c>
      <c r="C58" s="334">
        <v>55</v>
      </c>
      <c r="D58" s="334">
        <v>5009047.7170000002</v>
      </c>
      <c r="E58" s="334">
        <v>59</v>
      </c>
      <c r="F58" s="334">
        <v>2571199.929</v>
      </c>
    </row>
    <row r="59" spans="1:6">
      <c r="A59" s="348" t="s">
        <v>48</v>
      </c>
      <c r="B59" s="348" t="s">
        <v>51</v>
      </c>
      <c r="C59" s="334">
        <v>131</v>
      </c>
      <c r="D59" s="334">
        <v>7562586.4139999999</v>
      </c>
      <c r="E59" s="334">
        <v>224</v>
      </c>
      <c r="F59" s="334">
        <v>10005031.41</v>
      </c>
    </row>
    <row r="60" spans="1:6">
      <c r="A60" s="348" t="s">
        <v>48</v>
      </c>
      <c r="B60" s="348" t="s">
        <v>52</v>
      </c>
      <c r="C60" s="334">
        <v>62</v>
      </c>
      <c r="D60" s="334">
        <v>3018225.6009999998</v>
      </c>
      <c r="E60" s="334">
        <v>81</v>
      </c>
      <c r="F60" s="334">
        <v>2383610.7769999998</v>
      </c>
    </row>
    <row r="61" spans="1:6">
      <c r="A61" s="348" t="s">
        <v>48</v>
      </c>
      <c r="B61" s="348" t="s">
        <v>53</v>
      </c>
      <c r="C61" s="334">
        <v>254</v>
      </c>
      <c r="D61" s="334">
        <v>15215894.630000001</v>
      </c>
      <c r="E61" s="334">
        <v>554</v>
      </c>
      <c r="F61" s="334">
        <v>11603124.65</v>
      </c>
    </row>
    <row r="62" spans="1:6">
      <c r="A62" s="348" t="s">
        <v>48</v>
      </c>
      <c r="B62" s="348" t="s">
        <v>54</v>
      </c>
      <c r="C62" s="334">
        <v>14</v>
      </c>
      <c r="D62" s="334">
        <v>1711699.4350000001</v>
      </c>
      <c r="E62" s="334">
        <v>20</v>
      </c>
      <c r="F62" s="334">
        <v>360644.11700000003</v>
      </c>
    </row>
    <row r="63" spans="1:6">
      <c r="A63" s="348" t="s">
        <v>48</v>
      </c>
      <c r="B63" s="348" t="s">
        <v>28</v>
      </c>
      <c r="C63" s="334">
        <v>113</v>
      </c>
      <c r="D63" s="334">
        <v>10433054.75</v>
      </c>
      <c r="E63" s="334">
        <v>128</v>
      </c>
      <c r="F63" s="334">
        <v>3698745.02</v>
      </c>
    </row>
    <row r="64" spans="1:6">
      <c r="A64" s="348" t="s">
        <v>55</v>
      </c>
      <c r="B64" s="348" t="s">
        <v>56</v>
      </c>
      <c r="C64" s="334">
        <v>0</v>
      </c>
      <c r="D64" s="334">
        <v>0</v>
      </c>
      <c r="E64" s="334">
        <v>0</v>
      </c>
      <c r="F64" s="334">
        <v>0</v>
      </c>
    </row>
    <row r="65" spans="1:6">
      <c r="A65" s="348" t="s">
        <v>55</v>
      </c>
      <c r="B65" s="348" t="s">
        <v>28</v>
      </c>
      <c r="C65" s="334">
        <v>4</v>
      </c>
      <c r="D65" s="334">
        <v>98579.425000000003</v>
      </c>
      <c r="E65" s="334">
        <v>3</v>
      </c>
      <c r="F65" s="334">
        <v>21353.691999999999</v>
      </c>
    </row>
    <row r="66" spans="1:6">
      <c r="A66" s="348" t="s">
        <v>55</v>
      </c>
      <c r="B66" s="348" t="s">
        <v>57</v>
      </c>
      <c r="C66" s="334">
        <v>0</v>
      </c>
      <c r="D66" s="334">
        <v>0</v>
      </c>
      <c r="E66" s="334">
        <v>6</v>
      </c>
      <c r="F66" s="334">
        <v>288433.65100000001</v>
      </c>
    </row>
    <row r="67" spans="1:6">
      <c r="A67" s="355" t="s">
        <v>55</v>
      </c>
      <c r="B67" s="355" t="s">
        <v>58</v>
      </c>
      <c r="C67" s="334">
        <v>0</v>
      </c>
      <c r="D67" s="334">
        <v>0</v>
      </c>
      <c r="E67" s="334">
        <v>0</v>
      </c>
      <c r="F67" s="334">
        <v>0</v>
      </c>
    </row>
    <row r="68" spans="1:6">
      <c r="A68" s="341" t="s">
        <v>55</v>
      </c>
      <c r="B68" s="341" t="s">
        <v>59</v>
      </c>
      <c r="C68" s="334">
        <v>7</v>
      </c>
      <c r="D68" s="334">
        <v>352192.73499999999</v>
      </c>
      <c r="E68" s="334">
        <v>11</v>
      </c>
      <c r="F68" s="334">
        <v>170392.63399999999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102118154</v>
      </c>
      <c r="E73" s="476"/>
    </row>
    <row r="74" spans="1:6">
      <c r="A74" s="348" t="s">
        <v>63</v>
      </c>
      <c r="B74" s="348" t="s">
        <v>651</v>
      </c>
      <c r="C74" s="1307" t="s">
        <v>653</v>
      </c>
      <c r="D74" s="476">
        <v>11154759.5</v>
      </c>
      <c r="E74" s="476"/>
    </row>
    <row r="75" spans="1:6">
      <c r="A75" s="348" t="s">
        <v>64</v>
      </c>
      <c r="B75" s="348" t="s">
        <v>650</v>
      </c>
      <c r="C75" s="1307" t="s">
        <v>654</v>
      </c>
      <c r="D75" s="476">
        <v>23900235</v>
      </c>
      <c r="E75" s="476"/>
    </row>
    <row r="76" spans="1:6">
      <c r="A76" s="348" t="s">
        <v>64</v>
      </c>
      <c r="B76" s="348" t="s">
        <v>651</v>
      </c>
      <c r="C76" s="1307" t="s">
        <v>655</v>
      </c>
      <c r="D76" s="476">
        <v>627096.5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170589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5109.0025652957956</v>
      </c>
    </row>
    <row r="92" spans="1:6">
      <c r="A92" s="341" t="s">
        <v>68</v>
      </c>
      <c r="B92" s="342">
        <v>7864.3685521387097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4626</v>
      </c>
    </row>
    <row r="98" spans="1:6">
      <c r="A98" s="348" t="s">
        <v>71</v>
      </c>
      <c r="B98" s="334">
        <v>9</v>
      </c>
    </row>
    <row r="99" spans="1:6">
      <c r="A99" s="348" t="s">
        <v>72</v>
      </c>
      <c r="B99" s="334">
        <v>51</v>
      </c>
    </row>
    <row r="100" spans="1:6">
      <c r="A100" s="348" t="s">
        <v>73</v>
      </c>
      <c r="B100" s="334">
        <v>600</v>
      </c>
    </row>
    <row r="101" spans="1:6">
      <c r="A101" s="348" t="s">
        <v>74</v>
      </c>
      <c r="B101" s="334">
        <v>116</v>
      </c>
    </row>
    <row r="102" spans="1:6">
      <c r="A102" s="348" t="s">
        <v>75</v>
      </c>
      <c r="B102" s="334">
        <v>71</v>
      </c>
    </row>
    <row r="103" spans="1:6">
      <c r="A103" s="348" t="s">
        <v>76</v>
      </c>
      <c r="B103" s="334">
        <v>183</v>
      </c>
    </row>
    <row r="104" spans="1:6">
      <c r="A104" s="348" t="s">
        <v>77</v>
      </c>
      <c r="B104" s="334">
        <v>2061</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31</v>
      </c>
      <c r="C123" s="334">
        <v>49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170</v>
      </c>
    </row>
    <row r="130" spans="1:6">
      <c r="A130" s="348" t="s">
        <v>294</v>
      </c>
      <c r="B130" s="334">
        <v>3</v>
      </c>
    </row>
    <row r="131" spans="1:6">
      <c r="A131" s="348" t="s">
        <v>295</v>
      </c>
      <c r="B131" s="334">
        <v>3</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139738.90897154441</v>
      </c>
      <c r="C3" s="43" t="s">
        <v>169</v>
      </c>
      <c r="D3" s="43"/>
      <c r="E3" s="154"/>
      <c r="F3" s="43"/>
      <c r="G3" s="43"/>
      <c r="H3" s="43"/>
      <c r="I3" s="43"/>
      <c r="J3" s="43"/>
      <c r="K3" s="96"/>
    </row>
    <row r="4" spans="1:11">
      <c r="A4" s="383" t="s">
        <v>170</v>
      </c>
      <c r="B4" s="49">
        <f>IF(ISERROR('SEAP template'!B78),0,'SEAP template'!B78)</f>
        <v>12973.371117434504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962.47058823529426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0.20736997781980979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1374.9579831932776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5785.7142857142862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1626.7329999999999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1626.7329999999999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0.20736997781980979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337.3355861287526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30267.025730000001</v>
      </c>
      <c r="C5" s="17">
        <f>IF(ISERROR('Eigen informatie GS &amp; warmtenet'!B59),0,'Eigen informatie GS &amp; warmtenet'!B59)</f>
        <v>0</v>
      </c>
      <c r="D5" s="30">
        <f>(SUM(HH_hh_gas_kWh,HH_rest_gas_kWh)/1000)*0.902</f>
        <v>93897.657717599999</v>
      </c>
      <c r="E5" s="17">
        <f>B46*B57</f>
        <v>4826.7026592810125</v>
      </c>
      <c r="F5" s="17">
        <f>B51*B62</f>
        <v>0</v>
      </c>
      <c r="G5" s="18"/>
      <c r="H5" s="17"/>
      <c r="I5" s="17"/>
      <c r="J5" s="17">
        <f>B50*B61+C50*C61</f>
        <v>0</v>
      </c>
      <c r="K5" s="17"/>
      <c r="L5" s="17"/>
      <c r="M5" s="17"/>
      <c r="N5" s="17">
        <f>B48*B59+C48*C59</f>
        <v>18998.483261433441</v>
      </c>
      <c r="O5" s="17">
        <f>B69*B70*B71</f>
        <v>436.47080826514696</v>
      </c>
      <c r="P5" s="17">
        <f>B77*B78*B79/1000-B77*B78*B79/1000/B80</f>
        <v>526.69796538425112</v>
      </c>
    </row>
    <row r="6" spans="1:16">
      <c r="A6" s="16" t="s">
        <v>615</v>
      </c>
      <c r="B6" s="809">
        <f>kWh_PV_kleiner_dan_10kW</f>
        <v>5109.0025652957956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35376.028295295793</v>
      </c>
      <c r="C8" s="21">
        <f>C5</f>
        <v>0</v>
      </c>
      <c r="D8" s="21">
        <f>D5</f>
        <v>93897.657717599999</v>
      </c>
      <c r="E8" s="21">
        <f>E5</f>
        <v>4826.7026592810125</v>
      </c>
      <c r="F8" s="21">
        <f>F5</f>
        <v>0</v>
      </c>
      <c r="G8" s="21"/>
      <c r="H8" s="21"/>
      <c r="I8" s="21"/>
      <c r="J8" s="21">
        <f>J5</f>
        <v>0</v>
      </c>
      <c r="K8" s="21"/>
      <c r="L8" s="21">
        <f>L5</f>
        <v>0</v>
      </c>
      <c r="M8" s="21">
        <f>M5</f>
        <v>0</v>
      </c>
      <c r="N8" s="21">
        <f>N5</f>
        <v>18998.483261433441</v>
      </c>
      <c r="O8" s="21">
        <f>O5</f>
        <v>436.47080826514696</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0.20736997781980979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7335.9262029484516</v>
      </c>
      <c r="C12" s="23">
        <f ca="1">C10*C8</f>
        <v>0</v>
      </c>
      <c r="D12" s="23">
        <f>D8*D10</f>
        <v>18967.326858955203</v>
      </c>
      <c r="E12" s="23">
        <f>E10*E8</f>
        <v>1095.6615036567898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4626</v>
      </c>
      <c r="C18" s="166" t="s">
        <v>110</v>
      </c>
      <c r="D18" s="228"/>
      <c r="E18" s="15"/>
    </row>
    <row r="19" spans="1:7">
      <c r="A19" s="171" t="s">
        <v>71</v>
      </c>
      <c r="B19" s="37">
        <f>aantalw2001_ander</f>
        <v>9</v>
      </c>
      <c r="C19" s="166" t="s">
        <v>110</v>
      </c>
      <c r="D19" s="229"/>
      <c r="E19" s="15"/>
    </row>
    <row r="20" spans="1:7">
      <c r="A20" s="171" t="s">
        <v>72</v>
      </c>
      <c r="B20" s="37">
        <f>aantalw2001_propaan</f>
        <v>51</v>
      </c>
      <c r="C20" s="167">
        <f>IF(ISERROR(B20/SUM($B$20,$B$21,$B$22)*100),0,B20/SUM($B$20,$B$21,$B$22)*100)</f>
        <v>6.6492829204693615</v>
      </c>
      <c r="D20" s="229"/>
      <c r="E20" s="15"/>
    </row>
    <row r="21" spans="1:7">
      <c r="A21" s="171" t="s">
        <v>73</v>
      </c>
      <c r="B21" s="37">
        <f>aantalw2001_elektriciteit</f>
        <v>600</v>
      </c>
      <c r="C21" s="167">
        <f>IF(ISERROR(B21/SUM($B$20,$B$21,$B$22)*100),0,B21/SUM($B$20,$B$21,$B$22)*100)</f>
        <v>78.226857887874829</v>
      </c>
      <c r="D21" s="229"/>
      <c r="E21" s="15"/>
    </row>
    <row r="22" spans="1:7">
      <c r="A22" s="171" t="s">
        <v>74</v>
      </c>
      <c r="B22" s="37">
        <f>aantalw2001_hout</f>
        <v>116</v>
      </c>
      <c r="C22" s="167">
        <f>IF(ISERROR(B22/SUM($B$20,$B$21,$B$22)*100),0,B22/SUM($B$20,$B$21,$B$22)*100)</f>
        <v>15.123859191655804</v>
      </c>
      <c r="D22" s="229"/>
      <c r="E22" s="15"/>
    </row>
    <row r="23" spans="1:7">
      <c r="A23" s="171" t="s">
        <v>75</v>
      </c>
      <c r="B23" s="37">
        <f>aantalw2001_niet_gespec</f>
        <v>71</v>
      </c>
      <c r="C23" s="166" t="s">
        <v>110</v>
      </c>
      <c r="D23" s="228"/>
      <c r="E23" s="15"/>
    </row>
    <row r="24" spans="1:7">
      <c r="A24" s="171" t="s">
        <v>76</v>
      </c>
      <c r="B24" s="37">
        <f>aantalw2001_steenkool</f>
        <v>183</v>
      </c>
      <c r="C24" s="166" t="s">
        <v>110</v>
      </c>
      <c r="D24" s="229"/>
      <c r="E24" s="15"/>
    </row>
    <row r="25" spans="1:7">
      <c r="A25" s="171" t="s">
        <v>77</v>
      </c>
      <c r="B25" s="37">
        <f>aantalw2001_stookolie</f>
        <v>2061</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8983</v>
      </c>
      <c r="C28" s="36"/>
      <c r="D28" s="228"/>
    </row>
    <row r="29" spans="1:7" s="15" customFormat="1">
      <c r="A29" s="230" t="s">
        <v>838</v>
      </c>
      <c r="B29" s="37">
        <f>SUM(HH_hh_gas_aantal,HH_rest_gas_aantal)</f>
        <v>7080</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7080</v>
      </c>
      <c r="C32" s="167">
        <f>IF(ISERROR(B32/SUM($B$32,$B$34,$B$35,$B$36,$B$38,$B$39)*100),0,B32/SUM($B$32,$B$34,$B$35,$B$36,$B$38,$B$39)*100)</f>
        <v>79.256688682413525</v>
      </c>
      <c r="D32" s="233"/>
      <c r="G32" s="15"/>
    </row>
    <row r="33" spans="1:7">
      <c r="A33" s="171" t="s">
        <v>71</v>
      </c>
      <c r="B33" s="34" t="s">
        <v>110</v>
      </c>
      <c r="C33" s="167"/>
      <c r="D33" s="233"/>
      <c r="G33" s="15"/>
    </row>
    <row r="34" spans="1:7">
      <c r="A34" s="171" t="s">
        <v>72</v>
      </c>
      <c r="B34" s="33">
        <f>IF((($B$28-$B$32-$B$39-$B$77-$B$38)*C20/100)&lt;0,0,($B$28-$B$32-$B$39-$B$77-$B$38)*C20/100)</f>
        <v>123.21121251629728</v>
      </c>
      <c r="C34" s="167">
        <f>IF(ISERROR(B34/SUM($B$32,$B$34,$B$35,$B$36,$B$38,$B$39)*100),0,B34/SUM($B$32,$B$34,$B$35,$B$36,$B$38,$B$39)*100)</f>
        <v>1.379281456580066</v>
      </c>
      <c r="D34" s="233"/>
      <c r="G34" s="15"/>
    </row>
    <row r="35" spans="1:7">
      <c r="A35" s="171" t="s">
        <v>73</v>
      </c>
      <c r="B35" s="33">
        <f>IF((($B$28-$B$32-$B$39-$B$77-$B$38)*C21/100)&lt;0,0,($B$28-$B$32-$B$39-$B$77-$B$38)*C21/100)</f>
        <v>1449.5436766623204</v>
      </c>
      <c r="C35" s="167">
        <f>IF(ISERROR(B35/SUM($B$32,$B$34,$B$35,$B$36,$B$38,$B$39)*100),0,B35/SUM($B$32,$B$34,$B$35,$B$36,$B$38,$B$39)*100)</f>
        <v>16.226840665647828</v>
      </c>
      <c r="D35" s="233"/>
      <c r="G35" s="15"/>
    </row>
    <row r="36" spans="1:7">
      <c r="A36" s="171" t="s">
        <v>74</v>
      </c>
      <c r="B36" s="33">
        <f>IF((($B$28-$B$32-$B$39-$B$77-$B$38)*C22/100)&lt;0,0,($B$28-$B$32-$B$39-$B$77-$B$38)*C22/100)</f>
        <v>280.24511082138201</v>
      </c>
      <c r="C36" s="167">
        <f>IF(ISERROR(B36/SUM($B$32,$B$34,$B$35,$B$36,$B$38,$B$39)*100),0,B36/SUM($B$32,$B$34,$B$35,$B$36,$B$38,$B$39)*100)</f>
        <v>3.1371891953585807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7080</v>
      </c>
      <c r="C44" s="34" t="s">
        <v>110</v>
      </c>
      <c r="D44" s="174"/>
    </row>
    <row r="45" spans="1:7">
      <c r="A45" s="171" t="s">
        <v>71</v>
      </c>
      <c r="B45" s="33" t="str">
        <f t="shared" si="0"/>
        <v>-</v>
      </c>
      <c r="C45" s="34" t="s">
        <v>110</v>
      </c>
      <c r="D45" s="174"/>
    </row>
    <row r="46" spans="1:7">
      <c r="A46" s="171" t="s">
        <v>72</v>
      </c>
      <c r="B46" s="33">
        <f t="shared" si="0"/>
        <v>123.21121251629728</v>
      </c>
      <c r="C46" s="34" t="s">
        <v>110</v>
      </c>
      <c r="D46" s="174"/>
    </row>
    <row r="47" spans="1:7">
      <c r="A47" s="171" t="s">
        <v>73</v>
      </c>
      <c r="B47" s="33">
        <f t="shared" si="0"/>
        <v>1449.5436766623204</v>
      </c>
      <c r="C47" s="34" t="s">
        <v>110</v>
      </c>
      <c r="D47" s="174"/>
    </row>
    <row r="48" spans="1:7">
      <c r="A48" s="171" t="s">
        <v>74</v>
      </c>
      <c r="B48" s="33">
        <f t="shared" si="0"/>
        <v>280.24511082138201</v>
      </c>
      <c r="C48" s="33">
        <f>B48*10</f>
        <v>2802.4511082138201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33709.295569999995</v>
      </c>
      <c r="C5" s="17">
        <f>IF(ISERROR('Eigen informatie GS &amp; warmtenet'!B60),0,'Eigen informatie GS &amp; warmtenet'!B60)</f>
        <v>0</v>
      </c>
      <c r="D5" s="30">
        <f>SUM(D6:D12)</f>
        <v>43471.654418346006</v>
      </c>
      <c r="E5" s="17">
        <f>SUM(E6:E12)</f>
        <v>453.98670124789487</v>
      </c>
      <c r="F5" s="17">
        <f>SUM(F6:F12)</f>
        <v>3819.0132922648427</v>
      </c>
      <c r="G5" s="18"/>
      <c r="H5" s="17"/>
      <c r="I5" s="17"/>
      <c r="J5" s="17">
        <f>SUM(J6:J12)</f>
        <v>5.9492505546509131E-2</v>
      </c>
      <c r="K5" s="17"/>
      <c r="L5" s="17"/>
      <c r="M5" s="17"/>
      <c r="N5" s="17">
        <f>SUM(N6:N12)</f>
        <v>2353.6450922265385</v>
      </c>
      <c r="O5" s="17">
        <f>B38*B39*B40</f>
        <v>14.691782297523464</v>
      </c>
      <c r="P5" s="17">
        <f>B46*B47*B48/1000-B46*B47*B48/1000/B49</f>
        <v>262.69569153247511</v>
      </c>
      <c r="R5" s="32"/>
    </row>
    <row r="6" spans="1:18">
      <c r="A6" s="32" t="s">
        <v>53</v>
      </c>
      <c r="B6" s="37">
        <f>B26</f>
        <v>11603.12465</v>
      </c>
      <c r="C6" s="33"/>
      <c r="D6" s="37">
        <f>IF(ISERROR(TER_kantoor_gas_kWh/1000),0,TER_kantoor_gas_kWh/1000)*0.902</f>
        <v>13724.736956260002</v>
      </c>
      <c r="E6" s="33">
        <f>$C$26*'E Balans VL '!I12/100/3.6*1000000</f>
        <v>93.366623803696626</v>
      </c>
      <c r="F6" s="33">
        <f>$C$26*('E Balans VL '!L12+'E Balans VL '!N12)/100/3.6*1000000</f>
        <v>1418.6040494259562</v>
      </c>
      <c r="G6" s="34"/>
      <c r="H6" s="33"/>
      <c r="I6" s="33"/>
      <c r="J6" s="33">
        <f>$C$26*('E Balans VL '!D12+'E Balans VL '!E12)/100/3.6*1000000</f>
        <v>0</v>
      </c>
      <c r="K6" s="33"/>
      <c r="L6" s="33"/>
      <c r="M6" s="33"/>
      <c r="N6" s="33">
        <f>$C$26*'E Balans VL '!Y12/100/3.6*1000000</f>
        <v>6.2361081073303186</v>
      </c>
      <c r="O6" s="33"/>
      <c r="P6" s="33"/>
      <c r="R6" s="32"/>
    </row>
    <row r="7" spans="1:18">
      <c r="A7" s="32" t="s">
        <v>52</v>
      </c>
      <c r="B7" s="37">
        <f t="shared" ref="B7:B12" si="0">B27</f>
        <v>2383.6107769999999</v>
      </c>
      <c r="C7" s="33"/>
      <c r="D7" s="37">
        <f>IF(ISERROR(TER_horeca_gas_kWh/1000),0,TER_horeca_gas_kWh/1000)*0.902</f>
        <v>2722.4394921019998</v>
      </c>
      <c r="E7" s="33">
        <f>$C$27*'E Balans VL '!I9/100/3.6*1000000</f>
        <v>25.594126620203351</v>
      </c>
      <c r="F7" s="33">
        <f>$C$27*('E Balans VL '!L9+'E Balans VL '!N9)/100/3.6*1000000</f>
        <v>286.69057702783914</v>
      </c>
      <c r="G7" s="34"/>
      <c r="H7" s="33"/>
      <c r="I7" s="33"/>
      <c r="J7" s="33">
        <f>$C$27*('E Balans VL '!D9+'E Balans VL '!E9)/100/3.6*1000000</f>
        <v>0</v>
      </c>
      <c r="K7" s="33"/>
      <c r="L7" s="33"/>
      <c r="M7" s="33"/>
      <c r="N7" s="33">
        <f>$C$27*'E Balans VL '!Y9/100/3.6*1000000</f>
        <v>0.35735156565400844</v>
      </c>
      <c r="O7" s="33"/>
      <c r="P7" s="33"/>
      <c r="R7" s="32"/>
    </row>
    <row r="8" spans="1:18">
      <c r="A8" s="6" t="s">
        <v>51</v>
      </c>
      <c r="B8" s="37">
        <f t="shared" si="0"/>
        <v>10005.03141</v>
      </c>
      <c r="C8" s="33"/>
      <c r="D8" s="37">
        <f>IF(ISERROR(TER_handel_gas_kWh/1000),0,TER_handel_gas_kWh/1000)*0.902</f>
        <v>6821.452945428</v>
      </c>
      <c r="E8" s="33">
        <f>$C$28*'E Balans VL '!I13/100/3.6*1000000</f>
        <v>268.50441293787463</v>
      </c>
      <c r="F8" s="33">
        <f>$C$28*('E Balans VL '!L13+'E Balans VL '!N13)/100/3.6*1000000</f>
        <v>954.7883595331208</v>
      </c>
      <c r="G8" s="34"/>
      <c r="H8" s="33"/>
      <c r="I8" s="33"/>
      <c r="J8" s="33">
        <f>$C$28*('E Balans VL '!D13+'E Balans VL '!E13)/100/3.6*1000000</f>
        <v>0</v>
      </c>
      <c r="K8" s="33"/>
      <c r="L8" s="33"/>
      <c r="M8" s="33"/>
      <c r="N8" s="33">
        <f>$C$28*'E Balans VL '!Y13/100/3.6*1000000</f>
        <v>3.9661082119878777</v>
      </c>
      <c r="O8" s="33"/>
      <c r="P8" s="33"/>
      <c r="R8" s="32"/>
    </row>
    <row r="9" spans="1:18">
      <c r="A9" s="32" t="s">
        <v>50</v>
      </c>
      <c r="B9" s="37">
        <f t="shared" si="0"/>
        <v>2571.1999289999999</v>
      </c>
      <c r="C9" s="33"/>
      <c r="D9" s="37">
        <f>IF(ISERROR(TER_gezond_gas_kWh/1000),0,TER_gezond_gas_kWh/1000)*0.902</f>
        <v>4518.1610407340004</v>
      </c>
      <c r="E9" s="33">
        <f>$C$29*'E Balans VL '!I10/100/3.6*1000000</f>
        <v>4.8192658859981119</v>
      </c>
      <c r="F9" s="33">
        <f>$C$29*('E Balans VL '!L10+'E Balans VL '!N10)/100/3.6*1000000</f>
        <v>211.37609455545115</v>
      </c>
      <c r="G9" s="34"/>
      <c r="H9" s="33"/>
      <c r="I9" s="33"/>
      <c r="J9" s="33">
        <f>$C$29*('E Balans VL '!D10+'E Balans VL '!E10)/100/3.6*1000000</f>
        <v>0</v>
      </c>
      <c r="K9" s="33"/>
      <c r="L9" s="33"/>
      <c r="M9" s="33"/>
      <c r="N9" s="33">
        <f>$C$29*'E Balans VL '!Y10/100/3.6*1000000</f>
        <v>20.005853838414758</v>
      </c>
      <c r="O9" s="33"/>
      <c r="P9" s="33"/>
      <c r="R9" s="32"/>
    </row>
    <row r="10" spans="1:18">
      <c r="A10" s="32" t="s">
        <v>49</v>
      </c>
      <c r="B10" s="37">
        <f t="shared" si="0"/>
        <v>3086.9396670000001</v>
      </c>
      <c r="C10" s="33"/>
      <c r="D10" s="37">
        <f>IF(ISERROR(TER_ander_gas_kWh/1000),0,TER_ander_gas_kWh/1000)*0.902</f>
        <v>4730.2957089519996</v>
      </c>
      <c r="E10" s="33">
        <f>$C$30*'E Balans VL '!I14/100/3.6*1000000</f>
        <v>4.7585487761568377</v>
      </c>
      <c r="F10" s="33">
        <f>$C$30*('E Balans VL '!L14+'E Balans VL '!N14)/100/3.6*1000000</f>
        <v>479.24823549829779</v>
      </c>
      <c r="G10" s="34"/>
      <c r="H10" s="33"/>
      <c r="I10" s="33"/>
      <c r="J10" s="33">
        <f>$C$30*('E Balans VL '!D14+'E Balans VL '!E14)/100/3.6*1000000</f>
        <v>5.2404056410453405E-2</v>
      </c>
      <c r="K10" s="33"/>
      <c r="L10" s="33"/>
      <c r="M10" s="33"/>
      <c r="N10" s="33">
        <f>$C$30*'E Balans VL '!Y14/100/3.6*1000000</f>
        <v>2042.2203480135208</v>
      </c>
      <c r="O10" s="33"/>
      <c r="P10" s="33"/>
      <c r="R10" s="32"/>
    </row>
    <row r="11" spans="1:18">
      <c r="A11" s="32" t="s">
        <v>54</v>
      </c>
      <c r="B11" s="37">
        <f t="shared" si="0"/>
        <v>360.64411700000005</v>
      </c>
      <c r="C11" s="33"/>
      <c r="D11" s="37">
        <f>IF(ISERROR(TER_onderwijs_gas_kWh/1000),0,TER_onderwijs_gas_kWh/1000)*0.902</f>
        <v>1543.95289037</v>
      </c>
      <c r="E11" s="33">
        <f>$C$31*'E Balans VL '!I11/100/3.6*1000000</f>
        <v>9.1988882031714674</v>
      </c>
      <c r="F11" s="33">
        <f>$C$31*('E Balans VL '!L11+'E Balans VL '!N11)/100/3.6*1000000</f>
        <v>43.370849580946746</v>
      </c>
      <c r="G11" s="34"/>
      <c r="H11" s="33"/>
      <c r="I11" s="33"/>
      <c r="J11" s="33">
        <f>$C$31*('E Balans VL '!D11+'E Balans VL '!E11)/100/3.6*1000000</f>
        <v>0</v>
      </c>
      <c r="K11" s="33"/>
      <c r="L11" s="33"/>
      <c r="M11" s="33"/>
      <c r="N11" s="33">
        <f>$C$31*'E Balans VL '!Y11/100/3.6*1000000</f>
        <v>0.80206371641572038</v>
      </c>
      <c r="O11" s="33"/>
      <c r="P11" s="33"/>
      <c r="R11" s="32"/>
    </row>
    <row r="12" spans="1:18">
      <c r="A12" s="32" t="s">
        <v>259</v>
      </c>
      <c r="B12" s="37">
        <f t="shared" si="0"/>
        <v>3698.7450199999998</v>
      </c>
      <c r="C12" s="33"/>
      <c r="D12" s="37">
        <f>IF(ISERROR(TER_rest_gas_kWh/1000),0,TER_rest_gas_kWh/1000)*0.902</f>
        <v>9410.615384499999</v>
      </c>
      <c r="E12" s="33">
        <f>$C$32*'E Balans VL '!I8/100/3.6*1000000</f>
        <v>47.744835020793843</v>
      </c>
      <c r="F12" s="33">
        <f>$C$32*('E Balans VL '!L8+'E Balans VL '!N8)/100/3.6*1000000</f>
        <v>424.93512664323066</v>
      </c>
      <c r="G12" s="34"/>
      <c r="H12" s="33"/>
      <c r="I12" s="33"/>
      <c r="J12" s="33">
        <f>$C$32*('E Balans VL '!D8+'E Balans VL '!E8)/100/3.6*1000000</f>
        <v>7.0884491360557259E-3</v>
      </c>
      <c r="K12" s="33"/>
      <c r="L12" s="33"/>
      <c r="M12" s="33"/>
      <c r="N12" s="33">
        <f>$C$32*'E Balans VL '!Y8/100/3.6*1000000</f>
        <v>280.05725877321481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33709.295569999995</v>
      </c>
      <c r="C16" s="21">
        <f t="shared" ca="1" si="1"/>
        <v>0</v>
      </c>
      <c r="D16" s="21">
        <f t="shared" ca="1" si="1"/>
        <v>43471.654418346006</v>
      </c>
      <c r="E16" s="21">
        <f t="shared" si="1"/>
        <v>453.98670124789487</v>
      </c>
      <c r="F16" s="21">
        <f t="shared" ca="1" si="1"/>
        <v>3819.0132922648427</v>
      </c>
      <c r="G16" s="21">
        <f t="shared" si="1"/>
        <v>0</v>
      </c>
      <c r="H16" s="21">
        <f t="shared" si="1"/>
        <v>0</v>
      </c>
      <c r="I16" s="21">
        <f t="shared" si="1"/>
        <v>0</v>
      </c>
      <c r="J16" s="21">
        <f t="shared" si="1"/>
        <v>5.9492505546509131E-2</v>
      </c>
      <c r="K16" s="21">
        <f t="shared" si="1"/>
        <v>0</v>
      </c>
      <c r="L16" s="21">
        <f t="shared" ca="1" si="1"/>
        <v>0</v>
      </c>
      <c r="M16" s="21">
        <f t="shared" si="1"/>
        <v>0</v>
      </c>
      <c r="N16" s="21">
        <f t="shared" ca="1" si="1"/>
        <v>2353.6450922265385</v>
      </c>
      <c r="O16" s="21">
        <f>O5</f>
        <v>14.691782297523464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0.20736997781980979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6990.2958746723116</v>
      </c>
      <c r="C20" s="23">
        <f t="shared" ref="C20:P20" ca="1" si="2">C16*C18</f>
        <v>0</v>
      </c>
      <c r="D20" s="23">
        <f t="shared" ca="1" si="2"/>
        <v>8781.2741925058945</v>
      </c>
      <c r="E20" s="23">
        <f t="shared" si="2"/>
        <v>103.05498118327213</v>
      </c>
      <c r="F20" s="23">
        <f t="shared" ca="1" si="2"/>
        <v>1019.676549034713</v>
      </c>
      <c r="G20" s="23">
        <f t="shared" si="2"/>
        <v>0</v>
      </c>
      <c r="H20" s="23">
        <f t="shared" si="2"/>
        <v>0</v>
      </c>
      <c r="I20" s="23">
        <f t="shared" si="2"/>
        <v>0</v>
      </c>
      <c r="J20" s="23">
        <f t="shared" si="2"/>
        <v>2.1060346963464233E-2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11603.12465</v>
      </c>
      <c r="C26" s="39">
        <f>IF(ISERROR(B26*3.6/1000000/'E Balans VL '!Z12*100),0,B26*3.6/1000000/'E Balans VL '!Z12*100)</f>
        <v>0.24614967380972813</v>
      </c>
      <c r="D26" s="237" t="s">
        <v>716</v>
      </c>
      <c r="F26" s="6"/>
    </row>
    <row r="27" spans="1:18">
      <c r="A27" s="231" t="s">
        <v>52</v>
      </c>
      <c r="B27" s="33">
        <f>IF(ISERROR(TER_horeca_ele_kWh/1000),0,TER_horeca_ele_kWh/1000)</f>
        <v>2383.6107769999999</v>
      </c>
      <c r="C27" s="39">
        <f>IF(ISERROR(B27*3.6/1000000/'E Balans VL '!Z9*100),0,B27*3.6/1000000/'E Balans VL '!Z9*100)</f>
        <v>0.17950700673979877</v>
      </c>
      <c r="D27" s="237" t="s">
        <v>716</v>
      </c>
      <c r="F27" s="6"/>
    </row>
    <row r="28" spans="1:18">
      <c r="A28" s="171" t="s">
        <v>51</v>
      </c>
      <c r="B28" s="33">
        <f>IF(ISERROR(TER_handel_ele_kWh/1000),0,TER_handel_ele_kWh/1000)</f>
        <v>10005.03141</v>
      </c>
      <c r="C28" s="39">
        <f>IF(ISERROR(B28*3.6/1000000/'E Balans VL '!Z13*100),0,B28*3.6/1000000/'E Balans VL '!Z13*100)</f>
        <v>0.29041061124009526</v>
      </c>
      <c r="D28" s="237" t="s">
        <v>716</v>
      </c>
      <c r="F28" s="6"/>
    </row>
    <row r="29" spans="1:18">
      <c r="A29" s="231" t="s">
        <v>50</v>
      </c>
      <c r="B29" s="33">
        <f>IF(ISERROR(TER_gezond_ele_kWh/1000),0,TER_gezond_ele_kWh/1000)</f>
        <v>2571.1999289999999</v>
      </c>
      <c r="C29" s="39">
        <f>IF(ISERROR(B29*3.6/1000000/'E Balans VL '!Z10*100),0,B29*3.6/1000000/'E Balans VL '!Z10*100)</f>
        <v>0.25930857912045219</v>
      </c>
      <c r="D29" s="237" t="s">
        <v>716</v>
      </c>
      <c r="F29" s="6"/>
    </row>
    <row r="30" spans="1:18">
      <c r="A30" s="231" t="s">
        <v>49</v>
      </c>
      <c r="B30" s="33">
        <f>IF(ISERROR(TER_ander_ele_kWh/1000),0,TER_ander_ele_kWh/1000)</f>
        <v>3086.9396670000001</v>
      </c>
      <c r="C30" s="39">
        <f>IF(ISERROR(B30*3.6/1000000/'E Balans VL '!Z14*100),0,B30*3.6/1000000/'E Balans VL '!Z14*100)</f>
        <v>0.22399958641964665</v>
      </c>
      <c r="D30" s="237" t="s">
        <v>716</v>
      </c>
      <c r="F30" s="6"/>
    </row>
    <row r="31" spans="1:18">
      <c r="A31" s="231" t="s">
        <v>54</v>
      </c>
      <c r="B31" s="33">
        <f>IF(ISERROR(TER_onderwijs_ele_kWh/1000),0,TER_onderwijs_ele_kWh/1000)</f>
        <v>360.64411700000005</v>
      </c>
      <c r="C31" s="39">
        <f>IF(ISERROR(B31*3.6/1000000/'E Balans VL '!Z11*100),0,B31*3.6/1000000/'E Balans VL '!Z11*100)</f>
        <v>0.10279825945728291</v>
      </c>
      <c r="D31" s="237" t="s">
        <v>716</v>
      </c>
    </row>
    <row r="32" spans="1:18">
      <c r="A32" s="231" t="s">
        <v>259</v>
      </c>
      <c r="B32" s="33">
        <f>IF(ISERROR(TER_rest_ele_kWh/1000),0,TER_rest_ele_kWh/1000)</f>
        <v>3698.7450199999998</v>
      </c>
      <c r="C32" s="39">
        <f>IF(ISERROR(B32*3.6/1000000/'E Balans VL '!Z8*100),0,B32*3.6/1000000/'E Balans VL '!Z8*100)</f>
        <v>3.0299365804751951E-2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62179.163855999999</v>
      </c>
      <c r="C5" s="17">
        <f>IF(ISERROR('Eigen informatie GS &amp; warmtenet'!B61),0,'Eigen informatie GS &amp; warmtenet'!B61)</f>
        <v>0</v>
      </c>
      <c r="D5" s="30">
        <f>SUM(D6:D15)</f>
        <v>83197.990669419989</v>
      </c>
      <c r="E5" s="17">
        <f>SUM(E6:E15)</f>
        <v>9064.8411046236833</v>
      </c>
      <c r="F5" s="17">
        <f>SUM(F6:F15)</f>
        <v>28682.195717458249</v>
      </c>
      <c r="G5" s="18"/>
      <c r="H5" s="17"/>
      <c r="I5" s="17"/>
      <c r="J5" s="17">
        <f>SUM(J6:J15)</f>
        <v>277.23004458344241</v>
      </c>
      <c r="K5" s="17"/>
      <c r="L5" s="17"/>
      <c r="M5" s="17"/>
      <c r="N5" s="17">
        <f>SUM(N6:N15)</f>
        <v>3576.0463621125509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259.84321699999998</v>
      </c>
      <c r="C8" s="33"/>
      <c r="D8" s="37">
        <f>IF( ISERROR(IND_metaal_Gas_kWH/1000),0,IND_metaal_Gas_kWH/1000)*0.902</f>
        <v>536.44244068800003</v>
      </c>
      <c r="E8" s="33">
        <f>C30*'E Balans VL '!I18/100/3.6*1000000</f>
        <v>1.8745864356406201</v>
      </c>
      <c r="F8" s="33">
        <f>C30*'E Balans VL '!L18/100/3.6*1000000+C30*'E Balans VL '!N18/100/3.6*1000000</f>
        <v>24.576377154901227</v>
      </c>
      <c r="G8" s="34"/>
      <c r="H8" s="33"/>
      <c r="I8" s="33"/>
      <c r="J8" s="40">
        <f>C30*'E Balans VL '!D18/100/3.6*1000000+C30*'E Balans VL '!E18/100/3.6*1000000</f>
        <v>0.26135181765901339</v>
      </c>
      <c r="K8" s="33"/>
      <c r="L8" s="33"/>
      <c r="M8" s="33"/>
      <c r="N8" s="33">
        <f>C30*'E Balans VL '!Y18/100/3.6*1000000</f>
        <v>3.2851057401599895</v>
      </c>
      <c r="O8" s="33"/>
      <c r="P8" s="33"/>
      <c r="R8" s="32"/>
    </row>
    <row r="9" spans="1:18">
      <c r="A9" s="6" t="s">
        <v>32</v>
      </c>
      <c r="B9" s="37">
        <f t="shared" si="0"/>
        <v>26832.882320000001</v>
      </c>
      <c r="C9" s="33"/>
      <c r="D9" s="37">
        <f>IF( ISERROR(IND_andere_gas_kWh/1000),0,IND_andere_gas_kWh/1000)*0.902</f>
        <v>7975.7262203740001</v>
      </c>
      <c r="E9" s="33">
        <f>C31*'E Balans VL '!I19/100/3.6*1000000</f>
        <v>7435.7504914599567</v>
      </c>
      <c r="F9" s="33">
        <f>C31*'E Balans VL '!L19/100/3.6*1000000+C31*'E Balans VL '!N19/100/3.6*1000000</f>
        <v>22239.150853121595</v>
      </c>
      <c r="G9" s="34"/>
      <c r="H9" s="33"/>
      <c r="I9" s="33"/>
      <c r="J9" s="40">
        <f>C31*'E Balans VL '!D19/100/3.6*1000000+C31*'E Balans VL '!E19/100/3.6*1000000</f>
        <v>0</v>
      </c>
      <c r="K9" s="33"/>
      <c r="L9" s="33"/>
      <c r="M9" s="33"/>
      <c r="N9" s="33">
        <f>C31*'E Balans VL '!Y19/100/3.6*1000000</f>
        <v>1947.7390547506825</v>
      </c>
      <c r="O9" s="33"/>
      <c r="P9" s="33"/>
      <c r="R9" s="32"/>
    </row>
    <row r="10" spans="1:18">
      <c r="A10" s="6" t="s">
        <v>40</v>
      </c>
      <c r="B10" s="37">
        <f t="shared" si="0"/>
        <v>572.572811</v>
      </c>
      <c r="C10" s="33"/>
      <c r="D10" s="37">
        <f>IF( ISERROR(IND_voed_gas_kWh/1000),0,IND_voed_gas_kWh/1000)*0.902</f>
        <v>891.47403072199995</v>
      </c>
      <c r="E10" s="33">
        <f>C32*'E Balans VL '!I20/100/3.6*1000000</f>
        <v>1.0136478183153168</v>
      </c>
      <c r="F10" s="33">
        <f>C32*'E Balans VL '!L20/100/3.6*1000000+C32*'E Balans VL '!N20/100/3.6*1000000</f>
        <v>30.924006461303382</v>
      </c>
      <c r="G10" s="34"/>
      <c r="H10" s="33"/>
      <c r="I10" s="33"/>
      <c r="J10" s="40">
        <f>C32*'E Balans VL '!D20/100/3.6*1000000+C32*'E Balans VL '!E20/100/3.6*1000000</f>
        <v>0</v>
      </c>
      <c r="K10" s="33"/>
      <c r="L10" s="33"/>
      <c r="M10" s="33"/>
      <c r="N10" s="33">
        <f>C32*'E Balans VL '!Y20/100/3.6*1000000</f>
        <v>33.27085311214649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1197.2271410000001</v>
      </c>
      <c r="C12" s="33"/>
      <c r="D12" s="37">
        <f>IF( ISERROR(IND_min_gas_kWh/1000),0,IND_min_gas_kWh/1000)*0.902</f>
        <v>250.39292335200003</v>
      </c>
      <c r="E12" s="33">
        <f>C34*'E Balans VL '!I22/100/3.6*1000000</f>
        <v>52.721612739739761</v>
      </c>
      <c r="F12" s="33">
        <f>C34*'E Balans VL '!L22/100/3.6*1000000+C34*'E Balans VL '!N22/100/3.6*1000000</f>
        <v>468.16416281903543</v>
      </c>
      <c r="G12" s="34"/>
      <c r="H12" s="33"/>
      <c r="I12" s="33"/>
      <c r="J12" s="40">
        <f>C34*'E Balans VL '!D22/100/3.6*1000000+C34*'E Balans VL '!E22/100/3.6*1000000</f>
        <v>0.36352070462456992</v>
      </c>
      <c r="K12" s="33"/>
      <c r="L12" s="33"/>
      <c r="M12" s="33"/>
      <c r="N12" s="33">
        <f>C34*'E Balans VL '!Y22/100/3.6*1000000</f>
        <v>296.15771261912414</v>
      </c>
      <c r="O12" s="33"/>
      <c r="P12" s="33"/>
      <c r="R12" s="32"/>
    </row>
    <row r="13" spans="1:18">
      <c r="A13" s="6" t="s">
        <v>38</v>
      </c>
      <c r="B13" s="37">
        <f t="shared" si="0"/>
        <v>14.314065000000001</v>
      </c>
      <c r="C13" s="33"/>
      <c r="D13" s="37">
        <f>IF( ISERROR(IND_papier_gas_kWh/1000),0,IND_papier_gas_kWh/1000)*0.902</f>
        <v>41.669316964000004</v>
      </c>
      <c r="E13" s="33">
        <f>C35*'E Balans VL '!I23/100/3.6*1000000</f>
        <v>2.106090478116018E-2</v>
      </c>
      <c r="F13" s="33">
        <f>C35*'E Balans VL '!L23/100/3.6*1000000+C35*'E Balans VL '!N23/100/3.6*1000000</f>
        <v>0.1532650816103148</v>
      </c>
      <c r="G13" s="34"/>
      <c r="H13" s="33"/>
      <c r="I13" s="33"/>
      <c r="J13" s="40">
        <f>C35*'E Balans VL '!D23/100/3.6*1000000+C35*'E Balans VL '!E23/100/3.6*1000000</f>
        <v>1.5660389800761065</v>
      </c>
      <c r="K13" s="33"/>
      <c r="L13" s="33"/>
      <c r="M13" s="33"/>
      <c r="N13" s="33">
        <f>C35*'E Balans VL '!Y23/100/3.6*1000000</f>
        <v>-0.12967316364030984</v>
      </c>
      <c r="O13" s="33"/>
      <c r="P13" s="33"/>
      <c r="R13" s="32"/>
    </row>
    <row r="14" spans="1:18">
      <c r="A14" s="6" t="s">
        <v>33</v>
      </c>
      <c r="B14" s="37">
        <f t="shared" si="0"/>
        <v>9.4995919999999998</v>
      </c>
      <c r="C14" s="33"/>
      <c r="D14" s="37">
        <f>IF( ISERROR(IND_chemie_gas_kWh/1000),0,IND_chemie_gas_kWh/1000)*0.902</f>
        <v>0</v>
      </c>
      <c r="E14" s="33">
        <f>C36*'E Balans VL '!I24/100/3.6*1000000</f>
        <v>2.1486163705196234E-2</v>
      </c>
      <c r="F14" s="33">
        <f>C36*'E Balans VL '!L24/100/3.6*1000000+C36*'E Balans VL '!N24/100/3.6*1000000</f>
        <v>0.1121614092200456</v>
      </c>
      <c r="G14" s="34"/>
      <c r="H14" s="33"/>
      <c r="I14" s="33"/>
      <c r="J14" s="40">
        <f>C36*'E Balans VL '!D24/100/3.6*1000000+C36*'E Balans VL '!E24/100/3.6*1000000</f>
        <v>0</v>
      </c>
      <c r="K14" s="33"/>
      <c r="L14" s="33"/>
      <c r="M14" s="33"/>
      <c r="N14" s="33">
        <f>C36*'E Balans VL '!Y24/100/3.6*1000000</f>
        <v>5.217983698878834E-3</v>
      </c>
      <c r="O14" s="33"/>
      <c r="P14" s="33"/>
      <c r="R14" s="32"/>
    </row>
    <row r="15" spans="1:18">
      <c r="A15" s="6" t="s">
        <v>269</v>
      </c>
      <c r="B15" s="37">
        <f t="shared" si="0"/>
        <v>33292.824710000001</v>
      </c>
      <c r="C15" s="33"/>
      <c r="D15" s="37">
        <f>IF( ISERROR(IND_rest_gas_kWh/1000),0,IND_rest_gas_kWh/1000)*0.902</f>
        <v>73502.285737319995</v>
      </c>
      <c r="E15" s="33">
        <f>C37*'E Balans VL '!I15/100/3.6*1000000</f>
        <v>1573.4382191015452</v>
      </c>
      <c r="F15" s="33">
        <f>C37*'E Balans VL '!L15/100/3.6*1000000+C37*'E Balans VL '!N15/100/3.6*1000000</f>
        <v>5919.1148914105815</v>
      </c>
      <c r="G15" s="34"/>
      <c r="H15" s="33"/>
      <c r="I15" s="33"/>
      <c r="J15" s="40">
        <f>C37*'E Balans VL '!D15/100/3.6*1000000+C37*'E Balans VL '!E15/100/3.6*1000000</f>
        <v>275.0391330810827</v>
      </c>
      <c r="K15" s="33"/>
      <c r="L15" s="33"/>
      <c r="M15" s="33"/>
      <c r="N15" s="33">
        <f>C37*'E Balans VL '!Y15/100/3.6*1000000</f>
        <v>1295.7180910703792</v>
      </c>
      <c r="O15" s="33"/>
      <c r="P15" s="33"/>
      <c r="R15" s="32"/>
    </row>
    <row r="16" spans="1:18">
      <c r="A16" s="16" t="s">
        <v>482</v>
      </c>
      <c r="B16" s="247">
        <f>'lokale energieproductie'!N90+'lokale energieproductie'!N59</f>
        <v>4050</v>
      </c>
      <c r="C16" s="247">
        <f>'lokale energieproductie'!O90+'lokale energieproductie'!O59</f>
        <v>5785.7142857142862</v>
      </c>
      <c r="D16" s="310">
        <f>('lokale energieproductie'!P59+'lokale energieproductie'!P90)*(-1)</f>
        <v>-11571.428571428572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66229.163855999999</v>
      </c>
      <c r="C18" s="21">
        <f>C5+C16</f>
        <v>5785.7142857142862</v>
      </c>
      <c r="D18" s="21">
        <f>MAX((D5+D16),0)</f>
        <v>71626.562097991409</v>
      </c>
      <c r="E18" s="21">
        <f>MAX((E5+E16),0)</f>
        <v>9064.8411046236833</v>
      </c>
      <c r="F18" s="21">
        <f>MAX((F5+F16),0)</f>
        <v>28682.195717458249</v>
      </c>
      <c r="G18" s="21"/>
      <c r="H18" s="21"/>
      <c r="I18" s="21"/>
      <c r="J18" s="21">
        <f>MAX((J5+J16),0)</f>
        <v>277.23004458344241</v>
      </c>
      <c r="K18" s="21"/>
      <c r="L18" s="21">
        <f>MAX((L5+L16),0)</f>
        <v>0</v>
      </c>
      <c r="M18" s="21"/>
      <c r="N18" s="21">
        <f>MAX((N5+N16),0)</f>
        <v>3576.0463621125509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0.20736997781980979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13733.940239843269</v>
      </c>
      <c r="C22" s="23">
        <f ca="1">C18*C20</f>
        <v>1374.9579831932776</v>
      </c>
      <c r="D22" s="23">
        <f>D18*D20</f>
        <v>14468.565543794266</v>
      </c>
      <c r="E22" s="23">
        <f>E18*E20</f>
        <v>2057.718930749576</v>
      </c>
      <c r="F22" s="23">
        <f>F18*F20</f>
        <v>7658.1462565613529</v>
      </c>
      <c r="G22" s="23"/>
      <c r="H22" s="23"/>
      <c r="I22" s="23"/>
      <c r="J22" s="23">
        <f>J18*J20</f>
        <v>98.139435782538612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259.84321699999998</v>
      </c>
      <c r="C30" s="39">
        <f>IF(ISERROR(B30*3.6/1000000/'E Balans VL '!Z18*100),0,B30*3.6/1000000/'E Balans VL '!Z18*100)</f>
        <v>1.5000343471652361E-2</v>
      </c>
      <c r="D30" s="237" t="s">
        <v>716</v>
      </c>
    </row>
    <row r="31" spans="1:18">
      <c r="A31" s="6" t="s">
        <v>32</v>
      </c>
      <c r="B31" s="37">
        <f>IF( ISERROR(IND_ander_ele_kWh/1000),0,IND_ander_ele_kWh/1000)</f>
        <v>26832.882320000001</v>
      </c>
      <c r="C31" s="39">
        <f>IF(ISERROR(B31*3.6/1000000/'E Balans VL '!Z19*100),0,B31*3.6/1000000/'E Balans VL '!Z19*100)</f>
        <v>1.349607005275733</v>
      </c>
      <c r="D31" s="237" t="s">
        <v>716</v>
      </c>
    </row>
    <row r="32" spans="1:18">
      <c r="A32" s="171" t="s">
        <v>40</v>
      </c>
      <c r="B32" s="37">
        <f>IF( ISERROR(IND_voed_ele_kWh/1000),0,IND_voed_ele_kWh/1000)</f>
        <v>572.572811</v>
      </c>
      <c r="C32" s="39">
        <f>IF(ISERROR(B32*3.6/1000000/'E Balans VL '!Z20*100),0,B32*3.6/1000000/'E Balans VL '!Z20*100)</f>
        <v>1.9070074685698653E-2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1197.2271410000001</v>
      </c>
      <c r="C34" s="39">
        <f>IF(ISERROR(B34*3.6/1000000/'E Balans VL '!Z22*100),0,B34*3.6/1000000/'E Balans VL '!Z22*100)</f>
        <v>0.22332329976934856</v>
      </c>
      <c r="D34" s="237" t="s">
        <v>716</v>
      </c>
    </row>
    <row r="35" spans="1:5">
      <c r="A35" s="171" t="s">
        <v>38</v>
      </c>
      <c r="B35" s="37">
        <f>IF( ISERROR(IND_papier_ele_kWh/1000),0,IND_papier_ele_kWh/1000)</f>
        <v>14.314065000000001</v>
      </c>
      <c r="C35" s="39">
        <f>IF(ISERROR(B35*3.6/1000000/'E Balans VL '!Z22*100),0,B35*3.6/1000000/'E Balans VL '!Z22*100)</f>
        <v>2.6700565994877828E-3</v>
      </c>
      <c r="D35" s="237" t="s">
        <v>716</v>
      </c>
    </row>
    <row r="36" spans="1:5">
      <c r="A36" s="171" t="s">
        <v>33</v>
      </c>
      <c r="B36" s="37">
        <f>IF( ISERROR(IND_chemie_ele_kWh/1000),0,IND_chemie_ele_kWh/1000)</f>
        <v>9.4995919999999998</v>
      </c>
      <c r="C36" s="39">
        <f>IF(ISERROR(B36*3.6/1000000/'E Balans VL '!Z24*100),0,B36*3.6/1000000/'E Balans VL '!Z24*100)</f>
        <v>2.5056344292335325E-4</v>
      </c>
      <c r="D36" s="237" t="s">
        <v>716</v>
      </c>
    </row>
    <row r="37" spans="1:5">
      <c r="A37" s="171" t="s">
        <v>269</v>
      </c>
      <c r="B37" s="37">
        <f>IF( ISERROR(IND_rest_ele_kWh/1000),0,IND_rest_ele_kWh/1000)</f>
        <v>33292.824710000001</v>
      </c>
      <c r="C37" s="39">
        <f>IF(ISERROR(B37*3.6/1000000/'E Balans VL '!Z15*100),0,B37*3.6/1000000/'E Balans VL '!Z15*100)</f>
        <v>0.25977507633495872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748.135898</v>
      </c>
      <c r="C5" s="17">
        <f>'Eigen informatie GS &amp; warmtenet'!B62</f>
        <v>0</v>
      </c>
      <c r="D5" s="30">
        <f>IF(ISERROR(SUM(LB_lb_gas_kWh,LB_rest_gas_kWh)/1000),0,SUM(LB_lb_gas_kWh,LB_rest_gas_kWh)/1000)*0.902</f>
        <v>951.93229091399996</v>
      </c>
      <c r="E5" s="17">
        <f>B17*'E Balans VL '!I25/3.6*1000000/100</f>
        <v>23.349074671796288</v>
      </c>
      <c r="F5" s="17">
        <f>B17*('E Balans VL '!L25/3.6*1000000+'E Balans VL '!N25/3.6*1000000)/100</f>
        <v>2643.9951397911109</v>
      </c>
      <c r="G5" s="18"/>
      <c r="H5" s="17"/>
      <c r="I5" s="17"/>
      <c r="J5" s="17">
        <f>('E Balans VL '!D25+'E Balans VL '!E25)/3.6*1000000*landbouw!B17/100</f>
        <v>206.11662817598295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748.135898</v>
      </c>
      <c r="C8" s="21">
        <f>C5+C6</f>
        <v>0</v>
      </c>
      <c r="D8" s="21">
        <f>MAX((D5+D6),0)</f>
        <v>951.93229091399996</v>
      </c>
      <c r="E8" s="21">
        <f>MAX((E5+E6),0)</f>
        <v>23.349074671796288</v>
      </c>
      <c r="F8" s="21">
        <f>MAX((F5+F6),0)</f>
        <v>2643.9951397911109</v>
      </c>
      <c r="G8" s="21"/>
      <c r="H8" s="21"/>
      <c r="I8" s="21"/>
      <c r="J8" s="21">
        <f>MAX((J5+J6),0)</f>
        <v>206.11662817598295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0.20736997781980979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155.14092457446347</v>
      </c>
      <c r="C12" s="23">
        <f ca="1">C8*C10</f>
        <v>0</v>
      </c>
      <c r="D12" s="23">
        <f>D8*D10</f>
        <v>192.290322764628</v>
      </c>
      <c r="E12" s="23">
        <f>E8*E10</f>
        <v>5.3002399504977573</v>
      </c>
      <c r="F12" s="23">
        <f>F8*F10</f>
        <v>705.94670232422664</v>
      </c>
      <c r="G12" s="23"/>
      <c r="H12" s="23"/>
      <c r="I12" s="23"/>
      <c r="J12" s="23">
        <f>J8*J10</f>
        <v>72.96528637429796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0.11121576438382576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99.95600566063456</v>
      </c>
      <c r="C26" s="247">
        <f>B26*'GWP N2O_CH4'!B5</f>
        <v>2099.0761188733259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14.63463120548542</v>
      </c>
      <c r="C27" s="247">
        <f>B27*'GWP N2O_CH4'!B5</f>
        <v>307.32725531519384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1.2641899802832637</v>
      </c>
      <c r="C28" s="247">
        <f>B28*'GWP N2O_CH4'!B4</f>
        <v>391.89889388781177</v>
      </c>
      <c r="D28" s="50"/>
    </row>
    <row r="29" spans="1:4">
      <c r="A29" s="41" t="s">
        <v>276</v>
      </c>
      <c r="B29" s="247">
        <f>B34*'ha_N2O bodem landbouw'!B4</f>
        <v>8.7498011175586896</v>
      </c>
      <c r="C29" s="247">
        <f>B29*'GWP N2O_CH4'!B4</f>
        <v>2712.438346443194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1.9186738484536811E-3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2.46365950495E-4</v>
      </c>
      <c r="C5" s="463" t="s">
        <v>210</v>
      </c>
      <c r="D5" s="448">
        <f>SUM(D6:D11)</f>
        <v>9.8171703045847212E-4</v>
      </c>
      <c r="E5" s="448">
        <f>SUM(E6:E11)</f>
        <v>7.5690877794277502E-4</v>
      </c>
      <c r="F5" s="461" t="s">
        <v>210</v>
      </c>
      <c r="G5" s="448">
        <f>SUM(G6:G11)</f>
        <v>0.31503696482291454</v>
      </c>
      <c r="H5" s="448">
        <f>SUM(H6:H11)</f>
        <v>7.3150122960544448E-2</v>
      </c>
      <c r="I5" s="463" t="s">
        <v>210</v>
      </c>
      <c r="J5" s="463" t="s">
        <v>210</v>
      </c>
      <c r="K5" s="463" t="s">
        <v>210</v>
      </c>
      <c r="L5" s="463" t="s">
        <v>210</v>
      </c>
      <c r="M5" s="448">
        <f>SUM(M6:M11)</f>
        <v>2.2972992969465623E-2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1.9964099107E-4</v>
      </c>
      <c r="C6" s="449"/>
      <c r="D6" s="917">
        <f>vkm_2011_GW_PW*SUMIFS(TableVerdeelsleutelVkm[CNG],TableVerdeelsleutelVkm[Voertuigtype],"Lichte voertuigen")*SUMIFS(TableECFTransport[EnergieConsumptieFactor (PJ per km)],TableECFTransport[Index],CONCATENATE($A6,"_CNG_CNG"))</f>
        <v>6.9418573129567207E-4</v>
      </c>
      <c r="E6" s="917">
        <f>vkm_2011_GW_PW*SUMIFS(TableVerdeelsleutelVkm[LPG],TableVerdeelsleutelVkm[Voertuigtype],"Lichte voertuigen")*SUMIFS(TableECFTransport[EnergieConsumptieFactor (PJ per km)],TableECFTransport[Index],CONCATENATE($A6,"_LPG_LPG"))</f>
        <v>5.4690398556239998E-4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0.14887362396379064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5.2095880433606086E-2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1.2009191051038155E-2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0.10552571055544369</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2.6585327039953909E-5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6.084942155905243E-3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4.6724959424999993E-5</v>
      </c>
      <c r="C8" s="449"/>
      <c r="D8" s="451">
        <f>vkm_2011_NGW_PW*SUMIFS(TableVerdeelsleutelVkm[CNG],TableVerdeelsleutelVkm[Voertuigtype],"Lichte voertuigen")*SUMIFS(TableECFTransport[EnergieConsumptieFactor (PJ per km)],TableECFTransport[Index],CONCATENATE($A8,"_CNG_CNG"))</f>
        <v>2.875312991628E-4</v>
      </c>
      <c r="E8" s="451">
        <f>vkm_2011_NGW_PW*SUMIFS(TableVerdeelsleutelVkm[LPG],TableVerdeelsleutelVkm[Voertuigtype],"Lichte voertuigen")*SUMIFS(TableECFTransport[EnergieConsumptieFactor (PJ per km)],TableECFTransport[Index],CONCATENATE($A8,"_LPG_LPG"))</f>
        <v>2.1000479238037501E-4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5.304807015145023E-2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2.1025853071594467E-2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4.44122911267657E-3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7.58956015222994E-3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1.8041283039510125E-6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4.376306498456533E-4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68.434986248611111</v>
      </c>
      <c r="C14" s="21"/>
      <c r="D14" s="21">
        <f t="shared" ref="D14:M14" si="0">((D5)*10^9/3600)+D12</f>
        <v>272.69917512735339</v>
      </c>
      <c r="E14" s="21">
        <f t="shared" si="0"/>
        <v>210.25243831743751</v>
      </c>
      <c r="F14" s="21"/>
      <c r="G14" s="21">
        <f t="shared" si="0"/>
        <v>87510.26800636515</v>
      </c>
      <c r="H14" s="21">
        <f t="shared" si="0"/>
        <v>20319.478600151237</v>
      </c>
      <c r="I14" s="21"/>
      <c r="J14" s="21"/>
      <c r="K14" s="21"/>
      <c r="L14" s="21"/>
      <c r="M14" s="21">
        <f t="shared" si="0"/>
        <v>6381.3869359626733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0.20736997781980979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14.191361580473474</v>
      </c>
      <c r="C18" s="23"/>
      <c r="D18" s="23">
        <f t="shared" ref="D18:M18" si="1">D14*D16</f>
        <v>55.085233375725387</v>
      </c>
      <c r="E18" s="23">
        <f t="shared" si="1"/>
        <v>47.727303498058319</v>
      </c>
      <c r="F18" s="23"/>
      <c r="G18" s="23">
        <f t="shared" si="1"/>
        <v>23365.241557699497</v>
      </c>
      <c r="H18" s="23">
        <f t="shared" si="1"/>
        <v>5059.5501714376578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2.0941611999301616E-3</v>
      </c>
      <c r="H50" s="321">
        <f t="shared" si="2"/>
        <v>0</v>
      </c>
      <c r="I50" s="321">
        <f t="shared" si="2"/>
        <v>0</v>
      </c>
      <c r="J50" s="321">
        <f t="shared" si="2"/>
        <v>0</v>
      </c>
      <c r="K50" s="321">
        <f t="shared" si="2"/>
        <v>0</v>
      </c>
      <c r="L50" s="321">
        <f t="shared" si="2"/>
        <v>0</v>
      </c>
      <c r="M50" s="321">
        <f t="shared" si="2"/>
        <v>1.1639371119832637E-4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2.0941611999301616E-3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1.1639371119832637E-4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581.71144442504487</v>
      </c>
      <c r="H54" s="21">
        <f t="shared" si="3"/>
        <v>0</v>
      </c>
      <c r="I54" s="21">
        <f t="shared" si="3"/>
        <v>0</v>
      </c>
      <c r="J54" s="21">
        <f t="shared" si="3"/>
        <v>0</v>
      </c>
      <c r="K54" s="21">
        <f t="shared" si="3"/>
        <v>0</v>
      </c>
      <c r="L54" s="21">
        <f t="shared" si="3"/>
        <v>0</v>
      </c>
      <c r="M54" s="21">
        <f t="shared" si="3"/>
        <v>32.331586443979546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0.20736997781980979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155.31695566148699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35336.028569999995</v>
      </c>
      <c r="D10" s="712">
        <f ca="1">tertiair!C16</f>
        <v>0</v>
      </c>
      <c r="E10" s="712">
        <f ca="1">tertiair!D16</f>
        <v>43471.654418346006</v>
      </c>
      <c r="F10" s="712">
        <f>tertiair!E16</f>
        <v>453.98670124789487</v>
      </c>
      <c r="G10" s="712">
        <f ca="1">tertiair!F16</f>
        <v>3819.0132922648427</v>
      </c>
      <c r="H10" s="712">
        <f>tertiair!G16</f>
        <v>0</v>
      </c>
      <c r="I10" s="712">
        <f>tertiair!H16</f>
        <v>0</v>
      </c>
      <c r="J10" s="712">
        <f>tertiair!I16</f>
        <v>0</v>
      </c>
      <c r="K10" s="712">
        <f>tertiair!J16</f>
        <v>5.9492505546509131E-2</v>
      </c>
      <c r="L10" s="712">
        <f>tertiair!K16</f>
        <v>0</v>
      </c>
      <c r="M10" s="712">
        <f ca="1">tertiair!L16</f>
        <v>0</v>
      </c>
      <c r="N10" s="712">
        <f>tertiair!M16</f>
        <v>0</v>
      </c>
      <c r="O10" s="712">
        <f ca="1">tertiair!N16</f>
        <v>2353.6450922265385</v>
      </c>
      <c r="P10" s="712">
        <f>tertiair!O16</f>
        <v>14.691782297523464</v>
      </c>
      <c r="Q10" s="713">
        <f>tertiair!P16</f>
        <v>262.69569153247511</v>
      </c>
      <c r="R10" s="715">
        <f ca="1">SUM(C10:Q10)</f>
        <v>85711.77504042082</v>
      </c>
      <c r="S10" s="67"/>
    </row>
    <row r="11" spans="1:19" s="474" customFormat="1">
      <c r="A11" s="834" t="s">
        <v>224</v>
      </c>
      <c r="B11" s="839"/>
      <c r="C11" s="712">
        <f>huishoudens!B8</f>
        <v>35376.028295295793</v>
      </c>
      <c r="D11" s="712">
        <f>huishoudens!C8</f>
        <v>0</v>
      </c>
      <c r="E11" s="712">
        <f>huishoudens!D8</f>
        <v>93897.657717599999</v>
      </c>
      <c r="F11" s="712">
        <f>huishoudens!E8</f>
        <v>4826.7026592810125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18998.483261433441</v>
      </c>
      <c r="P11" s="712">
        <f>huishoudens!O8</f>
        <v>436.47080826514696</v>
      </c>
      <c r="Q11" s="713">
        <f>huishoudens!P8</f>
        <v>526.69796538425112</v>
      </c>
      <c r="R11" s="715">
        <f>SUM(C11:Q11)</f>
        <v>154062.04070725964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66229.163855999999</v>
      </c>
      <c r="D13" s="712">
        <f>industrie!C18</f>
        <v>5785.7142857142862</v>
      </c>
      <c r="E13" s="712">
        <f>industrie!D18</f>
        <v>71626.562097991409</v>
      </c>
      <c r="F13" s="712">
        <f>industrie!E18</f>
        <v>9064.8411046236833</v>
      </c>
      <c r="G13" s="712">
        <f>industrie!F18</f>
        <v>28682.195717458249</v>
      </c>
      <c r="H13" s="712">
        <f>industrie!G18</f>
        <v>0</v>
      </c>
      <c r="I13" s="712">
        <f>industrie!H18</f>
        <v>0</v>
      </c>
      <c r="J13" s="712">
        <f>industrie!I18</f>
        <v>0</v>
      </c>
      <c r="K13" s="712">
        <f>industrie!J18</f>
        <v>277.23004458344241</v>
      </c>
      <c r="L13" s="712">
        <f>industrie!K18</f>
        <v>0</v>
      </c>
      <c r="M13" s="712">
        <f>industrie!L18</f>
        <v>0</v>
      </c>
      <c r="N13" s="712">
        <f>industrie!M18</f>
        <v>0</v>
      </c>
      <c r="O13" s="712">
        <f>industrie!N18</f>
        <v>3576.0463621125509</v>
      </c>
      <c r="P13" s="712">
        <f>industrie!O18</f>
        <v>0</v>
      </c>
      <c r="Q13" s="713">
        <f>industrie!P18</f>
        <v>0</v>
      </c>
      <c r="R13" s="715">
        <f>SUM(C13:Q13)</f>
        <v>185241.7534684836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136941.2207212958</v>
      </c>
      <c r="D16" s="748">
        <f t="shared" ref="D16:R16" ca="1" si="0">SUM(D9:D15)</f>
        <v>5785.7142857142862</v>
      </c>
      <c r="E16" s="748">
        <f t="shared" ca="1" si="0"/>
        <v>208995.87423393741</v>
      </c>
      <c r="F16" s="748">
        <f t="shared" si="0"/>
        <v>14345.530465152591</v>
      </c>
      <c r="G16" s="748">
        <f t="shared" ca="1" si="0"/>
        <v>32501.20900972309</v>
      </c>
      <c r="H16" s="748">
        <f t="shared" si="0"/>
        <v>0</v>
      </c>
      <c r="I16" s="748">
        <f t="shared" si="0"/>
        <v>0</v>
      </c>
      <c r="J16" s="748">
        <f t="shared" si="0"/>
        <v>0</v>
      </c>
      <c r="K16" s="748">
        <f t="shared" si="0"/>
        <v>277.28953708898894</v>
      </c>
      <c r="L16" s="748">
        <f t="shared" si="0"/>
        <v>0</v>
      </c>
      <c r="M16" s="748">
        <f t="shared" ca="1" si="0"/>
        <v>0</v>
      </c>
      <c r="N16" s="748">
        <f t="shared" si="0"/>
        <v>0</v>
      </c>
      <c r="O16" s="748">
        <f t="shared" ca="1" si="0"/>
        <v>24928.174715772533</v>
      </c>
      <c r="P16" s="748">
        <f t="shared" si="0"/>
        <v>451.1625905626704</v>
      </c>
      <c r="Q16" s="748">
        <f t="shared" si="0"/>
        <v>789.39365691672629</v>
      </c>
      <c r="R16" s="748">
        <f t="shared" ca="1" si="0"/>
        <v>425015.56921616406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581.71144442504487</v>
      </c>
      <c r="I19" s="712">
        <f>transport!H54</f>
        <v>0</v>
      </c>
      <c r="J19" s="712">
        <f>transport!I54</f>
        <v>0</v>
      </c>
      <c r="K19" s="712">
        <f>transport!J54</f>
        <v>0</v>
      </c>
      <c r="L19" s="712">
        <f>transport!K54</f>
        <v>0</v>
      </c>
      <c r="M19" s="712">
        <f>transport!L54</f>
        <v>0</v>
      </c>
      <c r="N19" s="712">
        <f>transport!M54</f>
        <v>32.331586443979546</v>
      </c>
      <c r="O19" s="712">
        <f>transport!N54</f>
        <v>0</v>
      </c>
      <c r="P19" s="712">
        <f>transport!O54</f>
        <v>0</v>
      </c>
      <c r="Q19" s="713">
        <f>transport!P54</f>
        <v>0</v>
      </c>
      <c r="R19" s="715">
        <f>SUM(C19:Q19)</f>
        <v>614.04303086902439</v>
      </c>
      <c r="S19" s="67"/>
    </row>
    <row r="20" spans="1:19" s="474" customFormat="1">
      <c r="A20" s="834" t="s">
        <v>306</v>
      </c>
      <c r="B20" s="839"/>
      <c r="C20" s="712">
        <f>transport!B14</f>
        <v>68.434986248611111</v>
      </c>
      <c r="D20" s="712">
        <f>transport!C14</f>
        <v>0</v>
      </c>
      <c r="E20" s="712">
        <f>transport!D14</f>
        <v>272.69917512735339</v>
      </c>
      <c r="F20" s="712">
        <f>transport!E14</f>
        <v>210.25243831743751</v>
      </c>
      <c r="G20" s="712">
        <f>transport!F14</f>
        <v>0</v>
      </c>
      <c r="H20" s="712">
        <f>transport!G14</f>
        <v>87510.26800636515</v>
      </c>
      <c r="I20" s="712">
        <f>transport!H14</f>
        <v>20319.478600151237</v>
      </c>
      <c r="J20" s="712">
        <f>transport!I14</f>
        <v>0</v>
      </c>
      <c r="K20" s="712">
        <f>transport!J14</f>
        <v>0</v>
      </c>
      <c r="L20" s="712">
        <f>transport!K14</f>
        <v>0</v>
      </c>
      <c r="M20" s="712">
        <f>transport!L14</f>
        <v>0</v>
      </c>
      <c r="N20" s="712">
        <f>transport!M14</f>
        <v>6381.3869359626733</v>
      </c>
      <c r="O20" s="712">
        <f>transport!N14</f>
        <v>0</v>
      </c>
      <c r="P20" s="712">
        <f>transport!O14</f>
        <v>0</v>
      </c>
      <c r="Q20" s="713">
        <f>transport!P14</f>
        <v>0</v>
      </c>
      <c r="R20" s="715">
        <f>SUM(C20:Q20)</f>
        <v>114762.52014217246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68.434986248611111</v>
      </c>
      <c r="D22" s="837">
        <f t="shared" ref="D22:R22" si="1">SUM(D18:D21)</f>
        <v>0</v>
      </c>
      <c r="E22" s="837">
        <f t="shared" si="1"/>
        <v>272.69917512735339</v>
      </c>
      <c r="F22" s="837">
        <f t="shared" si="1"/>
        <v>210.25243831743751</v>
      </c>
      <c r="G22" s="837">
        <f t="shared" si="1"/>
        <v>0</v>
      </c>
      <c r="H22" s="837">
        <f t="shared" si="1"/>
        <v>88091.979450790197</v>
      </c>
      <c r="I22" s="837">
        <f t="shared" si="1"/>
        <v>20319.478600151237</v>
      </c>
      <c r="J22" s="837">
        <f t="shared" si="1"/>
        <v>0</v>
      </c>
      <c r="K22" s="837">
        <f t="shared" si="1"/>
        <v>0</v>
      </c>
      <c r="L22" s="837">
        <f t="shared" si="1"/>
        <v>0</v>
      </c>
      <c r="M22" s="837">
        <f t="shared" si="1"/>
        <v>0</v>
      </c>
      <c r="N22" s="837">
        <f t="shared" si="1"/>
        <v>6413.7185224066525</v>
      </c>
      <c r="O22" s="837">
        <f t="shared" si="1"/>
        <v>0</v>
      </c>
      <c r="P22" s="837">
        <f t="shared" si="1"/>
        <v>0</v>
      </c>
      <c r="Q22" s="837">
        <f t="shared" si="1"/>
        <v>0</v>
      </c>
      <c r="R22" s="837">
        <f t="shared" si="1"/>
        <v>115376.56317304149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748.135898</v>
      </c>
      <c r="D24" s="712">
        <f>+landbouw!C8</f>
        <v>0</v>
      </c>
      <c r="E24" s="712">
        <f>+landbouw!D8</f>
        <v>951.93229091399996</v>
      </c>
      <c r="F24" s="712">
        <f>+landbouw!E8</f>
        <v>23.349074671796288</v>
      </c>
      <c r="G24" s="712">
        <f>+landbouw!F8</f>
        <v>2643.9951397911109</v>
      </c>
      <c r="H24" s="712">
        <f>+landbouw!G8</f>
        <v>0</v>
      </c>
      <c r="I24" s="712">
        <f>+landbouw!H8</f>
        <v>0</v>
      </c>
      <c r="J24" s="712">
        <f>+landbouw!I8</f>
        <v>0</v>
      </c>
      <c r="K24" s="712">
        <f>+landbouw!J8</f>
        <v>206.11662817598295</v>
      </c>
      <c r="L24" s="712">
        <f>+landbouw!K8</f>
        <v>0</v>
      </c>
      <c r="M24" s="712">
        <f>+landbouw!L8</f>
        <v>0</v>
      </c>
      <c r="N24" s="712">
        <f>+landbouw!M8</f>
        <v>0</v>
      </c>
      <c r="O24" s="712">
        <f>+landbouw!N8</f>
        <v>0</v>
      </c>
      <c r="P24" s="712">
        <f>+landbouw!O8</f>
        <v>0</v>
      </c>
      <c r="Q24" s="713">
        <f>+landbouw!P8</f>
        <v>0</v>
      </c>
      <c r="R24" s="715">
        <f>SUM(C24:Q24)</f>
        <v>4573.529031552891</v>
      </c>
      <c r="S24" s="67"/>
    </row>
    <row r="25" spans="1:19" s="474" customFormat="1" ht="15" thickBot="1">
      <c r="A25" s="856" t="s">
        <v>734</v>
      </c>
      <c r="B25" s="982"/>
      <c r="C25" s="983">
        <f>IF(Onbekend_ele_kWh="---",0,Onbekend_ele_kWh)/1000+IF(REST_rest_ele_kWh="---",0,REST_rest_ele_kWh)/1000</f>
        <v>1981.1173659999999</v>
      </c>
      <c r="D25" s="983"/>
      <c r="E25" s="983">
        <f>IF(onbekend_gas_kWh="---",0,onbekend_gas_kWh)/1000+IF(REST_rest_gas_kWh="---",0,REST_rest_gas_kWh)/1000</f>
        <v>5775.3118569999997</v>
      </c>
      <c r="F25" s="983"/>
      <c r="G25" s="983"/>
      <c r="H25" s="983"/>
      <c r="I25" s="983"/>
      <c r="J25" s="983"/>
      <c r="K25" s="983"/>
      <c r="L25" s="983"/>
      <c r="M25" s="983"/>
      <c r="N25" s="983"/>
      <c r="O25" s="983"/>
      <c r="P25" s="983"/>
      <c r="Q25" s="984"/>
      <c r="R25" s="715">
        <f>SUM(C25:Q25)</f>
        <v>7756.4292229999992</v>
      </c>
      <c r="S25" s="67"/>
    </row>
    <row r="26" spans="1:19" s="474" customFormat="1" ht="15.75" thickBot="1">
      <c r="A26" s="720" t="s">
        <v>735</v>
      </c>
      <c r="B26" s="842"/>
      <c r="C26" s="837">
        <f>SUM(C24:C25)</f>
        <v>2729.2532639999999</v>
      </c>
      <c r="D26" s="837">
        <f t="shared" ref="D26:R26" si="2">SUM(D24:D25)</f>
        <v>0</v>
      </c>
      <c r="E26" s="837">
        <f t="shared" si="2"/>
        <v>6727.2441479139998</v>
      </c>
      <c r="F26" s="837">
        <f t="shared" si="2"/>
        <v>23.349074671796288</v>
      </c>
      <c r="G26" s="837">
        <f t="shared" si="2"/>
        <v>2643.9951397911109</v>
      </c>
      <c r="H26" s="837">
        <f t="shared" si="2"/>
        <v>0</v>
      </c>
      <c r="I26" s="837">
        <f t="shared" si="2"/>
        <v>0</v>
      </c>
      <c r="J26" s="837">
        <f t="shared" si="2"/>
        <v>0</v>
      </c>
      <c r="K26" s="837">
        <f t="shared" si="2"/>
        <v>206.11662817598295</v>
      </c>
      <c r="L26" s="837">
        <f t="shared" si="2"/>
        <v>0</v>
      </c>
      <c r="M26" s="837">
        <f t="shared" si="2"/>
        <v>0</v>
      </c>
      <c r="N26" s="837">
        <f t="shared" si="2"/>
        <v>0</v>
      </c>
      <c r="O26" s="837">
        <f t="shared" si="2"/>
        <v>0</v>
      </c>
      <c r="P26" s="837">
        <f t="shared" si="2"/>
        <v>0</v>
      </c>
      <c r="Q26" s="837">
        <f t="shared" si="2"/>
        <v>0</v>
      </c>
      <c r="R26" s="837">
        <f t="shared" si="2"/>
        <v>12329.95825455289</v>
      </c>
      <c r="S26" s="67"/>
    </row>
    <row r="27" spans="1:19" s="474" customFormat="1" ht="17.25" thickTop="1" thickBot="1">
      <c r="A27" s="721" t="s">
        <v>115</v>
      </c>
      <c r="B27" s="829"/>
      <c r="C27" s="722">
        <f ca="1">C22+C16+C26</f>
        <v>139738.90897154441</v>
      </c>
      <c r="D27" s="722">
        <f t="shared" ref="D27:R27" ca="1" si="3">D22+D16+D26</f>
        <v>5785.7142857142862</v>
      </c>
      <c r="E27" s="722">
        <f t="shared" ca="1" si="3"/>
        <v>215995.81755697876</v>
      </c>
      <c r="F27" s="722">
        <f t="shared" si="3"/>
        <v>14579.131978141824</v>
      </c>
      <c r="G27" s="722">
        <f t="shared" ca="1" si="3"/>
        <v>35145.204149514204</v>
      </c>
      <c r="H27" s="722">
        <f t="shared" si="3"/>
        <v>88091.979450790197</v>
      </c>
      <c r="I27" s="722">
        <f t="shared" si="3"/>
        <v>20319.478600151237</v>
      </c>
      <c r="J27" s="722">
        <f t="shared" si="3"/>
        <v>0</v>
      </c>
      <c r="K27" s="722">
        <f t="shared" si="3"/>
        <v>483.40616526497189</v>
      </c>
      <c r="L27" s="722">
        <f t="shared" si="3"/>
        <v>0</v>
      </c>
      <c r="M27" s="722">
        <f t="shared" ca="1" si="3"/>
        <v>0</v>
      </c>
      <c r="N27" s="722">
        <f t="shared" si="3"/>
        <v>6413.7185224066525</v>
      </c>
      <c r="O27" s="722">
        <f t="shared" ca="1" si="3"/>
        <v>24928.174715772533</v>
      </c>
      <c r="P27" s="722">
        <f t="shared" si="3"/>
        <v>451.1625905626704</v>
      </c>
      <c r="Q27" s="722">
        <f t="shared" si="3"/>
        <v>789.39365691672629</v>
      </c>
      <c r="R27" s="722">
        <f t="shared" ca="1" si="3"/>
        <v>552722.09064375842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7327.6314608010643</v>
      </c>
      <c r="D40" s="712">
        <f ca="1">tertiair!C20</f>
        <v>0</v>
      </c>
      <c r="E40" s="712">
        <f ca="1">tertiair!D20</f>
        <v>8781.2741925058945</v>
      </c>
      <c r="F40" s="712">
        <f>tertiair!E20</f>
        <v>103.05498118327213</v>
      </c>
      <c r="G40" s="712">
        <f ca="1">tertiair!F20</f>
        <v>1019.676549034713</v>
      </c>
      <c r="H40" s="712">
        <f>tertiair!G20</f>
        <v>0</v>
      </c>
      <c r="I40" s="712">
        <f>tertiair!H20</f>
        <v>0</v>
      </c>
      <c r="J40" s="712">
        <f>tertiair!I20</f>
        <v>0</v>
      </c>
      <c r="K40" s="712">
        <f>tertiair!J20</f>
        <v>2.1060346963464233E-2</v>
      </c>
      <c r="L40" s="712">
        <f>tertiair!K20</f>
        <v>0</v>
      </c>
      <c r="M40" s="712">
        <f ca="1">tertiair!L20</f>
        <v>0</v>
      </c>
      <c r="N40" s="712">
        <f>tertiair!M20</f>
        <v>0</v>
      </c>
      <c r="O40" s="712">
        <f ca="1">tertiair!N20</f>
        <v>0</v>
      </c>
      <c r="P40" s="712">
        <f>tertiair!O20</f>
        <v>0</v>
      </c>
      <c r="Q40" s="795">
        <f>tertiair!P20</f>
        <v>0</v>
      </c>
      <c r="R40" s="875">
        <f t="shared" ca="1" si="4"/>
        <v>17231.658243871909</v>
      </c>
    </row>
    <row r="41" spans="1:18">
      <c r="A41" s="847" t="s">
        <v>224</v>
      </c>
      <c r="B41" s="854"/>
      <c r="C41" s="712">
        <f ca="1">huishoudens!B12</f>
        <v>7335.9262029484516</v>
      </c>
      <c r="D41" s="712">
        <f ca="1">huishoudens!C12</f>
        <v>0</v>
      </c>
      <c r="E41" s="712">
        <f>huishoudens!D12</f>
        <v>18967.326858955203</v>
      </c>
      <c r="F41" s="712">
        <f>huishoudens!E12</f>
        <v>1095.6615036567898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27398.914565560444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13733.940239843269</v>
      </c>
      <c r="D43" s="712">
        <f ca="1">industrie!C22</f>
        <v>1374.9579831932776</v>
      </c>
      <c r="E43" s="712">
        <f>industrie!D22</f>
        <v>14468.565543794266</v>
      </c>
      <c r="F43" s="712">
        <f>industrie!E22</f>
        <v>2057.718930749576</v>
      </c>
      <c r="G43" s="712">
        <f>industrie!F22</f>
        <v>7658.1462565613529</v>
      </c>
      <c r="H43" s="712">
        <f>industrie!G22</f>
        <v>0</v>
      </c>
      <c r="I43" s="712">
        <f>industrie!H22</f>
        <v>0</v>
      </c>
      <c r="J43" s="712">
        <f>industrie!I22</f>
        <v>0</v>
      </c>
      <c r="K43" s="712">
        <f>industrie!J22</f>
        <v>98.139435782538612</v>
      </c>
      <c r="L43" s="712">
        <f>industrie!K22</f>
        <v>0</v>
      </c>
      <c r="M43" s="712">
        <f>industrie!L22</f>
        <v>0</v>
      </c>
      <c r="N43" s="712">
        <f>industrie!M22</f>
        <v>0</v>
      </c>
      <c r="O43" s="712">
        <f>industrie!N22</f>
        <v>0</v>
      </c>
      <c r="P43" s="712">
        <f>industrie!O22</f>
        <v>0</v>
      </c>
      <c r="Q43" s="795">
        <f>industrie!P22</f>
        <v>0</v>
      </c>
      <c r="R43" s="874">
        <f t="shared" ca="1" si="4"/>
        <v>39391.468389924281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28397.497903592783</v>
      </c>
      <c r="D46" s="748">
        <f t="shared" ref="D46:Q46" ca="1" si="5">SUM(D39:D45)</f>
        <v>1374.9579831932776</v>
      </c>
      <c r="E46" s="748">
        <f t="shared" ca="1" si="5"/>
        <v>42217.166595255359</v>
      </c>
      <c r="F46" s="748">
        <f t="shared" si="5"/>
        <v>3256.4354155896381</v>
      </c>
      <c r="G46" s="748">
        <f t="shared" ca="1" si="5"/>
        <v>8677.8228055960662</v>
      </c>
      <c r="H46" s="748">
        <f t="shared" si="5"/>
        <v>0</v>
      </c>
      <c r="I46" s="748">
        <f t="shared" si="5"/>
        <v>0</v>
      </c>
      <c r="J46" s="748">
        <f t="shared" si="5"/>
        <v>0</v>
      </c>
      <c r="K46" s="748">
        <f t="shared" si="5"/>
        <v>98.160496129502079</v>
      </c>
      <c r="L46" s="748">
        <f t="shared" si="5"/>
        <v>0</v>
      </c>
      <c r="M46" s="748">
        <f t="shared" ca="1" si="5"/>
        <v>0</v>
      </c>
      <c r="N46" s="748">
        <f t="shared" si="5"/>
        <v>0</v>
      </c>
      <c r="O46" s="748">
        <f t="shared" ca="1" si="5"/>
        <v>0</v>
      </c>
      <c r="P46" s="748">
        <f t="shared" si="5"/>
        <v>0</v>
      </c>
      <c r="Q46" s="748">
        <f t="shared" si="5"/>
        <v>0</v>
      </c>
      <c r="R46" s="748">
        <f ca="1">SUM(R39:R45)</f>
        <v>84022.041199356638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155.31695566148699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155.31695566148699</v>
      </c>
    </row>
    <row r="50" spans="1:18">
      <c r="A50" s="850" t="s">
        <v>306</v>
      </c>
      <c r="B50" s="860"/>
      <c r="C50" s="718">
        <f ca="1">transport!B18</f>
        <v>14.191361580473474</v>
      </c>
      <c r="D50" s="718">
        <f>transport!C18</f>
        <v>0</v>
      </c>
      <c r="E50" s="718">
        <f>transport!D18</f>
        <v>55.085233375725387</v>
      </c>
      <c r="F50" s="718">
        <f>transport!E18</f>
        <v>47.727303498058319</v>
      </c>
      <c r="G50" s="718">
        <f>transport!F18</f>
        <v>0</v>
      </c>
      <c r="H50" s="718">
        <f>transport!G18</f>
        <v>23365.241557699497</v>
      </c>
      <c r="I50" s="718">
        <f>transport!H18</f>
        <v>5059.5501714376578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28541.795627591415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14.191361580473474</v>
      </c>
      <c r="D52" s="748">
        <f t="shared" ref="D52:Q52" ca="1" si="6">SUM(D48:D51)</f>
        <v>0</v>
      </c>
      <c r="E52" s="748">
        <f t="shared" si="6"/>
        <v>55.085233375725387</v>
      </c>
      <c r="F52" s="748">
        <f t="shared" si="6"/>
        <v>47.727303498058319</v>
      </c>
      <c r="G52" s="748">
        <f t="shared" si="6"/>
        <v>0</v>
      </c>
      <c r="H52" s="748">
        <f t="shared" si="6"/>
        <v>23520.558513360986</v>
      </c>
      <c r="I52" s="748">
        <f t="shared" si="6"/>
        <v>5059.5501714376578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28697.112583252903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155.14092457446347</v>
      </c>
      <c r="D54" s="718">
        <f ca="1">+landbouw!C12</f>
        <v>0</v>
      </c>
      <c r="E54" s="718">
        <f>+landbouw!D12</f>
        <v>192.290322764628</v>
      </c>
      <c r="F54" s="718">
        <f>+landbouw!E12</f>
        <v>5.3002399504977573</v>
      </c>
      <c r="G54" s="718">
        <f>+landbouw!F12</f>
        <v>705.94670232422664</v>
      </c>
      <c r="H54" s="718">
        <f>+landbouw!G12</f>
        <v>0</v>
      </c>
      <c r="I54" s="718">
        <f>+landbouw!H12</f>
        <v>0</v>
      </c>
      <c r="J54" s="718">
        <f>+landbouw!I12</f>
        <v>0</v>
      </c>
      <c r="K54" s="718">
        <f>+landbouw!J12</f>
        <v>72.96528637429796</v>
      </c>
      <c r="L54" s="718">
        <f>+landbouw!K12</f>
        <v>0</v>
      </c>
      <c r="M54" s="718">
        <f>+landbouw!L12</f>
        <v>0</v>
      </c>
      <c r="N54" s="718">
        <f>+landbouw!M12</f>
        <v>0</v>
      </c>
      <c r="O54" s="718">
        <f>+landbouw!N12</f>
        <v>0</v>
      </c>
      <c r="P54" s="718">
        <f>+landbouw!O12</f>
        <v>0</v>
      </c>
      <c r="Q54" s="719">
        <f>+landbouw!P12</f>
        <v>0</v>
      </c>
      <c r="R54" s="747">
        <f ca="1">SUM(C54:Q54)</f>
        <v>1131.6434759881138</v>
      </c>
    </row>
    <row r="55" spans="1:18" ht="15" thickBot="1">
      <c r="A55" s="850" t="s">
        <v>734</v>
      </c>
      <c r="B55" s="860"/>
      <c r="C55" s="718">
        <f ca="1">C25*'EF ele_warmte'!B12</f>
        <v>410.82426424585998</v>
      </c>
      <c r="D55" s="718"/>
      <c r="E55" s="718">
        <f>E25*EF_CO2_aardgas</f>
        <v>1166.6129951140001</v>
      </c>
      <c r="F55" s="718"/>
      <c r="G55" s="718"/>
      <c r="H55" s="718"/>
      <c r="I55" s="718"/>
      <c r="J55" s="718"/>
      <c r="K55" s="718"/>
      <c r="L55" s="718"/>
      <c r="M55" s="718"/>
      <c r="N55" s="718"/>
      <c r="O55" s="718"/>
      <c r="P55" s="718"/>
      <c r="Q55" s="719"/>
      <c r="R55" s="747">
        <f ca="1">SUM(C55:Q55)</f>
        <v>1577.43725935986</v>
      </c>
    </row>
    <row r="56" spans="1:18" ht="15.75" thickBot="1">
      <c r="A56" s="848" t="s">
        <v>735</v>
      </c>
      <c r="B56" s="861"/>
      <c r="C56" s="748">
        <f ca="1">SUM(C54:C55)</f>
        <v>565.96518882032342</v>
      </c>
      <c r="D56" s="748">
        <f t="shared" ref="D56:Q56" ca="1" si="7">SUM(D54:D55)</f>
        <v>0</v>
      </c>
      <c r="E56" s="748">
        <f t="shared" si="7"/>
        <v>1358.9033178786281</v>
      </c>
      <c r="F56" s="748">
        <f t="shared" si="7"/>
        <v>5.3002399504977573</v>
      </c>
      <c r="G56" s="748">
        <f t="shared" si="7"/>
        <v>705.94670232422664</v>
      </c>
      <c r="H56" s="748">
        <f t="shared" si="7"/>
        <v>0</v>
      </c>
      <c r="I56" s="748">
        <f t="shared" si="7"/>
        <v>0</v>
      </c>
      <c r="J56" s="748">
        <f t="shared" si="7"/>
        <v>0</v>
      </c>
      <c r="K56" s="748">
        <f t="shared" si="7"/>
        <v>72.96528637429796</v>
      </c>
      <c r="L56" s="748">
        <f t="shared" si="7"/>
        <v>0</v>
      </c>
      <c r="M56" s="748">
        <f t="shared" si="7"/>
        <v>0</v>
      </c>
      <c r="N56" s="748">
        <f t="shared" si="7"/>
        <v>0</v>
      </c>
      <c r="O56" s="748">
        <f t="shared" si="7"/>
        <v>0</v>
      </c>
      <c r="P56" s="748">
        <f t="shared" si="7"/>
        <v>0</v>
      </c>
      <c r="Q56" s="749">
        <f t="shared" si="7"/>
        <v>0</v>
      </c>
      <c r="R56" s="750">
        <f ca="1">SUM(R54:R55)</f>
        <v>2709.080735347974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28977.654453993578</v>
      </c>
      <c r="D61" s="756">
        <f t="shared" ref="D61:Q61" ca="1" si="8">D46+D52+D56</f>
        <v>1374.9579831932776</v>
      </c>
      <c r="E61" s="756">
        <f t="shared" ca="1" si="8"/>
        <v>43631.155146509715</v>
      </c>
      <c r="F61" s="756">
        <f t="shared" si="8"/>
        <v>3309.4629590381942</v>
      </c>
      <c r="G61" s="756">
        <f t="shared" ca="1" si="8"/>
        <v>9383.7695079202931</v>
      </c>
      <c r="H61" s="756">
        <f t="shared" si="8"/>
        <v>23520.558513360986</v>
      </c>
      <c r="I61" s="756">
        <f t="shared" si="8"/>
        <v>5059.5501714376578</v>
      </c>
      <c r="J61" s="756">
        <f t="shared" si="8"/>
        <v>0</v>
      </c>
      <c r="K61" s="756">
        <f t="shared" si="8"/>
        <v>171.12578250380005</v>
      </c>
      <c r="L61" s="756">
        <f t="shared" si="8"/>
        <v>0</v>
      </c>
      <c r="M61" s="756">
        <f t="shared" ca="1" si="8"/>
        <v>0</v>
      </c>
      <c r="N61" s="756">
        <f t="shared" si="8"/>
        <v>0</v>
      </c>
      <c r="O61" s="756">
        <f t="shared" ca="1" si="8"/>
        <v>0</v>
      </c>
      <c r="P61" s="756">
        <f t="shared" si="8"/>
        <v>0</v>
      </c>
      <c r="Q61" s="756">
        <f t="shared" si="8"/>
        <v>0</v>
      </c>
      <c r="R61" s="756">
        <f ca="1">R46+R52+R56</f>
        <v>115428.23451795752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0.20736997781980976</v>
      </c>
      <c r="D63" s="802">
        <f t="shared" ca="1" si="9"/>
        <v>0.23764705882352946</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12973.371117434504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4050</v>
      </c>
      <c r="D76" s="991">
        <f>'lokale energieproductie'!C8</f>
        <v>4764.7058823529414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962.47058823529426</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12973.371117434504</v>
      </c>
      <c r="C78" s="774">
        <f>SUM(C72:C77)</f>
        <v>4050</v>
      </c>
      <c r="D78" s="775">
        <f t="shared" ref="D78:H78" si="10">SUM(D76:D77)</f>
        <v>4764.7058823529414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962.47058823529426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5785.7142857142862</v>
      </c>
      <c r="D87" s="798">
        <f>'lokale energieproductie'!C17</f>
        <v>6806.722689075631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1374.9579831932776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5785.7142857142862</v>
      </c>
      <c r="D90" s="774">
        <f t="shared" ref="D90:H90" si="12">SUM(D87:D89)</f>
        <v>6806.722689075631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1374.9579831932776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12973.371117434504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4050</v>
      </c>
      <c r="C8" s="574">
        <f>B101</f>
        <v>4764.7058823529414</v>
      </c>
      <c r="D8" s="575"/>
      <c r="E8" s="575">
        <f>E101</f>
        <v>0</v>
      </c>
      <c r="F8" s="576"/>
      <c r="G8" s="577"/>
      <c r="H8" s="575">
        <f>I101</f>
        <v>0</v>
      </c>
      <c r="I8" s="575">
        <f>G101+F101</f>
        <v>0</v>
      </c>
      <c r="J8" s="575">
        <f>H101+D101+C101</f>
        <v>0</v>
      </c>
      <c r="K8" s="575"/>
      <c r="L8" s="575"/>
      <c r="M8" s="575"/>
      <c r="N8" s="578"/>
      <c r="O8" s="579">
        <f>C8*$C$12+D8*$D$12+E8*$E$12+F8*$F$12+G8*$G$12+H8*$H$12+I8*$I$12+J8*$J$12</f>
        <v>962.47058823529426</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17023.371117434504</v>
      </c>
      <c r="C10" s="589">
        <f t="shared" ref="C10:L10" si="0">SUM(C8:C9)</f>
        <v>4764.7058823529414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962.47058823529426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5785.7142857142862</v>
      </c>
      <c r="C17" s="605">
        <f>B102</f>
        <v>6806.722689075631</v>
      </c>
      <c r="D17" s="606"/>
      <c r="E17" s="606">
        <f>E102</f>
        <v>0</v>
      </c>
      <c r="F17" s="607"/>
      <c r="G17" s="608"/>
      <c r="H17" s="605">
        <f>I102</f>
        <v>0</v>
      </c>
      <c r="I17" s="606">
        <f>G102+F102</f>
        <v>0</v>
      </c>
      <c r="J17" s="606">
        <f>H102+D102+C102</f>
        <v>0</v>
      </c>
      <c r="K17" s="606"/>
      <c r="L17" s="606"/>
      <c r="M17" s="606"/>
      <c r="N17" s="1005"/>
      <c r="O17" s="609">
        <f>C17*$C$22+E17*$E$22+H17*$H$22+I17*$I$22+J17*$J$22+D17*$D$22+F17*$F$22+G17*$G$22+K17*$K$22+L17*$L$22</f>
        <v>1374.9579831932776</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5785.7142857142862</v>
      </c>
      <c r="C20" s="588">
        <f>SUM(C17:C19)</f>
        <v>6806.722689075631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1374.9579831932776</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12007</v>
      </c>
      <c r="C28" s="817">
        <v>2880</v>
      </c>
      <c r="D28" s="666" t="s">
        <v>882</v>
      </c>
      <c r="E28" s="665" t="s">
        <v>883</v>
      </c>
      <c r="F28" s="665" t="s">
        <v>884</v>
      </c>
      <c r="G28" s="665" t="s">
        <v>885</v>
      </c>
      <c r="H28" s="665" t="s">
        <v>886</v>
      </c>
      <c r="I28" s="665" t="s">
        <v>887</v>
      </c>
      <c r="J28" s="816">
        <v>42050</v>
      </c>
      <c r="K28" s="816">
        <v>42079</v>
      </c>
      <c r="L28" s="665" t="s">
        <v>888</v>
      </c>
      <c r="M28" s="665">
        <v>1200</v>
      </c>
      <c r="N28" s="665">
        <v>4050</v>
      </c>
      <c r="O28" s="665">
        <v>5785.7142857142862</v>
      </c>
      <c r="P28" s="665">
        <v>11571.428571428572</v>
      </c>
      <c r="Q28" s="665">
        <v>0</v>
      </c>
      <c r="R28" s="665">
        <v>0</v>
      </c>
      <c r="S28" s="665">
        <v>0</v>
      </c>
      <c r="T28" s="665">
        <v>0</v>
      </c>
      <c r="U28" s="665">
        <v>0</v>
      </c>
      <c r="V28" s="665">
        <v>0</v>
      </c>
      <c r="W28" s="665">
        <v>0</v>
      </c>
      <c r="X28" s="665">
        <v>500</v>
      </c>
      <c r="Y28" s="665" t="s">
        <v>40</v>
      </c>
      <c r="Z28" s="667" t="s">
        <v>388</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1200</v>
      </c>
      <c r="N58" s="623">
        <f>SUM(N28:N57)</f>
        <v>4050</v>
      </c>
      <c r="O58" s="623">
        <f t="shared" ref="O58:W58" si="2">SUM(O28:O57)</f>
        <v>5785.7142857142862</v>
      </c>
      <c r="P58" s="623">
        <f t="shared" si="2"/>
        <v>11571.428571428572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1200</v>
      </c>
      <c r="N59" s="623">
        <f t="shared" si="3"/>
        <v>4050</v>
      </c>
      <c r="O59" s="623">
        <f t="shared" si="3"/>
        <v>5785.7142857142862</v>
      </c>
      <c r="P59" s="623">
        <f t="shared" si="3"/>
        <v>11571.428571428572</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4764.7058823529414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6806.722689075631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35376.028295295793</v>
      </c>
      <c r="C4" s="478">
        <f>huishoudens!C8</f>
        <v>0</v>
      </c>
      <c r="D4" s="478">
        <f>huishoudens!D8</f>
        <v>93897.657717599999</v>
      </c>
      <c r="E4" s="478">
        <f>huishoudens!E8</f>
        <v>4826.7026592810125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18998.483261433441</v>
      </c>
      <c r="O4" s="478">
        <f>huishoudens!O8</f>
        <v>436.47080826514696</v>
      </c>
      <c r="P4" s="479">
        <f>huishoudens!P8</f>
        <v>526.69796538425112</v>
      </c>
      <c r="Q4" s="480">
        <f>SUM(B4:P4)</f>
        <v>154062.04070725964</v>
      </c>
    </row>
    <row r="5" spans="1:17">
      <c r="A5" s="477" t="s">
        <v>155</v>
      </c>
      <c r="B5" s="478">
        <f ca="1">tertiair!B16</f>
        <v>33709.295569999995</v>
      </c>
      <c r="C5" s="478">
        <f ca="1">tertiair!C16</f>
        <v>0</v>
      </c>
      <c r="D5" s="478">
        <f ca="1">tertiair!D16</f>
        <v>43471.654418346006</v>
      </c>
      <c r="E5" s="478">
        <f>tertiair!E16</f>
        <v>453.98670124789487</v>
      </c>
      <c r="F5" s="478">
        <f ca="1">tertiair!F16</f>
        <v>3819.0132922648427</v>
      </c>
      <c r="G5" s="478">
        <f>tertiair!G16</f>
        <v>0</v>
      </c>
      <c r="H5" s="478">
        <f>tertiair!H16</f>
        <v>0</v>
      </c>
      <c r="I5" s="478">
        <f>tertiair!I16</f>
        <v>0</v>
      </c>
      <c r="J5" s="478">
        <f>tertiair!J16</f>
        <v>5.9492505546509131E-2</v>
      </c>
      <c r="K5" s="478">
        <f>tertiair!K16</f>
        <v>0</v>
      </c>
      <c r="L5" s="478">
        <f ca="1">tertiair!L16</f>
        <v>0</v>
      </c>
      <c r="M5" s="478">
        <f>tertiair!M16</f>
        <v>0</v>
      </c>
      <c r="N5" s="478">
        <f ca="1">tertiair!N16</f>
        <v>2353.6450922265385</v>
      </c>
      <c r="O5" s="478">
        <f>tertiair!O16</f>
        <v>14.691782297523464</v>
      </c>
      <c r="P5" s="479">
        <f>tertiair!P16</f>
        <v>262.69569153247511</v>
      </c>
      <c r="Q5" s="477">
        <f t="shared" ref="Q5:Q14" ca="1" si="0">SUM(B5:P5)</f>
        <v>84085.042040420813</v>
      </c>
    </row>
    <row r="6" spans="1:17">
      <c r="A6" s="477" t="s">
        <v>193</v>
      </c>
      <c r="B6" s="478">
        <f>'openbare verlichting'!B8</f>
        <v>1626.7329999999999</v>
      </c>
      <c r="C6" s="478"/>
      <c r="D6" s="478"/>
      <c r="E6" s="478"/>
      <c r="F6" s="478"/>
      <c r="G6" s="478"/>
      <c r="H6" s="478"/>
      <c r="I6" s="478"/>
      <c r="J6" s="478"/>
      <c r="K6" s="478"/>
      <c r="L6" s="478"/>
      <c r="M6" s="478"/>
      <c r="N6" s="478"/>
      <c r="O6" s="478"/>
      <c r="P6" s="479"/>
      <c r="Q6" s="477">
        <f t="shared" si="0"/>
        <v>1626.7329999999999</v>
      </c>
    </row>
    <row r="7" spans="1:17">
      <c r="A7" s="477" t="s">
        <v>111</v>
      </c>
      <c r="B7" s="478">
        <f>landbouw!B8</f>
        <v>748.135898</v>
      </c>
      <c r="C7" s="478">
        <f>landbouw!C8</f>
        <v>0</v>
      </c>
      <c r="D7" s="478">
        <f>landbouw!D8</f>
        <v>951.93229091399996</v>
      </c>
      <c r="E7" s="478">
        <f>landbouw!E8</f>
        <v>23.349074671796288</v>
      </c>
      <c r="F7" s="478">
        <f>landbouw!F8</f>
        <v>2643.9951397911109</v>
      </c>
      <c r="G7" s="478">
        <f>landbouw!G8</f>
        <v>0</v>
      </c>
      <c r="H7" s="478">
        <f>landbouw!H8</f>
        <v>0</v>
      </c>
      <c r="I7" s="478">
        <f>landbouw!I8</f>
        <v>0</v>
      </c>
      <c r="J7" s="478">
        <f>landbouw!J8</f>
        <v>206.11662817598295</v>
      </c>
      <c r="K7" s="478">
        <f>landbouw!K8</f>
        <v>0</v>
      </c>
      <c r="L7" s="478">
        <f>landbouw!L8</f>
        <v>0</v>
      </c>
      <c r="M7" s="478">
        <f>landbouw!M8</f>
        <v>0</v>
      </c>
      <c r="N7" s="478">
        <f>landbouw!N8</f>
        <v>0</v>
      </c>
      <c r="O7" s="478">
        <f>landbouw!O8</f>
        <v>0</v>
      </c>
      <c r="P7" s="479">
        <f>landbouw!P8</f>
        <v>0</v>
      </c>
      <c r="Q7" s="477">
        <f t="shared" si="0"/>
        <v>4573.529031552891</v>
      </c>
    </row>
    <row r="8" spans="1:17">
      <c r="A8" s="477" t="s">
        <v>629</v>
      </c>
      <c r="B8" s="478">
        <f>industrie!B18</f>
        <v>66229.163855999999</v>
      </c>
      <c r="C8" s="478">
        <f>industrie!C18</f>
        <v>5785.7142857142862</v>
      </c>
      <c r="D8" s="478">
        <f>industrie!D18</f>
        <v>71626.562097991409</v>
      </c>
      <c r="E8" s="478">
        <f>industrie!E18</f>
        <v>9064.8411046236833</v>
      </c>
      <c r="F8" s="478">
        <f>industrie!F18</f>
        <v>28682.195717458249</v>
      </c>
      <c r="G8" s="478">
        <f>industrie!G18</f>
        <v>0</v>
      </c>
      <c r="H8" s="478">
        <f>industrie!H18</f>
        <v>0</v>
      </c>
      <c r="I8" s="478">
        <f>industrie!I18</f>
        <v>0</v>
      </c>
      <c r="J8" s="478">
        <f>industrie!J18</f>
        <v>277.23004458344241</v>
      </c>
      <c r="K8" s="478">
        <f>industrie!K18</f>
        <v>0</v>
      </c>
      <c r="L8" s="478">
        <f>industrie!L18</f>
        <v>0</v>
      </c>
      <c r="M8" s="478">
        <f>industrie!M18</f>
        <v>0</v>
      </c>
      <c r="N8" s="478">
        <f>industrie!N18</f>
        <v>3576.0463621125509</v>
      </c>
      <c r="O8" s="478">
        <f>industrie!O18</f>
        <v>0</v>
      </c>
      <c r="P8" s="479">
        <f>industrie!P18</f>
        <v>0</v>
      </c>
      <c r="Q8" s="477">
        <f t="shared" si="0"/>
        <v>185241.7534684836</v>
      </c>
    </row>
    <row r="9" spans="1:17" s="483" customFormat="1">
      <c r="A9" s="481" t="s">
        <v>555</v>
      </c>
      <c r="B9" s="482">
        <f>transport!B14</f>
        <v>68.434986248611111</v>
      </c>
      <c r="C9" s="482">
        <f>transport!C14</f>
        <v>0</v>
      </c>
      <c r="D9" s="482">
        <f>transport!D14</f>
        <v>272.69917512735339</v>
      </c>
      <c r="E9" s="482">
        <f>transport!E14</f>
        <v>210.25243831743751</v>
      </c>
      <c r="F9" s="482">
        <f>transport!F14</f>
        <v>0</v>
      </c>
      <c r="G9" s="482">
        <f>transport!G14</f>
        <v>87510.26800636515</v>
      </c>
      <c r="H9" s="482">
        <f>transport!H14</f>
        <v>20319.478600151237</v>
      </c>
      <c r="I9" s="482">
        <f>transport!I14</f>
        <v>0</v>
      </c>
      <c r="J9" s="482">
        <f>transport!J14</f>
        <v>0</v>
      </c>
      <c r="K9" s="482">
        <f>transport!K14</f>
        <v>0</v>
      </c>
      <c r="L9" s="482">
        <f>transport!L14</f>
        <v>0</v>
      </c>
      <c r="M9" s="482">
        <f>transport!M14</f>
        <v>6381.3869359626733</v>
      </c>
      <c r="N9" s="482">
        <f>transport!N14</f>
        <v>0</v>
      </c>
      <c r="O9" s="482">
        <f>transport!O14</f>
        <v>0</v>
      </c>
      <c r="P9" s="482">
        <f>transport!P14</f>
        <v>0</v>
      </c>
      <c r="Q9" s="481">
        <f>SUM(B9:P9)</f>
        <v>114762.52014217246</v>
      </c>
    </row>
    <row r="10" spans="1:17">
      <c r="A10" s="477" t="s">
        <v>545</v>
      </c>
      <c r="B10" s="478">
        <f>transport!B54</f>
        <v>0</v>
      </c>
      <c r="C10" s="478">
        <f>transport!C54</f>
        <v>0</v>
      </c>
      <c r="D10" s="478">
        <f>transport!D54</f>
        <v>0</v>
      </c>
      <c r="E10" s="478">
        <f>transport!E54</f>
        <v>0</v>
      </c>
      <c r="F10" s="478">
        <f>transport!F54</f>
        <v>0</v>
      </c>
      <c r="G10" s="478">
        <f>transport!G54</f>
        <v>581.71144442504487</v>
      </c>
      <c r="H10" s="478">
        <f>transport!H54</f>
        <v>0</v>
      </c>
      <c r="I10" s="478">
        <f>transport!I54</f>
        <v>0</v>
      </c>
      <c r="J10" s="478">
        <f>transport!J54</f>
        <v>0</v>
      </c>
      <c r="K10" s="478">
        <f>transport!K54</f>
        <v>0</v>
      </c>
      <c r="L10" s="478">
        <f>transport!L54</f>
        <v>0</v>
      </c>
      <c r="M10" s="478">
        <f>transport!M54</f>
        <v>32.331586443979546</v>
      </c>
      <c r="N10" s="478">
        <f>transport!N54</f>
        <v>0</v>
      </c>
      <c r="O10" s="478">
        <f>transport!O54</f>
        <v>0</v>
      </c>
      <c r="P10" s="479">
        <f>transport!P54</f>
        <v>0</v>
      </c>
      <c r="Q10" s="477">
        <f t="shared" si="0"/>
        <v>614.04303086902439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1981.1173659999999</v>
      </c>
      <c r="C14" s="485"/>
      <c r="D14" s="485">
        <f>'SEAP template'!E25</f>
        <v>5775.3118569999997</v>
      </c>
      <c r="E14" s="485"/>
      <c r="F14" s="485"/>
      <c r="G14" s="485"/>
      <c r="H14" s="485"/>
      <c r="I14" s="485"/>
      <c r="J14" s="485"/>
      <c r="K14" s="485"/>
      <c r="L14" s="485"/>
      <c r="M14" s="485"/>
      <c r="N14" s="485"/>
      <c r="O14" s="485"/>
      <c r="P14" s="486"/>
      <c r="Q14" s="477">
        <f t="shared" si="0"/>
        <v>7756.4292229999992</v>
      </c>
    </row>
    <row r="15" spans="1:17" s="489" customFormat="1">
      <c r="A15" s="487" t="s">
        <v>549</v>
      </c>
      <c r="B15" s="488">
        <f ca="1">SUM(B4:B14)</f>
        <v>139738.90897154438</v>
      </c>
      <c r="C15" s="488">
        <f t="shared" ref="C15:Q15" ca="1" si="1">SUM(C4:C14)</f>
        <v>5785.7142857142862</v>
      </c>
      <c r="D15" s="488">
        <f t="shared" ca="1" si="1"/>
        <v>215995.81755697876</v>
      </c>
      <c r="E15" s="488">
        <f t="shared" si="1"/>
        <v>14579.131978141824</v>
      </c>
      <c r="F15" s="488">
        <f t="shared" ca="1" si="1"/>
        <v>35145.204149514204</v>
      </c>
      <c r="G15" s="488">
        <f t="shared" si="1"/>
        <v>88091.979450790197</v>
      </c>
      <c r="H15" s="488">
        <f t="shared" si="1"/>
        <v>20319.478600151237</v>
      </c>
      <c r="I15" s="488">
        <f t="shared" si="1"/>
        <v>0</v>
      </c>
      <c r="J15" s="488">
        <f t="shared" si="1"/>
        <v>483.40616526497183</v>
      </c>
      <c r="K15" s="488">
        <f t="shared" si="1"/>
        <v>0</v>
      </c>
      <c r="L15" s="488">
        <f t="shared" ca="1" si="1"/>
        <v>0</v>
      </c>
      <c r="M15" s="488">
        <f t="shared" si="1"/>
        <v>6413.7185224066525</v>
      </c>
      <c r="N15" s="488">
        <f t="shared" ca="1" si="1"/>
        <v>24928.174715772533</v>
      </c>
      <c r="O15" s="488">
        <f t="shared" si="1"/>
        <v>451.1625905626704</v>
      </c>
      <c r="P15" s="488">
        <f t="shared" si="1"/>
        <v>789.39365691672629</v>
      </c>
      <c r="Q15" s="488">
        <f t="shared" ca="1" si="1"/>
        <v>552722.0906437583</v>
      </c>
    </row>
    <row r="17" spans="1:17">
      <c r="A17" s="490" t="s">
        <v>550</v>
      </c>
      <c r="B17" s="807">
        <f ca="1">huishoudens!B10</f>
        <v>0.20736997781980979</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7335.9262029484516</v>
      </c>
      <c r="C22" s="478">
        <f t="shared" ref="C22:C32" ca="1" si="3">C4*$C$17</f>
        <v>0</v>
      </c>
      <c r="D22" s="478">
        <f t="shared" ref="D22:D32" si="4">D4*$D$17</f>
        <v>18967.326858955203</v>
      </c>
      <c r="E22" s="478">
        <f t="shared" ref="E22:E32" si="5">E4*$E$17</f>
        <v>1095.6615036567898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27398.914565560444</v>
      </c>
    </row>
    <row r="23" spans="1:17">
      <c r="A23" s="477" t="s">
        <v>155</v>
      </c>
      <c r="B23" s="478">
        <f t="shared" ca="1" si="2"/>
        <v>6990.2958746723116</v>
      </c>
      <c r="C23" s="478">
        <f t="shared" ca="1" si="3"/>
        <v>0</v>
      </c>
      <c r="D23" s="478">
        <f t="shared" ca="1" si="4"/>
        <v>8781.2741925058945</v>
      </c>
      <c r="E23" s="478">
        <f t="shared" si="5"/>
        <v>103.05498118327213</v>
      </c>
      <c r="F23" s="478">
        <f t="shared" ca="1" si="6"/>
        <v>1019.676549034713</v>
      </c>
      <c r="G23" s="478">
        <f t="shared" si="7"/>
        <v>0</v>
      </c>
      <c r="H23" s="478">
        <f t="shared" si="8"/>
        <v>0</v>
      </c>
      <c r="I23" s="478">
        <f t="shared" si="9"/>
        <v>0</v>
      </c>
      <c r="J23" s="478">
        <f t="shared" si="10"/>
        <v>2.1060346963464233E-2</v>
      </c>
      <c r="K23" s="478">
        <f t="shared" si="11"/>
        <v>0</v>
      </c>
      <c r="L23" s="478">
        <f t="shared" ca="1" si="12"/>
        <v>0</v>
      </c>
      <c r="M23" s="478">
        <f t="shared" si="13"/>
        <v>0</v>
      </c>
      <c r="N23" s="478">
        <f t="shared" ca="1" si="14"/>
        <v>0</v>
      </c>
      <c r="O23" s="478">
        <f t="shared" si="15"/>
        <v>0</v>
      </c>
      <c r="P23" s="479">
        <f t="shared" si="16"/>
        <v>0</v>
      </c>
      <c r="Q23" s="477">
        <f t="shared" ref="Q23:Q31" ca="1" si="17">SUM(B23:P23)</f>
        <v>16894.322657743156</v>
      </c>
    </row>
    <row r="24" spans="1:17">
      <c r="A24" s="477" t="s">
        <v>193</v>
      </c>
      <c r="B24" s="478">
        <f t="shared" ca="1" si="2"/>
        <v>337.3355861287526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337.3355861287526</v>
      </c>
    </row>
    <row r="25" spans="1:17">
      <c r="A25" s="477" t="s">
        <v>111</v>
      </c>
      <c r="B25" s="478">
        <f t="shared" ca="1" si="2"/>
        <v>155.14092457446347</v>
      </c>
      <c r="C25" s="478">
        <f t="shared" ca="1" si="3"/>
        <v>0</v>
      </c>
      <c r="D25" s="478">
        <f t="shared" si="4"/>
        <v>192.290322764628</v>
      </c>
      <c r="E25" s="478">
        <f t="shared" si="5"/>
        <v>5.3002399504977573</v>
      </c>
      <c r="F25" s="478">
        <f t="shared" si="6"/>
        <v>705.94670232422664</v>
      </c>
      <c r="G25" s="478">
        <f t="shared" si="7"/>
        <v>0</v>
      </c>
      <c r="H25" s="478">
        <f t="shared" si="8"/>
        <v>0</v>
      </c>
      <c r="I25" s="478">
        <f t="shared" si="9"/>
        <v>0</v>
      </c>
      <c r="J25" s="478">
        <f t="shared" si="10"/>
        <v>72.96528637429796</v>
      </c>
      <c r="K25" s="478">
        <f t="shared" si="11"/>
        <v>0</v>
      </c>
      <c r="L25" s="478">
        <f t="shared" si="12"/>
        <v>0</v>
      </c>
      <c r="M25" s="478">
        <f t="shared" si="13"/>
        <v>0</v>
      </c>
      <c r="N25" s="478">
        <f t="shared" si="14"/>
        <v>0</v>
      </c>
      <c r="O25" s="478">
        <f t="shared" si="15"/>
        <v>0</v>
      </c>
      <c r="P25" s="479">
        <f t="shared" si="16"/>
        <v>0</v>
      </c>
      <c r="Q25" s="477">
        <f t="shared" ca="1" si="17"/>
        <v>1131.6434759881138</v>
      </c>
    </row>
    <row r="26" spans="1:17">
      <c r="A26" s="477" t="s">
        <v>629</v>
      </c>
      <c r="B26" s="478">
        <f t="shared" ca="1" si="2"/>
        <v>13733.940239843269</v>
      </c>
      <c r="C26" s="478">
        <f t="shared" ca="1" si="3"/>
        <v>1374.9579831932776</v>
      </c>
      <c r="D26" s="478">
        <f t="shared" si="4"/>
        <v>14468.565543794266</v>
      </c>
      <c r="E26" s="478">
        <f t="shared" si="5"/>
        <v>2057.718930749576</v>
      </c>
      <c r="F26" s="478">
        <f t="shared" si="6"/>
        <v>7658.1462565613529</v>
      </c>
      <c r="G26" s="478">
        <f t="shared" si="7"/>
        <v>0</v>
      </c>
      <c r="H26" s="478">
        <f t="shared" si="8"/>
        <v>0</v>
      </c>
      <c r="I26" s="478">
        <f t="shared" si="9"/>
        <v>0</v>
      </c>
      <c r="J26" s="478">
        <f t="shared" si="10"/>
        <v>98.139435782538612</v>
      </c>
      <c r="K26" s="478">
        <f t="shared" si="11"/>
        <v>0</v>
      </c>
      <c r="L26" s="478">
        <f t="shared" si="12"/>
        <v>0</v>
      </c>
      <c r="M26" s="478">
        <f t="shared" si="13"/>
        <v>0</v>
      </c>
      <c r="N26" s="478">
        <f t="shared" si="14"/>
        <v>0</v>
      </c>
      <c r="O26" s="478">
        <f t="shared" si="15"/>
        <v>0</v>
      </c>
      <c r="P26" s="479">
        <f t="shared" si="16"/>
        <v>0</v>
      </c>
      <c r="Q26" s="477">
        <f t="shared" ca="1" si="17"/>
        <v>39391.468389924281</v>
      </c>
    </row>
    <row r="27" spans="1:17" s="483" customFormat="1">
      <c r="A27" s="481" t="s">
        <v>555</v>
      </c>
      <c r="B27" s="801">
        <f t="shared" ca="1" si="2"/>
        <v>14.191361580473474</v>
      </c>
      <c r="C27" s="482">
        <f t="shared" ca="1" si="3"/>
        <v>0</v>
      </c>
      <c r="D27" s="482">
        <f t="shared" si="4"/>
        <v>55.085233375725387</v>
      </c>
      <c r="E27" s="482">
        <f t="shared" si="5"/>
        <v>47.727303498058319</v>
      </c>
      <c r="F27" s="482">
        <f t="shared" si="6"/>
        <v>0</v>
      </c>
      <c r="G27" s="482">
        <f t="shared" si="7"/>
        <v>23365.241557699497</v>
      </c>
      <c r="H27" s="482">
        <f t="shared" si="8"/>
        <v>5059.5501714376578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28541.795627591415</v>
      </c>
    </row>
    <row r="28" spans="1:17" ht="16.5" customHeight="1">
      <c r="A28" s="477" t="s">
        <v>545</v>
      </c>
      <c r="B28" s="478">
        <f t="shared" ca="1" si="2"/>
        <v>0</v>
      </c>
      <c r="C28" s="478">
        <f t="shared" ca="1" si="3"/>
        <v>0</v>
      </c>
      <c r="D28" s="478">
        <f t="shared" si="4"/>
        <v>0</v>
      </c>
      <c r="E28" s="478">
        <f t="shared" si="5"/>
        <v>0</v>
      </c>
      <c r="F28" s="478">
        <f t="shared" si="6"/>
        <v>0</v>
      </c>
      <c r="G28" s="478">
        <f t="shared" si="7"/>
        <v>155.31695566148699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155.31695566148699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410.82426424585998</v>
      </c>
      <c r="C32" s="478">
        <f t="shared" ca="1" si="3"/>
        <v>0</v>
      </c>
      <c r="D32" s="478">
        <f t="shared" si="4"/>
        <v>1166.6129951140001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1577.43725935986</v>
      </c>
    </row>
    <row r="33" spans="1:17" s="489" customFormat="1">
      <c r="A33" s="487" t="s">
        <v>549</v>
      </c>
      <c r="B33" s="488">
        <f ca="1">SUM(B22:B32)</f>
        <v>28977.654453993582</v>
      </c>
      <c r="C33" s="488">
        <f t="shared" ref="C33:Q33" ca="1" si="19">SUM(C22:C32)</f>
        <v>1374.9579831932776</v>
      </c>
      <c r="D33" s="488">
        <f t="shared" ca="1" si="19"/>
        <v>43631.155146509722</v>
      </c>
      <c r="E33" s="488">
        <f t="shared" si="19"/>
        <v>3309.4629590381942</v>
      </c>
      <c r="F33" s="488">
        <f t="shared" ca="1" si="19"/>
        <v>9383.7695079202931</v>
      </c>
      <c r="G33" s="488">
        <f t="shared" si="19"/>
        <v>23520.558513360986</v>
      </c>
      <c r="H33" s="488">
        <f t="shared" si="19"/>
        <v>5059.5501714376578</v>
      </c>
      <c r="I33" s="488">
        <f t="shared" si="19"/>
        <v>0</v>
      </c>
      <c r="J33" s="488">
        <f t="shared" si="19"/>
        <v>171.12578250380005</v>
      </c>
      <c r="K33" s="488">
        <f t="shared" si="19"/>
        <v>0</v>
      </c>
      <c r="L33" s="488">
        <f t="shared" ca="1" si="19"/>
        <v>0</v>
      </c>
      <c r="M33" s="488">
        <f t="shared" si="19"/>
        <v>0</v>
      </c>
      <c r="N33" s="488">
        <f t="shared" ca="1" si="19"/>
        <v>0</v>
      </c>
      <c r="O33" s="488">
        <f t="shared" si="19"/>
        <v>0</v>
      </c>
      <c r="P33" s="488">
        <f t="shared" si="19"/>
        <v>0</v>
      </c>
      <c r="Q33" s="488">
        <f t="shared" ca="1" si="19"/>
        <v>115428.23451795752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12973.371117434504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4050</v>
      </c>
      <c r="D8" s="1062">
        <f>'SEAP template'!D76</f>
        <v>4764.7058823529414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962.47058823529426</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12973.371117434504</v>
      </c>
      <c r="C10" s="1064">
        <f>SUM(C4:C9)</f>
        <v>4050</v>
      </c>
      <c r="D10" s="1064">
        <f t="shared" ref="D10:H10" si="0">SUM(D8:D9)</f>
        <v>4764.7058823529414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962.47058823529426</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0.20736997781980979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5785.7142857142862</v>
      </c>
      <c r="D17" s="1063">
        <f>'SEAP template'!D87</f>
        <v>6806.722689075631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1374.9579831932776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5785.7142857142862</v>
      </c>
      <c r="D20" s="1064">
        <f t="shared" ref="D20:H20" si="2">SUM(D17:D19)</f>
        <v>6806.722689075631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1374.9579831932776</v>
      </c>
    </row>
    <row r="21" spans="1:16">
      <c r="B21" s="913"/>
    </row>
    <row r="22" spans="1:16">
      <c r="A22" s="490" t="s">
        <v>815</v>
      </c>
      <c r="B22" s="807" t="s">
        <v>813</v>
      </c>
      <c r="C22" s="807">
        <f ca="1">'EF ele_warmte'!B22</f>
        <v>0.23764705882352946</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0.20736997781980979</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2019-06-29T17:08:08Z</dcterms:modified>
</cp:coreProperties>
</file>