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K10" l="1"/>
  <c r="L78" i="14"/>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J30"/>
  <c r="J32"/>
  <c r="G20" i="59"/>
  <c r="N30" i="48"/>
  <c r="N32"/>
  <c r="L6" i="17"/>
  <c r="L5" s="1"/>
  <c r="J15" i="16"/>
  <c r="D6" i="17"/>
  <c r="D8" s="1"/>
  <c r="D12" s="1"/>
  <c r="E54" i="14" s="1"/>
  <c r="O20" i="59"/>
  <c r="N20"/>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K15" i="48"/>
  <c r="I15"/>
  <c r="N78" i="14"/>
  <c r="N9" i="59"/>
  <c r="N10" s="1"/>
  <c r="M24" i="48"/>
  <c r="M32"/>
  <c r="E78" i="14"/>
  <c r="E9" i="59"/>
  <c r="E10" s="1"/>
  <c r="O78" i="14"/>
  <c r="O9" i="59"/>
  <c r="O10" s="1"/>
  <c r="G78" i="14"/>
  <c r="G9" i="59"/>
  <c r="G10" s="1"/>
  <c r="H90" i="14"/>
  <c r="H18" i="59"/>
  <c r="H20" s="1"/>
  <c r="I33" i="48"/>
  <c r="J16" i="14"/>
  <c r="J27" s="1"/>
  <c r="I20" i="15"/>
  <c r="J40" i="14" s="1"/>
  <c r="J7" i="48"/>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90" i="14" l="1"/>
  <c r="F17" i="59"/>
  <c r="F20" s="1"/>
  <c r="F78" i="14"/>
  <c r="F8" i="59"/>
  <c r="F10" s="1"/>
  <c r="G14" i="22"/>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15" i="48"/>
  <c r="O33"/>
  <c r="D90" i="14"/>
  <c r="D17" i="59"/>
  <c r="D20" s="1"/>
  <c r="I90" i="14"/>
  <c r="I17" i="59"/>
  <c r="I20" s="1"/>
  <c r="O15" i="48"/>
  <c r="E27" i="14"/>
  <c r="C10" i="18"/>
  <c r="B15" i="48"/>
  <c r="I76" i="14"/>
  <c r="I8" i="59" s="1"/>
  <c r="I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B22" i="6" l="1"/>
  <c r="C17" i="49" s="1"/>
  <c r="Q5" i="48"/>
  <c r="J90" i="14"/>
  <c r="J17" i="59"/>
  <c r="J20" s="1"/>
  <c r="Q90" i="14"/>
  <c r="B17" i="6" s="1"/>
  <c r="P17" i="59"/>
  <c r="P20" s="1"/>
  <c r="C18" i="15"/>
  <c r="C20" s="1"/>
  <c r="D40" i="14" s="1"/>
  <c r="C22" i="59"/>
  <c r="G33" i="48"/>
  <c r="Q9"/>
  <c r="H15"/>
  <c r="F22" i="16"/>
  <c r="G43" i="14" s="1"/>
  <c r="F8" i="48"/>
  <c r="F15" s="1"/>
  <c r="O13" i="14"/>
  <c r="O16" s="1"/>
  <c r="O27" s="1"/>
  <c r="C10" i="13"/>
  <c r="C12" s="1"/>
  <c r="C29" i="20"/>
  <c r="C17" i="19"/>
  <c r="C19" s="1"/>
  <c r="D39" i="14"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C16" i="22"/>
  <c r="C56"/>
  <c r="C58" s="1"/>
  <c r="D49" i="14" s="1"/>
  <c r="D52" s="1"/>
  <c r="C20" i="16"/>
  <c r="C22" s="1"/>
  <c r="D43" i="14" s="1"/>
  <c r="C10" i="17"/>
  <c r="C12" s="1"/>
  <c r="D54" i="14" s="1"/>
  <c r="D56"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<sst xmlns="http://schemas.openxmlformats.org/spreadsheetml/2006/main" count="2376" uniqueCount="887">
  <si>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</si>
  <si>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</si>
  <si>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</si>
  <si>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</si>
  <si>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</si>
  <si>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</si>
  <si>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</si>
  <si>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</si>
  <si>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</si>
  <si>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</si>
  <si>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</si>
  <si>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</si>
  <si>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</si>
  <si>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</si>
  <si>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</si>
  <si>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</si>
  <si>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</si>
  <si>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</si>
  <si>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</si>
  <si>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</si>
  <si>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</si>
  <si>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</si>
  <si>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</si>
  <si>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</si>
  <si>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</si>
  <si>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</si>
  <si>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</si>
  <si>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</si>
  <si>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</si>
  <si>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</si>
  <si>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</si>
  <si>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</si>
  <si>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</si>
  <si>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</si>
  <si>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</si>
  <si>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</si>
  <si>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</si>
  <si>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</si>
  <si>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</si>
  <si>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</si>
  <si>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</si>
  <si>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</si>
  <si>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</si>
  <si>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</si>
  <si>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</si>
  <si>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</si>
  <si>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</si>
  <si>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</si>
  <si>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</si>
  <si>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</si>
  <si>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</si>
  <si>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</si>
  <si>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</si>
  <si>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</si>
  <si>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</si>
  <si>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</si>
  <si>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</si>
  <si>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</si>
  <si>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</si>
  <si>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</si>
  <si>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</si>
  <si>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</si>
  <si>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</si>
  <si>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</si>
  <si>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</si>
  <si>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</si>
  <si>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</si>
  <si>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</si>
  <si>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</si>
  <si>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</si>
  <si>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</si>
  <si>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</si>
  <si>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</si>
  <si>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</si>
  <si>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</si>
  <si>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</si>
  <si>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</si>
  <si>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</si>
  <si>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</si>
  <si>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</si>
  <si>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</si>
  <si>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</si>
  <si>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</si>
  <si>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</si>
  <si>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</si>
  <si>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</si>
  <si>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</si>
  <si>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</si>
  <si>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</si>
  <si>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</si>
  <si>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</si>
  <si>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</si>
  <si>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</si>
  <si>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</si>
  <si>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</si>
  <si>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</si>
  <si>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</si>
  <si>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</si>
  <si>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</si>
  <si>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</si>
  <si>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</si>
  <si>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</si>
  <si>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</si>
  <si>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</si>
  <si>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</si>
  <si>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</si>
  <si>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</si>
  <si>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</si>
  <si>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</si>
  <si>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</si>
  <si>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</si>
  <si>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</si>
  <si>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</si>
  <si>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</si>
  <si>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</si>
  <si>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</si>
  <si>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</si>
  <si>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</si>
  <si>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</si>
  <si>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</si>
  <si>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</si>
  <si>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</si>
  <si>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</si>
  <si>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</si>
  <si>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</si>
  <si>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</si>
  <si>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</si>
  <si>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</si>
  <si>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</si>
  <si>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</si>
  <si>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</si>
  <si>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</si>
  <si>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</si>
  <si>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</si>
  <si>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</si>
  <si>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</si>
  <si>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</si>
  <si>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</si>
  <si>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</si>
  <si>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</si>
  <si>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</si>
  <si>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</si>
  <si>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</si>
  <si>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</si>
  <si>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</si>
  <si>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</si>
  <si>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</si>
  <si>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</si>
  <si>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</si>
  <si>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</si>
  <si>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</si>
  <si>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</si>
  <si>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</si>
  <si>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</si>
  <si>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</si>
  <si>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</si>
  <si>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</si>
  <si>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</si>
  <si>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</si>
  <si>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</si>
  <si>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</si>
  <si>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</si>
  <si>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</si>
  <si>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</si>
  <si>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</si>
  <si>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</si>
  <si>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</si>
  <si>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</si>
  <si>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</si>
  <si>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</si>
  <si>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</si>
  <si>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</si>
  <si>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</si>
  <si>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</si>
  <si>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</si>
  <si>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</si>
  <si>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</si>
  <si>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</si>
  <si>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</si>
  <si>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</si>
  <si>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</si>
  <si>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</si>
  <si>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</si>
  <si>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</si>
  <si>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</si>
  <si>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</si>
  <si>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</si>
  <si>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</si>
  <si>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</si>
  <si>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</si>
  <si>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</si>
  <si>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</si>
  <si>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</si>
  <si>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</si>
  <si>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</si>
  <si>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</si>
  <si>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</si>
  <si>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</si>
  <si>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</si>
  <si>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</si>
  <si>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</si>
  <si>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</si>
  <si>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</si>
  <si>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</si>
  <si>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</si>
  <si>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</si>
  <si>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</si>
  <si>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</si>
  <si>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</si>
  <si>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</si>
  <si>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</si>
  <si>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</si>
  <si>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</si>
  <si>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</si>
  <si>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</si>
  <si>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</si>
  <si>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</si>
  <si>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</si>
  <si>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</si>
  <si>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</si>
  <si>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</si>
  <si>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</si>
  <si>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</si>
  <si>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</si>
  <si>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</si>
  <si>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</si>
  <si>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</si>
  <si>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</si>
  <si>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</si>
  <si>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</si>
  <si>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</si>
  <si>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</si>
  <si>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</si>
  <si>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</si>
  <si>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</si>
  <si>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</si>
  <si>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</si>
  <si>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</si>
  <si>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</si>
  <si>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</si>
  <si>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</si>
  <si>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</si>
  <si>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</si>
  <si>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</si>
  <si>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</si>
  <si>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</si>
  <si>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</si>
  <si>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</si>
  <si>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</si>
  <si>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</si>
  <si>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</si>
  <si>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</si>
  <si>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</si>
  <si>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</si>
  <si>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</si>
  <si>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</si>
  <si>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</si>
  <si>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</si>
  <si>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</si>
  <si>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</si>
  <si>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</si>
  <si>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</si>
  <si>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</si>
  <si>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</si>
  <si>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</si>
  <si>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</si>
  <si>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</si>
  <si>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</si>
  <si>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</si>
  <si>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</si>
  <si>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</si>
  <si>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</si>
  <si>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</si>
  <si>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</si>
  <si>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</si>
  <si>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</si>
  <si>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</si>
  <si>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</si>
  <si>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</si>
  <si>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</si>
  <si>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</si>
  <si>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</si>
  <si>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</si>
  <si>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</si>
  <si>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</si>
  <si>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</si>
  <si>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</si>
  <si>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</si>
  <si>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</si>
  <si>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</si>
  <si>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</si>
  <si>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</si>
  <si>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</si>
  <si>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</si>
  <si>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</si>
  <si>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</si>
  <si>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</si>
  <si>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</si>
  <si>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</si>
  <si>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</si>
  <si>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</si>
  <si>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</si>
  <si>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</si>
  <si>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</si>
  <si>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</si>
  <si>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</si>
  <si>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</si>
  <si>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</si>
  <si>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</si>
  <si>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</si>
  <si>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</si>
  <si>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</si>
  <si>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</si>
  <si>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</si>
  <si>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</si>
  <si>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</si>
  <si>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</si>
  <si>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</si>
  <si>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</si>
  <si>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</si>
  <si>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</si>
  <si>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</si>
  <si>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</si>
  <si>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</si>
  <si>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</si>
  <si>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</si>
  <si>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</si>
  <si>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</si>
  <si>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</si>
  <si>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</si>
  <si>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</si>
  <si>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</si>
  <si>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</si>
  <si>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</si>
  <si>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</si>
  <si>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</si>
  <si>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</si>
  <si>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</si>
  <si>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</si>
  <si>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</si>
  <si>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</si>
  <si>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</si>
  <si>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</si>
  <si>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</si>
  <si>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</si>
  <si>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</si>
  <si>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</si>
  <si>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</si>
  <si>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</si>
  <si>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</si>
  <si>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</si>
  <si>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</si>
  <si>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</si>
  <si>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</si>
  <si>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</si>
  <si>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</si>
  <si>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</si>
  <si>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</si>
  <si>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</si>
  <si>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</si>
  <si>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</si>
  <si>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</si>
  <si>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</si>
  <si>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</si>
  <si>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</si>
  <si>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</si>
  <si>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</si>
  <si>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</si>
  <si>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</si>
  <si>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</si>
  <si>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</si>
  <si>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</si>
  <si>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</si>
  <si>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</si>
  <si>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</si>
  <si>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</si>
  <si>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</si>
  <si>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</si>
  <si>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</si>
  <si>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</si>
  <si>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</si>
  <si>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</si>
  <si>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</si>
  <si>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</si>
  <si>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</si>
  <si>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</si>
  <si>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</si>
  <si>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</si>
  <si>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</si>
  <si>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</si>
  <si>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</si>
  <si>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</si>
  <si>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</si>
  <si>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</si>
  <si>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</si>
  <si>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</si>
  <si>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</si>
  <si>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</si>
  <si>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</si>
  <si>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</si>
  <si>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</si>
  <si>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</si>
  <si>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</si>
  <si>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</si>
  <si>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</si>
  <si>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</si>
  <si>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</si>
  <si>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</si>
  <si>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</si>
  <si>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</si>
  <si>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</si>
  <si>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</si>
  <si>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</si>
  <si>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</si>
  <si>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</si>
  <si>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</si>
  <si>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</si>
  <si>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</si>
  <si>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</si>
  <si>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</si>
  <si>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</si>
  <si>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</si>
  <si>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</si>
  <si>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</si>
  <si>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</si>
  <si>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</si>
  <si>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</si>
  <si>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</si>
  <si>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</si>
  <si>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</si>
  <si>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</si>
  <si>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</si>
  <si>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</si>
  <si>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</si>
  <si>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</si>
  <si>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</si>
  <si>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</si>
  <si>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</si>
  <si>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</si>
  <si>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</si>
  <si>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</si>
  <si>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</si>
  <si>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</si>
  <si>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</si>
  <si>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</si>
  <si>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</si>
  <si>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</si>
  <si>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</si>
  <si>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</si>
  <si>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</si>
  <si>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</si>
  <si>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</si>
  <si>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</si>
  <si>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</si>
  <si>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</si>
  <si>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</si>
  <si>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</si>
  <si>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</si>
  <si>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</si>
  <si>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</si>
  <si>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</si>
  <si>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</si>
  <si>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</si>
  <si>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</si>
  <si>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</si>
  <si>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</si>
  <si>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</si>
  <si>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</si>
  <si>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</si>
  <si>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</si>
  <si>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</si>
  <si>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</si>
  <si>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</si>
  <si>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</si>
  <si>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</si>
  <si>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</si>
  <si>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</si>
  <si>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</si>
  <si>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</si>
  <si>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</si>
  <si>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</si>
  <si>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</si>
  <si>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</si>
  <si>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</si>
  <si>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</si>
  <si>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</si>
  <si>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</si>
  <si>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</si>
  <si>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</si>
  <si>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</si>
  <si>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</si>
  <si>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</si>
  <si>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</si>
  <si>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</si>
  <si>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</si>
  <si>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</si>
  <si>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</si>
  <si>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</si>
  <si>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</si>
  <si>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</si>
  <si>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</si>
  <si>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</si>
  <si>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</si>
  <si>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</si>
  <si>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</si>
  <si>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</si>
  <si>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</si>
  <si>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</si>
  <si>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</si>
  <si>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</si>
  <si>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</si>
  <si>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</si>
  <si>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</si>
  <si>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</si>
  <si>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</si>
  <si>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</si>
  <si>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</si>
  <si>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</si>
  <si>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</si>
  <si>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</si>
  <si>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</si>
  <si>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</si>
  <si>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</si>
  <si>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</si>
  <si>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</si>
  <si>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</si>
  <si>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</si>
  <si>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</si>
  <si>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</si>
  <si>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</si>
  <si>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</si>
  <si>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</si>
  <si>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</si>
  <si>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</si>
  <si>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</si>
  <si>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</si>
  <si>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</si>
  <si>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</si>
  <si>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</si>
  <si>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</si>
  <si>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</si>
  <si>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</si>
  <si>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</si>
  <si>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</si>
  <si>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</si>
  <si>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</si>
  <si>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</si>
  <si>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</si>
  <si>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</si>
  <si>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</si>
  <si>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</si>
  <si>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</si>
  <si>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</si>
  <si>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</si>
  <si>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</si>
  <si>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</si>
  <si>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</si>
  <si>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</si>
  <si>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</si>
  <si>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</si>
  <si>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</si>
  <si>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</si>
  <si>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</si>
  <si>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</si>
  <si>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</si>
  <si>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</si>
  <si>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</si>
  <si>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</si>
  <si>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</si>
  <si>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</si>
  <si>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</si>
  <si>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</si>
  <si>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</si>
  <si>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</si>
  <si>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</si>
  <si>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</si>
  <si>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</si>
  <si>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</si>
  <si>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</si>
  <si>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</si>
  <si>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</si>
  <si>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</si>
  <si>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</si>
  <si>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</si>
  <si>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</si>
  <si>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</si>
  <si>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</si>
  <si>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</si>
  <si>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</si>
  <si>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</si>
  <si>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</si>
  <si>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</si>
  <si>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</si>
  <si>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</si>
  <si>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</si>
  <si>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</si>
  <si>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</si>
  <si>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</si>
  <si>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</si>
  <si>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</si>
  <si>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</si>
  <si>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</si>
  <si>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</si>
  <si>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</si>
  <si>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</si>
  <si>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</si>
  <si>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</si>
  <si>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</si>
  <si>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</si>
  <si>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</si>
  <si>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</si>
  <si>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</si>
  <si>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</si>
  <si>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</si>
  <si>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</si>
  <si>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</si>
  <si>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</si>
  <si>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</si>
  <si>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</si>
  <si>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</si>
  <si>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</si>
  <si>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</si>
  <si>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</si>
  <si>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</si>
  <si>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</si>
  <si>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</si>
  <si>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</si>
  <si>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</si>
  <si>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</si>
  <si>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</si>
  <si>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</si>
  <si>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</si>
  <si>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</si>
  <si>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</si>
  <si>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</si>
  <si>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</si>
  <si>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</si>
  <si>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</si>
  <si>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</si>
  <si>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</si>
  <si>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</si>
  <si>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</si>
  <si>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</si>
  <si>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</si>
  <si>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</si>
  <si>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</si>
  <si>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</si>
  <si>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</si>
  <si>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</si>
  <si>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</si>
  <si>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</si>
  <si>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</si>
  <si>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</si>
  <si>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</si>
  <si>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</si>
  <si>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</si>
  <si>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</si>
  <si>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</si>
  <si>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</si>
  <si>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</si>
  <si>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</si>
  <si>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</si>
  <si>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</si>
  <si>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</si>
  <si>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</si>
  <si>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</si>
  <si>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</si>
  <si>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</si>
  <si>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</si>
  <si>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</si>
  <si>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</si>
  <si>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</si>
  <si>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</si>
  <si>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</si>
  <si>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</si>
  <si>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</si>
  <si>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</si>
  <si>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</si>
  <si>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</si>
  <si>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</si>
  <si>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</si>
  <si>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</si>
  <si>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</si>
  <si>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</si>
  <si>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</si>
  <si>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</si>
  <si>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</si>
  <si>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</si>
  <si>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</si>
  <si>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</si>
  <si>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</si>
  <si>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</si>
  <si>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</si>
  <si>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</si>
  <si>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</si>
  <si>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</si>
  <si>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</si>
  <si>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</si>
  <si>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</si>
  <si>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</si>
  <si>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</si>
  <si>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</si>
  <si>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</si>
  <si>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</si>
  <si>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</si>
  <si>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</si>
  <si>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</si>
  <si>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</si>
  <si>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</si>
  <si>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</si>
  <si>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</si>
  <si>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</si>
  <si>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</si>
  <si>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</si>
  <si>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</si>
  <si>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</si>
  <si>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</si>
  <si>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</si>
  <si>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</si>
  <si>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</si>
  <si>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</si>
  <si>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</si>
  <si>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</si>
  <si>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</si>
  <si>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</si>
  <si>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</si>
  <si>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</si>
  <si>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</si>
  <si>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</si>
  <si>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</si>
  <si>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</si>
  <si>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</si>
  <si>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</si>
  <si>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</si>
  <si>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</si>
  <si>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</si>
  <si>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</si>
  <si>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</si>
  <si>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</si>
  <si>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</si>
  <si>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</si>
  <si>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</si>
  <si>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</si>
  <si>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</si>
  <si>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</si>
  <si>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</si>
  <si>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</si>
  <si>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</si>
  <si>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</si>
  <si>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</si>
  <si>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</si>
  <si>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</si>
  <si>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</si>
  <si>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</si>
  <si>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</si>
  <si>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</si>
  <si>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</si>
  <si>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</si>
  <si>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</si>
  <si>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</si>
  <si>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</si>
  <si>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</si>
  <si>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</si>
  <si>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</si>
  <si>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</si>
  <si>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</si>
  <si>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</si>
  <si>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</si>
  <si>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</si>
  <si>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</si>
  <si>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</si>
  <si>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</si>
  <si>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</si>
  <si>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</si>
  <si>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</si>
  <si>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</si>
  <si>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</si>
  <si>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</si>
  <si>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</si>
  <si>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</si>
  <si>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</si>
  <si>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</si>
  <si>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</si>
  <si>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</si>
  <si>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</si>
  <si>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</si>
  <si>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</si>
  <si>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</si>
  <si>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</si>
  <si>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</si>
  <si>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</si>
  <si>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</si>
  <si>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</si>
  <si>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</si>
  <si>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</si>
  <si>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</si>
  <si>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</si>
  <si>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</si>
  <si>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</si>
  <si>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</si>
  <si>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</si>
  <si>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</si>
  <si>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</si>
  <si>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</si>
  <si>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</si>
  <si>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</si>
  <si>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</si>
  <si>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</si>
  <si>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</si>
  <si>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</si>
  <si>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</si>
  <si>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</si>
  <si>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</si>
  <si>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</si>
  <si>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</si>
  <si>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</si>
  <si>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</si>
  <si>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</si>
  <si>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</si>
  <si>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</si>
  <si>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</si>
  <si>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</si>
  <si>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</si>
  <si>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</si>
  <si>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</si>
  <si>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</si>
  <si>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</si>
  <si>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</si>
  <si>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</si>
  <si>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</si>
  <si>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</si>
  <si>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</si>
  <si>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</si>
  <si>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</si>
  <si>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</si>
  <si>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</si>
  <si>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</si>
  <si>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</si>
  <si>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</si>
  <si>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</si>
  <si>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</si>
  <si>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</si>
  <si>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</si>
  <si>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</si>
  <si>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</si>
  <si>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</si>
  <si>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</si>
  <si>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</si>
  <si>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</si>
  <si>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</si>
  <si>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</si>
  <si>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</si>
  <si>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</si>
  <si>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</si>
  <si>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</si>
  <si>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</si>
  <si>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</si>
  <si>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</si>
  <si>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</si>
  <si>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</si>
  <si>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</si>
  <si>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</si>
  <si>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</si>
  <si>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</si>
  <si>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</si>
  <si>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</si>
  <si>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</si>
  <si>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</si>
  <si>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</si>
  <si>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</si>
  <si>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</si>
  <si>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</si>
  <si>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</si>
  <si>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</si>
  <si>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11040</t>
  </si>
  <si>
    <t>SCHOTEN</t>
  </si>
  <si>
    <t>Mestbank (maart 2019)</t>
  </si>
  <si>
    <t>Fluvius (februari 2019)</t>
  </si>
  <si>
    <t>referentietaak LNE (2017); Jaarverslag De Lijn (2018)</t>
  </si>
  <si>
    <t>VEA (30 april 2019)</t>
  </si>
  <si>
    <t>VEA (mei 2018)</t>
  </si>
  <si>
    <t>VEA (mei 2019)</t>
  </si>
  <si>
    <t>Dokters De Beuckeleer - Callens BVBA</t>
  </si>
  <si>
    <t>Meeuwenlei 10 , 2900 Schoten</t>
  </si>
  <si>
    <t>WKK-0670 De Beuckeleer - Callens</t>
  </si>
  <si>
    <t>brandstofcel</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</si>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</sst>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246495.24360130855</c:v>
                </c:pt>
                <c:pt idx="1">
                  <c:v>112269.57386647227</c:v>
                </c:pt>
                <c:pt idx="2">
                  <c:v>1487.9639999999999</c:v>
                </c:pt>
                <c:pt idx="3">
                  <c:v>1891.9815112989786</c:v>
                </c:pt>
                <c:pt idx="4">
                  <c:v>154714.15503932943</c:v>
                </c:pt>
                <c:pt idx="5">
                  <c:v>339349.45118861663</c:v>
                </c:pt>
                <c:pt idx="6">
                  <c:v>3633.2598109851383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46784"/>
        <c:axId val="181848320"/>
      </c:barChart>
      <c:catAx>
        <c:axId val="181846784"/>
        <c:scaling>
          <c:orientation val="minMax"/>
        </c:scaling>
        <c:axPos val="b"/>
        <c:numFmt formatCode="General" sourceLinked="0"/>
        <c:tickLblPos val="nextTo"/>
        <c:crossAx val="181848320"/>
        <c:crosses val="autoZero"/>
        <c:auto val="1"/>
        <c:lblAlgn val="ctr"/>
        <c:lblOffset val="100"/>
      </c:catAx>
      <c:valAx>
        <c:axId val="181848320"/>
        <c:scaling>
          <c:orientation val="minMax"/>
        </c:scaling>
        <c:axPos val="l"/>
        <c:majorGridlines/>
        <c:numFmt formatCode="#,##0" sourceLinked="1"/>
        <c:tickLblPos val="nextTo"/>
        <c:crossAx val="181846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246495.24360130855</c:v>
                </c:pt>
                <c:pt idx="1">
                  <c:v>112269.57386647227</c:v>
                </c:pt>
                <c:pt idx="2">
                  <c:v>1487.9639999999999</c:v>
                </c:pt>
                <c:pt idx="3">
                  <c:v>1891.9815112989786</c:v>
                </c:pt>
                <c:pt idx="4">
                  <c:v>154714.15503932943</c:v>
                </c:pt>
                <c:pt idx="5">
                  <c:v>339349.45118861663</c:v>
                </c:pt>
                <c:pt idx="6">
                  <c:v>3633.2598109851383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48123.676290978357</c:v>
                </c:pt>
                <c:pt idx="1">
                  <c:v>23351.329332784426</c:v>
                </c:pt>
                <c:pt idx="2">
                  <c:v>319.17738395184239</c:v>
                </c:pt>
                <c:pt idx="3">
                  <c:v>455.90168194529144</c:v>
                </c:pt>
                <c:pt idx="4">
                  <c:v>31908.521886775688</c:v>
                </c:pt>
                <c:pt idx="5">
                  <c:v>84562.485672123599</c:v>
                </c:pt>
                <c:pt idx="6">
                  <c:v>919.00212949376862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97632"/>
        <c:axId val="182273152"/>
      </c:barChart>
      <c:catAx>
        <c:axId val="182197632"/>
        <c:scaling>
          <c:orientation val="minMax"/>
        </c:scaling>
        <c:axPos val="b"/>
        <c:numFmt formatCode="General" sourceLinked="0"/>
        <c:tickLblPos val="nextTo"/>
        <c:crossAx val="182273152"/>
        <c:crosses val="autoZero"/>
        <c:auto val="1"/>
        <c:lblAlgn val="ctr"/>
        <c:lblOffset val="100"/>
      </c:catAx>
      <c:valAx>
        <c:axId val="182273152"/>
        <c:scaling>
          <c:orientation val="minMax"/>
        </c:scaling>
        <c:axPos val="l"/>
        <c:majorGridlines/>
        <c:numFmt formatCode="#,##0" sourceLinked="1"/>
        <c:tickLblPos val="nextTo"/>
        <c:crossAx val="182197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48123.676290978357</c:v>
                </c:pt>
                <c:pt idx="1">
                  <c:v>23351.329332784426</c:v>
                </c:pt>
                <c:pt idx="2">
                  <c:v>319.17738395184239</c:v>
                </c:pt>
                <c:pt idx="3">
                  <c:v>455.90168194529144</c:v>
                </c:pt>
                <c:pt idx="4">
                  <c:v>31908.521886775688</c:v>
                </c:pt>
                <c:pt idx="5">
                  <c:v>84562.485672123599</c:v>
                </c:pt>
                <c:pt idx="6">
                  <c:v>919.00212949376862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11040</v>
      </c>
      <c r="B6" s="415"/>
      <c r="C6" s="416"/>
    </row>
    <row r="7" spans="1:7" s="413" customFormat="1" ht="15.75" customHeight="1">
      <c r="A7" s="417" t="str">
        <f>txtMunicipality</f>
        <v>SCHOTEN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0.21450611973935013</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0.21450611973935013</v>
      </c>
      <c r="C29" s="528">
        <f ca="1">'EF ele_warmte'!B22</f>
        <v>0.22444444444444442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14457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171.01</v>
      </c>
    </row>
    <row r="15" spans="1:6">
      <c r="A15" s="348" t="s">
        <v>183</v>
      </c>
      <c r="B15" s="334">
        <v>2</v>
      </c>
    </row>
    <row r="16" spans="1:6">
      <c r="A16" s="348" t="s">
        <v>6</v>
      </c>
      <c r="B16" s="334">
        <v>0</v>
      </c>
    </row>
    <row r="17" spans="1:6">
      <c r="A17" s="348" t="s">
        <v>7</v>
      </c>
      <c r="B17" s="334">
        <v>42</v>
      </c>
    </row>
    <row r="18" spans="1:6">
      <c r="A18" s="348" t="s">
        <v>8</v>
      </c>
      <c r="B18" s="334">
        <v>25</v>
      </c>
    </row>
    <row r="19" spans="1:6">
      <c r="A19" s="348" t="s">
        <v>9</v>
      </c>
      <c r="B19" s="334">
        <v>31</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27</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3</v>
      </c>
      <c r="D38" s="334">
        <v>867508.75199999998</v>
      </c>
      <c r="E38" s="334">
        <v>5</v>
      </c>
      <c r="F38" s="334">
        <v>1385820.639</v>
      </c>
    </row>
    <row r="39" spans="1:6">
      <c r="A39" s="348" t="s">
        <v>29</v>
      </c>
      <c r="B39" s="348" t="s">
        <v>30</v>
      </c>
      <c r="C39" s="334">
        <v>11741</v>
      </c>
      <c r="D39" s="334">
        <v>192733646.19999999</v>
      </c>
      <c r="E39" s="334">
        <v>14354</v>
      </c>
      <c r="F39" s="334">
        <v>53275685.229999997</v>
      </c>
    </row>
    <row r="40" spans="1:6">
      <c r="A40" s="348" t="s">
        <v>29</v>
      </c>
      <c r="B40" s="348" t="s">
        <v>28</v>
      </c>
      <c r="C40" s="334">
        <v>0</v>
      </c>
      <c r="D40" s="334">
        <v>0</v>
      </c>
      <c r="E40" s="334">
        <v>0</v>
      </c>
      <c r="F40" s="334">
        <v>0</v>
      </c>
    </row>
    <row r="41" spans="1:6">
      <c r="A41" s="348" t="s">
        <v>31</v>
      </c>
      <c r="B41" s="348" t="s">
        <v>32</v>
      </c>
      <c r="C41" s="334">
        <v>152</v>
      </c>
      <c r="D41" s="334">
        <v>6257486.6799999997</v>
      </c>
      <c r="E41" s="334">
        <v>265</v>
      </c>
      <c r="F41" s="334">
        <v>5543459.5449999999</v>
      </c>
    </row>
    <row r="42" spans="1:6">
      <c r="A42" s="348" t="s">
        <v>31</v>
      </c>
      <c r="B42" s="348" t="s">
        <v>33</v>
      </c>
      <c r="C42" s="334">
        <v>3</v>
      </c>
      <c r="D42" s="334">
        <v>733136.66599999997</v>
      </c>
      <c r="E42" s="334">
        <v>0</v>
      </c>
      <c r="F42" s="334">
        <v>0</v>
      </c>
    </row>
    <row r="43" spans="1:6">
      <c r="A43" s="348" t="s">
        <v>31</v>
      </c>
      <c r="B43" s="348" t="s">
        <v>34</v>
      </c>
      <c r="C43" s="334">
        <v>0</v>
      </c>
      <c r="D43" s="334">
        <v>0</v>
      </c>
      <c r="E43" s="334">
        <v>0</v>
      </c>
      <c r="F43" s="334">
        <v>0</v>
      </c>
    </row>
    <row r="44" spans="1:6">
      <c r="A44" s="348" t="s">
        <v>31</v>
      </c>
      <c r="B44" s="348" t="s">
        <v>35</v>
      </c>
      <c r="C44" s="334">
        <v>7</v>
      </c>
      <c r="D44" s="334">
        <v>339761.179</v>
      </c>
      <c r="E44" s="334">
        <v>22</v>
      </c>
      <c r="F44" s="334">
        <v>517453.62900000002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9</v>
      </c>
      <c r="D47" s="334">
        <v>258622.68</v>
      </c>
      <c r="E47" s="334">
        <v>11</v>
      </c>
      <c r="F47" s="334">
        <v>297231.011</v>
      </c>
    </row>
    <row r="48" spans="1:6">
      <c r="A48" s="348" t="s">
        <v>31</v>
      </c>
      <c r="B48" s="348" t="s">
        <v>28</v>
      </c>
      <c r="C48" s="334">
        <v>36</v>
      </c>
      <c r="D48" s="334">
        <v>54865046.909999996</v>
      </c>
      <c r="E48" s="334">
        <v>47</v>
      </c>
      <c r="F48" s="334">
        <v>9503651.4240000006</v>
      </c>
    </row>
    <row r="49" spans="1:6">
      <c r="A49" s="348" t="s">
        <v>31</v>
      </c>
      <c r="B49" s="348" t="s">
        <v>39</v>
      </c>
      <c r="C49" s="334">
        <v>3</v>
      </c>
      <c r="D49" s="334">
        <v>74642.657000000007</v>
      </c>
      <c r="E49" s="334">
        <v>4</v>
      </c>
      <c r="F49" s="334">
        <v>36744.313999999998</v>
      </c>
    </row>
    <row r="50" spans="1:6">
      <c r="A50" s="348" t="s">
        <v>31</v>
      </c>
      <c r="B50" s="348" t="s">
        <v>40</v>
      </c>
      <c r="C50" s="334">
        <v>18</v>
      </c>
      <c r="D50" s="334">
        <v>42327882.310000002</v>
      </c>
      <c r="E50" s="334">
        <v>31</v>
      </c>
      <c r="F50" s="334">
        <v>31438386.579999998</v>
      </c>
    </row>
    <row r="51" spans="1:6">
      <c r="A51" s="348" t="s">
        <v>41</v>
      </c>
      <c r="B51" s="348" t="s">
        <v>42</v>
      </c>
      <c r="C51" s="334">
        <v>3</v>
      </c>
      <c r="D51" s="334">
        <v>117545.18399999999</v>
      </c>
      <c r="E51" s="334">
        <v>10</v>
      </c>
      <c r="F51" s="334">
        <v>234895.04399999999</v>
      </c>
    </row>
    <row r="52" spans="1:6">
      <c r="A52" s="348" t="s">
        <v>41</v>
      </c>
      <c r="B52" s="348" t="s">
        <v>28</v>
      </c>
      <c r="C52" s="334">
        <v>4</v>
      </c>
      <c r="D52" s="334">
        <v>591182.10800000001</v>
      </c>
      <c r="E52" s="334">
        <v>3</v>
      </c>
      <c r="F52" s="334">
        <v>23884.993999999999</v>
      </c>
    </row>
    <row r="53" spans="1:6">
      <c r="A53" s="348" t="s">
        <v>43</v>
      </c>
      <c r="B53" s="348" t="s">
        <v>44</v>
      </c>
      <c r="C53" s="334">
        <v>256</v>
      </c>
      <c r="D53" s="334">
        <v>20657095.390000001</v>
      </c>
      <c r="E53" s="334">
        <v>540</v>
      </c>
      <c r="F53" s="334">
        <v>2244676.2880000002</v>
      </c>
    </row>
    <row r="54" spans="1:6">
      <c r="A54" s="348" t="s">
        <v>45</v>
      </c>
      <c r="B54" s="348" t="s">
        <v>46</v>
      </c>
      <c r="C54" s="334">
        <v>0</v>
      </c>
      <c r="D54" s="334">
        <v>0</v>
      </c>
      <c r="E54" s="334">
        <v>1</v>
      </c>
      <c r="F54" s="334">
        <v>1487964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73</v>
      </c>
      <c r="D57" s="334">
        <v>3345521.2659999998</v>
      </c>
      <c r="E57" s="334">
        <v>115</v>
      </c>
      <c r="F57" s="334">
        <v>1336550.389</v>
      </c>
    </row>
    <row r="58" spans="1:6">
      <c r="A58" s="348" t="s">
        <v>48</v>
      </c>
      <c r="B58" s="348" t="s">
        <v>50</v>
      </c>
      <c r="C58" s="334">
        <v>77</v>
      </c>
      <c r="D58" s="334">
        <v>3626218.0389999999</v>
      </c>
      <c r="E58" s="334">
        <v>113</v>
      </c>
      <c r="F58" s="334">
        <v>1407747.358</v>
      </c>
    </row>
    <row r="59" spans="1:6">
      <c r="A59" s="348" t="s">
        <v>48</v>
      </c>
      <c r="B59" s="348" t="s">
        <v>51</v>
      </c>
      <c r="C59" s="334">
        <v>249</v>
      </c>
      <c r="D59" s="334">
        <v>16386634.25</v>
      </c>
      <c r="E59" s="334">
        <v>426</v>
      </c>
      <c r="F59" s="334">
        <v>22544678.559999999</v>
      </c>
    </row>
    <row r="60" spans="1:6">
      <c r="A60" s="348" t="s">
        <v>48</v>
      </c>
      <c r="B60" s="348" t="s">
        <v>52</v>
      </c>
      <c r="C60" s="334">
        <v>107</v>
      </c>
      <c r="D60" s="334">
        <v>5252299.6919999998</v>
      </c>
      <c r="E60" s="334">
        <v>132</v>
      </c>
      <c r="F60" s="334">
        <v>3323806.969</v>
      </c>
    </row>
    <row r="61" spans="1:6">
      <c r="A61" s="348" t="s">
        <v>48</v>
      </c>
      <c r="B61" s="348" t="s">
        <v>53</v>
      </c>
      <c r="C61" s="334">
        <v>477</v>
      </c>
      <c r="D61" s="334">
        <v>27135011.579999998</v>
      </c>
      <c r="E61" s="334">
        <v>936</v>
      </c>
      <c r="F61" s="334">
        <v>13406442.560000001</v>
      </c>
    </row>
    <row r="62" spans="1:6">
      <c r="A62" s="348" t="s">
        <v>48</v>
      </c>
      <c r="B62" s="348" t="s">
        <v>54</v>
      </c>
      <c r="C62" s="334">
        <v>24</v>
      </c>
      <c r="D62" s="334">
        <v>4229740.9359999998</v>
      </c>
      <c r="E62" s="334">
        <v>30</v>
      </c>
      <c r="F62" s="334">
        <v>746131.94900000002</v>
      </c>
    </row>
    <row r="63" spans="1:6">
      <c r="A63" s="348" t="s">
        <v>48</v>
      </c>
      <c r="B63" s="348" t="s">
        <v>28</v>
      </c>
      <c r="C63" s="334">
        <v>119</v>
      </c>
      <c r="D63" s="334">
        <v>5922438.3540000003</v>
      </c>
      <c r="E63" s="334">
        <v>100</v>
      </c>
      <c r="F63" s="334">
        <v>3090089.7910000002</v>
      </c>
    </row>
    <row r="64" spans="1:6">
      <c r="A64" s="348" t="s">
        <v>55</v>
      </c>
      <c r="B64" s="348" t="s">
        <v>56</v>
      </c>
      <c r="C64" s="334">
        <v>0</v>
      </c>
      <c r="D64" s="334">
        <v>0</v>
      </c>
      <c r="E64" s="334">
        <v>0</v>
      </c>
      <c r="F64" s="334">
        <v>0</v>
      </c>
    </row>
    <row r="65" spans="1:6">
      <c r="A65" s="348" t="s">
        <v>55</v>
      </c>
      <c r="B65" s="348" t="s">
        <v>28</v>
      </c>
      <c r="C65" s="334">
        <v>4</v>
      </c>
      <c r="D65" s="334">
        <v>186480.86199999999</v>
      </c>
      <c r="E65" s="334">
        <v>5</v>
      </c>
      <c r="F65" s="334">
        <v>20689.163</v>
      </c>
    </row>
    <row r="66" spans="1:6">
      <c r="A66" s="348" t="s">
        <v>55</v>
      </c>
      <c r="B66" s="348" t="s">
        <v>57</v>
      </c>
      <c r="C66" s="334">
        <v>5</v>
      </c>
      <c r="D66" s="334">
        <v>140911.552</v>
      </c>
      <c r="E66" s="334">
        <v>30</v>
      </c>
      <c r="F66" s="334">
        <v>480285.14299999998</v>
      </c>
    </row>
    <row r="67" spans="1:6">
      <c r="A67" s="355" t="s">
        <v>55</v>
      </c>
      <c r="B67" s="355" t="s">
        <v>58</v>
      </c>
      <c r="C67" s="334">
        <v>0</v>
      </c>
      <c r="D67" s="334">
        <v>0</v>
      </c>
      <c r="E67" s="334">
        <v>0</v>
      </c>
      <c r="F67" s="334">
        <v>0</v>
      </c>
    </row>
    <row r="68" spans="1:6">
      <c r="A68" s="341" t="s">
        <v>55</v>
      </c>
      <c r="B68" s="341" t="s">
        <v>59</v>
      </c>
      <c r="C68" s="334">
        <v>3</v>
      </c>
      <c r="D68" s="334">
        <v>95778.437000000005</v>
      </c>
      <c r="E68" s="334">
        <v>6</v>
      </c>
      <c r="F68" s="334">
        <v>27582.216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85279636</v>
      </c>
      <c r="E73" s="476"/>
    </row>
    <row r="74" spans="1:6">
      <c r="A74" s="348" t="s">
        <v>63</v>
      </c>
      <c r="B74" s="348" t="s">
        <v>651</v>
      </c>
      <c r="C74" s="1307" t="s">
        <v>653</v>
      </c>
      <c r="D74" s="476">
        <v>3289726</v>
      </c>
      <c r="E74" s="476"/>
    </row>
    <row r="75" spans="1:6">
      <c r="A75" s="348" t="s">
        <v>64</v>
      </c>
      <c r="B75" s="348" t="s">
        <v>650</v>
      </c>
      <c r="C75" s="1307" t="s">
        <v>654</v>
      </c>
      <c r="D75" s="476">
        <v>43270414</v>
      </c>
      <c r="E75" s="476"/>
    </row>
    <row r="76" spans="1:6">
      <c r="A76" s="348" t="s">
        <v>64</v>
      </c>
      <c r="B76" s="348" t="s">
        <v>651</v>
      </c>
      <c r="C76" s="1307" t="s">
        <v>655</v>
      </c>
      <c r="D76" s="476">
        <v>1184672</v>
      </c>
      <c r="E76" s="476"/>
    </row>
    <row r="77" spans="1:6">
      <c r="A77" s="348" t="s">
        <v>65</v>
      </c>
      <c r="B77" s="348" t="s">
        <v>650</v>
      </c>
      <c r="C77" s="1307" t="s">
        <v>656</v>
      </c>
      <c r="D77" s="476">
        <v>191986634</v>
      </c>
      <c r="E77" s="476"/>
    </row>
    <row r="78" spans="1:6">
      <c r="A78" s="341" t="s">
        <v>65</v>
      </c>
      <c r="B78" s="341" t="s">
        <v>651</v>
      </c>
      <c r="C78" s="341" t="s">
        <v>657</v>
      </c>
      <c r="D78" s="1308">
        <v>41291926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1009366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3308.9112047940221</v>
      </c>
    </row>
    <row r="92" spans="1:6">
      <c r="A92" s="341" t="s">
        <v>68</v>
      </c>
      <c r="B92" s="342">
        <v>1218.9864901546748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8882</v>
      </c>
    </row>
    <row r="98" spans="1:6">
      <c r="A98" s="348" t="s">
        <v>71</v>
      </c>
      <c r="B98" s="334">
        <v>10</v>
      </c>
    </row>
    <row r="99" spans="1:6">
      <c r="A99" s="348" t="s">
        <v>72</v>
      </c>
      <c r="B99" s="334">
        <v>48</v>
      </c>
    </row>
    <row r="100" spans="1:6">
      <c r="A100" s="348" t="s">
        <v>73</v>
      </c>
      <c r="B100" s="334">
        <v>1173</v>
      </c>
    </row>
    <row r="101" spans="1:6">
      <c r="A101" s="348" t="s">
        <v>74</v>
      </c>
      <c r="B101" s="334">
        <v>81</v>
      </c>
    </row>
    <row r="102" spans="1:6">
      <c r="A102" s="348" t="s">
        <v>75</v>
      </c>
      <c r="B102" s="334">
        <v>212</v>
      </c>
    </row>
    <row r="103" spans="1:6">
      <c r="A103" s="348" t="s">
        <v>76</v>
      </c>
      <c r="B103" s="334">
        <v>170</v>
      </c>
    </row>
    <row r="104" spans="1:6">
      <c r="A104" s="348" t="s">
        <v>77</v>
      </c>
      <c r="B104" s="334">
        <v>2394</v>
      </c>
    </row>
    <row r="105" spans="1:6">
      <c r="A105" s="341" t="s">
        <v>78</v>
      </c>
      <c r="B105" s="341">
        <v>15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3</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45</v>
      </c>
      <c r="C123" s="334">
        <v>32</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153</v>
      </c>
    </row>
    <row r="130" spans="1:6">
      <c r="A130" s="348" t="s">
        <v>294</v>
      </c>
      <c r="B130" s="334">
        <v>1</v>
      </c>
    </row>
    <row r="131" spans="1:6">
      <c r="A131" s="348" t="s">
        <v>295</v>
      </c>
      <c r="B131" s="334">
        <v>0</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153946.7100667996</v>
      </c>
      <c r="C3" s="43" t="s">
        <v>169</v>
      </c>
      <c r="D3" s="43"/>
      <c r="E3" s="154"/>
      <c r="F3" s="43"/>
      <c r="G3" s="43"/>
      <c r="H3" s="43"/>
      <c r="I3" s="43"/>
      <c r="J3" s="43"/>
      <c r="K3" s="96"/>
    </row>
    <row r="4" spans="1:11">
      <c r="A4" s="383" t="s">
        <v>170</v>
      </c>
      <c r="B4" s="49">
        <f>IF(ISERROR('SEAP template'!B78),0,'SEAP template'!B78)</f>
        <v>4527.8976949486969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0.95388888888888879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0.21450611973935013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1.3663813813813812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6.0878378378378377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0.22444444444444442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1487.9639999999999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1487.9639999999999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0.21450611973935013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319.17738395184239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53275.685229999995</v>
      </c>
      <c r="C5" s="17">
        <f>IF(ISERROR('Eigen informatie GS &amp; warmtenet'!B59),0,'Eigen informatie GS &amp; warmtenet'!B59)</f>
        <v>0</v>
      </c>
      <c r="D5" s="30">
        <f>(SUM(HH_hh_gas_kWh,HH_rest_gas_kWh)/1000)*0.902</f>
        <v>173845.7488724</v>
      </c>
      <c r="E5" s="17">
        <f>B46*B57</f>
        <v>3828.6026454133148</v>
      </c>
      <c r="F5" s="17">
        <f>B51*B62</f>
        <v>0</v>
      </c>
      <c r="G5" s="18"/>
      <c r="H5" s="17"/>
      <c r="I5" s="17"/>
      <c r="J5" s="17">
        <f>B50*B61+C50*C61</f>
        <v>0</v>
      </c>
      <c r="K5" s="17"/>
      <c r="L5" s="17"/>
      <c r="M5" s="17"/>
      <c r="N5" s="17">
        <f>B48*B59+C48*C59</f>
        <v>11180.588106676338</v>
      </c>
      <c r="O5" s="17">
        <f>B69*B70*B71</f>
        <v>371.00018702537494</v>
      </c>
      <c r="P5" s="17">
        <f>B77*B78*B79/1000-B77*B78*B79/1000/B80</f>
        <v>684.70735499952639</v>
      </c>
    </row>
    <row r="6" spans="1:16">
      <c r="A6" s="16" t="s">
        <v>615</v>
      </c>
      <c r="B6" s="809">
        <f>kWh_PV_kleiner_dan_10kW</f>
        <v>3308.9112047940221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56584.596434794017</v>
      </c>
      <c r="C8" s="21">
        <f>C5</f>
        <v>0</v>
      </c>
      <c r="D8" s="21">
        <f>D5</f>
        <v>173845.7488724</v>
      </c>
      <c r="E8" s="21">
        <f>E5</f>
        <v>3828.6026454133148</v>
      </c>
      <c r="F8" s="21">
        <f>F5</f>
        <v>0</v>
      </c>
      <c r="G8" s="21"/>
      <c r="H8" s="21"/>
      <c r="I8" s="21"/>
      <c r="J8" s="21">
        <f>J5</f>
        <v>0</v>
      </c>
      <c r="K8" s="21"/>
      <c r="L8" s="21">
        <f>L5</f>
        <v>0</v>
      </c>
      <c r="M8" s="21">
        <f>M5</f>
        <v>0</v>
      </c>
      <c r="N8" s="21">
        <f>N5</f>
        <v>11180.588106676338</v>
      </c>
      <c r="O8" s="21">
        <f>O5</f>
        <v>371.00018702537494</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0.21450611973935013</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12137.74221824473</v>
      </c>
      <c r="C12" s="23">
        <f ca="1">C10*C8</f>
        <v>0</v>
      </c>
      <c r="D12" s="23">
        <f>D8*D10</f>
        <v>35116.841272224803</v>
      </c>
      <c r="E12" s="23">
        <f>E10*E8</f>
        <v>869.09280050882251</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8882</v>
      </c>
      <c r="C18" s="166" t="s">
        <v>110</v>
      </c>
      <c r="D18" s="228"/>
      <c r="E18" s="15"/>
    </row>
    <row r="19" spans="1:7">
      <c r="A19" s="171" t="s">
        <v>71</v>
      </c>
      <c r="B19" s="37">
        <f>aantalw2001_ander</f>
        <v>10</v>
      </c>
      <c r="C19" s="166" t="s">
        <v>110</v>
      </c>
      <c r="D19" s="229"/>
      <c r="E19" s="15"/>
    </row>
    <row r="20" spans="1:7">
      <c r="A20" s="171" t="s">
        <v>72</v>
      </c>
      <c r="B20" s="37">
        <f>aantalw2001_propaan</f>
        <v>48</v>
      </c>
      <c r="C20" s="167">
        <f>IF(ISERROR(B20/SUM($B$20,$B$21,$B$22)*100),0,B20/SUM($B$20,$B$21,$B$22)*100)</f>
        <v>3.6866359447004609</v>
      </c>
      <c r="D20" s="229"/>
      <c r="E20" s="15"/>
    </row>
    <row r="21" spans="1:7">
      <c r="A21" s="171" t="s">
        <v>73</v>
      </c>
      <c r="B21" s="37">
        <f>aantalw2001_elektriciteit</f>
        <v>1173</v>
      </c>
      <c r="C21" s="167">
        <f>IF(ISERROR(B21/SUM($B$20,$B$21,$B$22)*100),0,B21/SUM($B$20,$B$21,$B$22)*100)</f>
        <v>90.092165898617509</v>
      </c>
      <c r="D21" s="229"/>
      <c r="E21" s="15"/>
    </row>
    <row r="22" spans="1:7">
      <c r="A22" s="171" t="s">
        <v>74</v>
      </c>
      <c r="B22" s="37">
        <f>aantalw2001_hout</f>
        <v>81</v>
      </c>
      <c r="C22" s="167">
        <f>IF(ISERROR(B22/SUM($B$20,$B$21,$B$22)*100),0,B22/SUM($B$20,$B$21,$B$22)*100)</f>
        <v>6.2211981566820276</v>
      </c>
      <c r="D22" s="229"/>
      <c r="E22" s="15"/>
    </row>
    <row r="23" spans="1:7">
      <c r="A23" s="171" t="s">
        <v>75</v>
      </c>
      <c r="B23" s="37">
        <f>aantalw2001_niet_gespec</f>
        <v>212</v>
      </c>
      <c r="C23" s="166" t="s">
        <v>110</v>
      </c>
      <c r="D23" s="228"/>
      <c r="E23" s="15"/>
    </row>
    <row r="24" spans="1:7">
      <c r="A24" s="171" t="s">
        <v>76</v>
      </c>
      <c r="B24" s="37">
        <f>aantalw2001_steenkool</f>
        <v>170</v>
      </c>
      <c r="C24" s="166" t="s">
        <v>110</v>
      </c>
      <c r="D24" s="229"/>
      <c r="E24" s="15"/>
    </row>
    <row r="25" spans="1:7">
      <c r="A25" s="171" t="s">
        <v>77</v>
      </c>
      <c r="B25" s="37">
        <f>aantalw2001_stookolie</f>
        <v>2394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837</v>
      </c>
      <c r="B28" s="37">
        <f>aantalHuishoudens2011</f>
        <v>14457</v>
      </c>
      <c r="C28" s="36"/>
      <c r="D28" s="228"/>
    </row>
    <row r="29" spans="1:7" s="15" customFormat="1">
      <c r="A29" s="230" t="s">
        <v>838</v>
      </c>
      <c r="B29" s="37">
        <f>SUM(HH_hh_gas_aantal,HH_rest_gas_aantal)</f>
        <v>11741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11741</v>
      </c>
      <c r="C32" s="167">
        <f>IF(ISERROR(B32/SUM($B$32,$B$34,$B$35,$B$36,$B$38,$B$39)*100),0,B32/SUM($B$32,$B$34,$B$35,$B$36,$B$38,$B$39)*100)</f>
        <v>81.580044469149527</v>
      </c>
      <c r="D32" s="233"/>
      <c r="G32" s="15"/>
    </row>
    <row r="33" spans="1:7">
      <c r="A33" s="171" t="s">
        <v>71</v>
      </c>
      <c r="B33" s="34" t="s">
        <v>110</v>
      </c>
      <c r="C33" s="167"/>
      <c r="D33" s="233"/>
      <c r="G33" s="15"/>
    </row>
    <row r="34" spans="1:7">
      <c r="A34" s="171" t="s">
        <v>72</v>
      </c>
      <c r="B34" s="33">
        <f>IF((($B$28-$B$32-$B$39-$B$77-$B$38)*C20/100)&lt;0,0,($B$28-$B$32-$B$39-$B$77-$B$38)*C20/100)</f>
        <v>97.73271889400921</v>
      </c>
      <c r="C34" s="167">
        <f>IF(ISERROR(B34/SUM($B$32,$B$34,$B$35,$B$36,$B$38,$B$39)*100),0,B34/SUM($B$32,$B$34,$B$35,$B$36,$B$38,$B$39)*100)</f>
        <v>0.67907670159817413</v>
      </c>
      <c r="D34" s="233"/>
      <c r="G34" s="15"/>
    </row>
    <row r="35" spans="1:7">
      <c r="A35" s="171" t="s">
        <v>73</v>
      </c>
      <c r="B35" s="33">
        <f>IF((($B$28-$B$32-$B$39-$B$77-$B$38)*C21/100)&lt;0,0,($B$28-$B$32-$B$39-$B$77-$B$38)*C21/100)</f>
        <v>2388.3433179723502</v>
      </c>
      <c r="C35" s="167">
        <f>IF(ISERROR(B35/SUM($B$32,$B$34,$B$35,$B$36,$B$38,$B$39)*100),0,B35/SUM($B$32,$B$34,$B$35,$B$36,$B$38,$B$39)*100)</f>
        <v>16.594936895305381</v>
      </c>
      <c r="D35" s="233"/>
      <c r="G35" s="15"/>
    </row>
    <row r="36" spans="1:7">
      <c r="A36" s="171" t="s">
        <v>74</v>
      </c>
      <c r="B36" s="33">
        <f>IF((($B$28-$B$32-$B$39-$B$77-$B$38)*C22/100)&lt;0,0,($B$28-$B$32-$B$39-$B$77-$B$38)*C22/100)</f>
        <v>164.92396313364054</v>
      </c>
      <c r="C36" s="167">
        <f>IF(ISERROR(B36/SUM($B$32,$B$34,$B$35,$B$36,$B$38,$B$39)*100),0,B36/SUM($B$32,$B$34,$B$35,$B$36,$B$38,$B$39)*100)</f>
        <v>1.1459419339469188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11741</v>
      </c>
      <c r="C44" s="34" t="s">
        <v>110</v>
      </c>
      <c r="D44" s="174"/>
    </row>
    <row r="45" spans="1:7">
      <c r="A45" s="171" t="s">
        <v>71</v>
      </c>
      <c r="B45" s="33" t="str">
        <f t="shared" si="0"/>
        <v>-</v>
      </c>
      <c r="C45" s="34" t="s">
        <v>110</v>
      </c>
      <c r="D45" s="174"/>
    </row>
    <row r="46" spans="1:7">
      <c r="A46" s="171" t="s">
        <v>72</v>
      </c>
      <c r="B46" s="33">
        <f t="shared" si="0"/>
        <v>97.73271889400921</v>
      </c>
      <c r="C46" s="34" t="s">
        <v>110</v>
      </c>
      <c r="D46" s="174"/>
    </row>
    <row r="47" spans="1:7">
      <c r="A47" s="171" t="s">
        <v>73</v>
      </c>
      <c r="B47" s="33">
        <f t="shared" si="0"/>
        <v>2388.3433179723502</v>
      </c>
      <c r="C47" s="34" t="s">
        <v>110</v>
      </c>
      <c r="D47" s="174"/>
    </row>
    <row r="48" spans="1:7">
      <c r="A48" s="171" t="s">
        <v>74</v>
      </c>
      <c r="B48" s="33">
        <f t="shared" si="0"/>
        <v>164.92396313364054</v>
      </c>
      <c r="C48" s="33">
        <f>B48*10</f>
        <v>1649.2396313364054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45855.447575999999</v>
      </c>
      <c r="C5" s="17">
        <f>IF(ISERROR('Eigen informatie GS &amp; warmtenet'!B60),0,'Eigen informatie GS &amp; warmtenet'!B60)</f>
        <v>0</v>
      </c>
      <c r="D5" s="30">
        <f>SUM(D6:D12)</f>
        <v>59439.87343353399</v>
      </c>
      <c r="E5" s="17">
        <f>SUM(E6:E12)</f>
        <v>812.21544354864477</v>
      </c>
      <c r="F5" s="17">
        <f>SUM(F6:F12)</f>
        <v>4958.2770582381272</v>
      </c>
      <c r="G5" s="18"/>
      <c r="H5" s="17"/>
      <c r="I5" s="17"/>
      <c r="J5" s="17">
        <f>SUM(J6:J12)</f>
        <v>2.8611346005128352E-2</v>
      </c>
      <c r="K5" s="17"/>
      <c r="L5" s="17"/>
      <c r="M5" s="17"/>
      <c r="N5" s="17">
        <f>SUM(N6:N12)</f>
        <v>1147.4439933818339</v>
      </c>
      <c r="O5" s="17">
        <f>B38*B39*B40</f>
        <v>4.8972607658411542</v>
      </c>
      <c r="P5" s="17">
        <f>B46*B47*B48/1000-B46*B47*B48/1000/B49</f>
        <v>52.539138306495019</v>
      </c>
      <c r="R5" s="32"/>
    </row>
    <row r="6" spans="1:18">
      <c r="A6" s="32" t="s">
        <v>53</v>
      </c>
      <c r="B6" s="37">
        <f>B26</f>
        <v>13406.442560000001</v>
      </c>
      <c r="C6" s="33"/>
      <c r="D6" s="37">
        <f>IF(ISERROR(TER_kantoor_gas_kWh/1000),0,TER_kantoor_gas_kWh/1000)*0.902</f>
        <v>24475.780445159999</v>
      </c>
      <c r="E6" s="33">
        <f>$C$26*'E Balans VL '!I12/100/3.6*1000000</f>
        <v>107.87734483619356</v>
      </c>
      <c r="F6" s="33">
        <f>$C$26*('E Balans VL '!L12+'E Balans VL '!N12)/100/3.6*1000000</f>
        <v>1639.0786342205229</v>
      </c>
      <c r="G6" s="34"/>
      <c r="H6" s="33"/>
      <c r="I6" s="33"/>
      <c r="J6" s="33">
        <f>$C$26*('E Balans VL '!D12+'E Balans VL '!E12)/100/3.6*1000000</f>
        <v>0</v>
      </c>
      <c r="K6" s="33"/>
      <c r="L6" s="33"/>
      <c r="M6" s="33"/>
      <c r="N6" s="33">
        <f>$C$26*'E Balans VL '!Y12/100/3.6*1000000</f>
        <v>7.2053026801598863</v>
      </c>
      <c r="O6" s="33"/>
      <c r="P6" s="33"/>
      <c r="R6" s="32"/>
    </row>
    <row r="7" spans="1:18">
      <c r="A7" s="32" t="s">
        <v>52</v>
      </c>
      <c r="B7" s="37">
        <f t="shared" ref="B7:B12" si="0">B27</f>
        <v>3323.8069690000002</v>
      </c>
      <c r="C7" s="33"/>
      <c r="D7" s="37">
        <f>IF(ISERROR(TER_horeca_gas_kWh/1000),0,TER_horeca_gas_kWh/1000)*0.902</f>
        <v>4737.5743221839994</v>
      </c>
      <c r="E7" s="33">
        <f>$C$27*'E Balans VL '!I9/100/3.6*1000000</f>
        <v>35.689525004065018</v>
      </c>
      <c r="F7" s="33">
        <f>$C$27*('E Balans VL '!L9+'E Balans VL '!N9)/100/3.6*1000000</f>
        <v>399.7733803968967</v>
      </c>
      <c r="G7" s="34"/>
      <c r="H7" s="33"/>
      <c r="I7" s="33"/>
      <c r="J7" s="33">
        <f>$C$27*('E Balans VL '!D9+'E Balans VL '!E9)/100/3.6*1000000</f>
        <v>0</v>
      </c>
      <c r="K7" s="33"/>
      <c r="L7" s="33"/>
      <c r="M7" s="33"/>
      <c r="N7" s="33">
        <f>$C$27*'E Balans VL '!Y9/100/3.6*1000000</f>
        <v>0.49830603039929738</v>
      </c>
      <c r="O7" s="33"/>
      <c r="P7" s="33"/>
      <c r="R7" s="32"/>
    </row>
    <row r="8" spans="1:18">
      <c r="A8" s="6" t="s">
        <v>51</v>
      </c>
      <c r="B8" s="37">
        <f t="shared" si="0"/>
        <v>22544.67856</v>
      </c>
      <c r="C8" s="33"/>
      <c r="D8" s="37">
        <f>IF(ISERROR(TER_handel_gas_kWh/1000),0,TER_handel_gas_kWh/1000)*0.902</f>
        <v>14780.7440935</v>
      </c>
      <c r="E8" s="33">
        <f>$C$28*'E Balans VL '!I13/100/3.6*1000000</f>
        <v>605.0301526865361</v>
      </c>
      <c r="F8" s="33">
        <f>$C$28*('E Balans VL '!L13+'E Balans VL '!N13)/100/3.6*1000000</f>
        <v>2151.4571795336237</v>
      </c>
      <c r="G8" s="34"/>
      <c r="H8" s="33"/>
      <c r="I8" s="33"/>
      <c r="J8" s="33">
        <f>$C$28*('E Balans VL '!D13+'E Balans VL '!E13)/100/3.6*1000000</f>
        <v>0</v>
      </c>
      <c r="K8" s="33"/>
      <c r="L8" s="33"/>
      <c r="M8" s="33"/>
      <c r="N8" s="33">
        <f>$C$28*'E Balans VL '!Y13/100/3.6*1000000</f>
        <v>8.9369669228697663</v>
      </c>
      <c r="O8" s="33"/>
      <c r="P8" s="33"/>
      <c r="R8" s="32"/>
    </row>
    <row r="9" spans="1:18">
      <c r="A9" s="32" t="s">
        <v>50</v>
      </c>
      <c r="B9" s="37">
        <f t="shared" si="0"/>
        <v>1407.7473580000001</v>
      </c>
      <c r="C9" s="33"/>
      <c r="D9" s="37">
        <f>IF(ISERROR(TER_gezond_gas_kWh/1000),0,TER_gezond_gas_kWh/1000)*0.902</f>
        <v>3270.8486711780001</v>
      </c>
      <c r="E9" s="33">
        <f>$C$29*'E Balans VL '!I10/100/3.6*1000000</f>
        <v>2.6385769313364715</v>
      </c>
      <c r="F9" s="33">
        <f>$C$29*('E Balans VL '!L10+'E Balans VL '!N10)/100/3.6*1000000</f>
        <v>115.72967753251466</v>
      </c>
      <c r="G9" s="34"/>
      <c r="H9" s="33"/>
      <c r="I9" s="33"/>
      <c r="J9" s="33">
        <f>$C$29*('E Balans VL '!D10+'E Balans VL '!E10)/100/3.6*1000000</f>
        <v>0</v>
      </c>
      <c r="K9" s="33"/>
      <c r="L9" s="33"/>
      <c r="M9" s="33"/>
      <c r="N9" s="33">
        <f>$C$29*'E Balans VL '!Y10/100/3.6*1000000</f>
        <v>10.953324775687852</v>
      </c>
      <c r="O9" s="33"/>
      <c r="P9" s="33"/>
      <c r="R9" s="32"/>
    </row>
    <row r="10" spans="1:18">
      <c r="A10" s="32" t="s">
        <v>49</v>
      </c>
      <c r="B10" s="37">
        <f t="shared" si="0"/>
        <v>1336.550389</v>
      </c>
      <c r="C10" s="33"/>
      <c r="D10" s="37">
        <f>IF(ISERROR(TER_ander_gas_kWh/1000),0,TER_ander_gas_kWh/1000)*0.902</f>
        <v>3017.6601819319999</v>
      </c>
      <c r="E10" s="33">
        <f>$C$30*'E Balans VL '!I14/100/3.6*1000000</f>
        <v>2.0603059676993341</v>
      </c>
      <c r="F10" s="33">
        <f>$C$30*('E Balans VL '!L14+'E Balans VL '!N14)/100/3.6*1000000</f>
        <v>207.49981686727068</v>
      </c>
      <c r="G10" s="34"/>
      <c r="H10" s="33"/>
      <c r="I10" s="33"/>
      <c r="J10" s="33">
        <f>$C$30*('E Balans VL '!D14+'E Balans VL '!E14)/100/3.6*1000000</f>
        <v>2.268935241246146E-2</v>
      </c>
      <c r="K10" s="33"/>
      <c r="L10" s="33"/>
      <c r="M10" s="33"/>
      <c r="N10" s="33">
        <f>$C$30*'E Balans VL '!Y14/100/3.6*1000000</f>
        <v>884.21890124397635</v>
      </c>
      <c r="O10" s="33"/>
      <c r="P10" s="33"/>
      <c r="R10" s="32"/>
    </row>
    <row r="11" spans="1:18">
      <c r="A11" s="32" t="s">
        <v>54</v>
      </c>
      <c r="B11" s="37">
        <f t="shared" si="0"/>
        <v>746.13194900000008</v>
      </c>
      <c r="C11" s="33"/>
      <c r="D11" s="37">
        <f>IF(ISERROR(TER_onderwijs_gas_kWh/1000),0,TER_onderwijs_gas_kWh/1000)*0.902</f>
        <v>3815.2263242720001</v>
      </c>
      <c r="E11" s="33">
        <f>$C$31*'E Balans VL '!I11/100/3.6*1000000</f>
        <v>19.031460822818399</v>
      </c>
      <c r="F11" s="33">
        <f>$C$31*('E Balans VL '!L11+'E Balans VL '!N11)/100/3.6*1000000</f>
        <v>89.729389728593944</v>
      </c>
      <c r="G11" s="34"/>
      <c r="H11" s="33"/>
      <c r="I11" s="33"/>
      <c r="J11" s="33">
        <f>$C$31*('E Balans VL '!D11+'E Balans VL '!E11)/100/3.6*1000000</f>
        <v>0</v>
      </c>
      <c r="K11" s="33"/>
      <c r="L11" s="33"/>
      <c r="M11" s="33"/>
      <c r="N11" s="33">
        <f>$C$31*'E Balans VL '!Y11/100/3.6*1000000</f>
        <v>1.6593792487995713</v>
      </c>
      <c r="O11" s="33"/>
      <c r="P11" s="33"/>
      <c r="R11" s="32"/>
    </row>
    <row r="12" spans="1:18">
      <c r="A12" s="32" t="s">
        <v>259</v>
      </c>
      <c r="B12" s="37">
        <f t="shared" si="0"/>
        <v>3090.0897910000003</v>
      </c>
      <c r="C12" s="33"/>
      <c r="D12" s="37">
        <f>IF(ISERROR(TER_rest_gas_kWh/1000),0,TER_rest_gas_kWh/1000)*0.902</f>
        <v>5342.0393953080002</v>
      </c>
      <c r="E12" s="33">
        <f>$C$32*'E Balans VL '!I8/100/3.6*1000000</f>
        <v>39.888077299995764</v>
      </c>
      <c r="F12" s="33">
        <f>$C$32*('E Balans VL '!L8+'E Balans VL '!N8)/100/3.6*1000000</f>
        <v>355.00897995870491</v>
      </c>
      <c r="G12" s="34"/>
      <c r="H12" s="33"/>
      <c r="I12" s="33"/>
      <c r="J12" s="33">
        <f>$C$32*('E Balans VL '!D8+'E Balans VL '!E8)/100/3.6*1000000</f>
        <v>5.9219935926668917E-3</v>
      </c>
      <c r="K12" s="33"/>
      <c r="L12" s="33"/>
      <c r="M12" s="33"/>
      <c r="N12" s="33">
        <f>$C$32*'E Balans VL '!Y8/100/3.6*1000000</f>
        <v>233.97181247994126</v>
      </c>
      <c r="O12" s="33"/>
      <c r="P12" s="33"/>
      <c r="R12" s="32"/>
    </row>
    <row r="13" spans="1:18">
      <c r="A13" s="16" t="s">
        <v>482</v>
      </c>
      <c r="B13" s="247">
        <f ca="1">'lokale energieproductie'!N91+'lokale energieproductie'!N60</f>
        <v>4.25</v>
      </c>
      <c r="C13" s="247">
        <f ca="1">'lokale energieproductie'!O91+'lokale energieproductie'!O60</f>
        <v>6.0878378378378377</v>
      </c>
      <c r="D13" s="310">
        <f ca="1">('lokale energieproductie'!P60+'lokale energieproductie'!P91)*(-1)</f>
        <v>-11.486486486486486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45859.697575999999</v>
      </c>
      <c r="C16" s="21">
        <f t="shared" ca="1" si="1"/>
        <v>6.0878378378378377</v>
      </c>
      <c r="D16" s="21">
        <f t="shared" ca="1" si="1"/>
        <v>59428.386947047504</v>
      </c>
      <c r="E16" s="21">
        <f t="shared" si="1"/>
        <v>812.21544354864477</v>
      </c>
      <c r="F16" s="21">
        <f t="shared" ca="1" si="1"/>
        <v>4958.2770582381272</v>
      </c>
      <c r="G16" s="21">
        <f t="shared" si="1"/>
        <v>0</v>
      </c>
      <c r="H16" s="21">
        <f t="shared" si="1"/>
        <v>0</v>
      </c>
      <c r="I16" s="21">
        <f t="shared" si="1"/>
        <v>0</v>
      </c>
      <c r="J16" s="21">
        <f t="shared" si="1"/>
        <v>2.8611346005128352E-2</v>
      </c>
      <c r="K16" s="21">
        <f t="shared" si="1"/>
        <v>0</v>
      </c>
      <c r="L16" s="21">
        <f t="shared" ca="1" si="1"/>
        <v>0</v>
      </c>
      <c r="M16" s="21">
        <f t="shared" si="1"/>
        <v>0</v>
      </c>
      <c r="N16" s="21">
        <f t="shared" ca="1" si="1"/>
        <v>1147.4439933818339</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0.21450611973935013</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9837.1857794478401</v>
      </c>
      <c r="C20" s="23">
        <f t="shared" ref="C20:P20" ca="1" si="2">C16*C18</f>
        <v>1.3663813813813812</v>
      </c>
      <c r="D20" s="23">
        <f t="shared" ca="1" si="2"/>
        <v>12004.534163303597</v>
      </c>
      <c r="E20" s="23">
        <f t="shared" si="2"/>
        <v>184.37290568554238</v>
      </c>
      <c r="F20" s="23">
        <f t="shared" ca="1" si="2"/>
        <v>1323.8599745495801</v>
      </c>
      <c r="G20" s="23">
        <f t="shared" si="2"/>
        <v>0</v>
      </c>
      <c r="H20" s="23">
        <f t="shared" si="2"/>
        <v>0</v>
      </c>
      <c r="I20" s="23">
        <f t="shared" si="2"/>
        <v>0</v>
      </c>
      <c r="J20" s="23">
        <f t="shared" si="2"/>
        <v>1.0128416485815436E-2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13406.442560000001</v>
      </c>
      <c r="C26" s="39">
        <f>IF(ISERROR(B26*3.6/1000000/'E Balans VL '!Z12*100),0,B26*3.6/1000000/'E Balans VL '!Z12*100)</f>
        <v>0.28440541342394843</v>
      </c>
      <c r="D26" s="237" t="s">
        <v>716</v>
      </c>
      <c r="F26" s="6"/>
    </row>
    <row r="27" spans="1:18">
      <c r="A27" s="231" t="s">
        <v>52</v>
      </c>
      <c r="B27" s="33">
        <f>IF(ISERROR(TER_horeca_ele_kWh/1000),0,TER_horeca_ele_kWh/1000)</f>
        <v>3323.8069690000002</v>
      </c>
      <c r="C27" s="39">
        <f>IF(ISERROR(B27*3.6/1000000/'E Balans VL '!Z9*100),0,B27*3.6/1000000/'E Balans VL '!Z9*100)</f>
        <v>0.25031210873153109</v>
      </c>
      <c r="D27" s="237" t="s">
        <v>716</v>
      </c>
      <c r="F27" s="6"/>
    </row>
    <row r="28" spans="1:18">
      <c r="A28" s="171" t="s">
        <v>51</v>
      </c>
      <c r="B28" s="33">
        <f>IF(ISERROR(TER_handel_ele_kWh/1000),0,TER_handel_ele_kWh/1000)</f>
        <v>22544.67856</v>
      </c>
      <c r="C28" s="39">
        <f>IF(ISERROR(B28*3.6/1000000/'E Balans VL '!Z13*100),0,B28*3.6/1000000/'E Balans VL '!Z13*100)</f>
        <v>0.65439213656812201</v>
      </c>
      <c r="D28" s="237" t="s">
        <v>716</v>
      </c>
      <c r="F28" s="6"/>
    </row>
    <row r="29" spans="1:18">
      <c r="A29" s="231" t="s">
        <v>50</v>
      </c>
      <c r="B29" s="33">
        <f>IF(ISERROR(TER_gezond_ele_kWh/1000),0,TER_gezond_ele_kWh/1000)</f>
        <v>1407.7473580000001</v>
      </c>
      <c r="C29" s="39">
        <f>IF(ISERROR(B29*3.6/1000000/'E Balans VL '!Z10*100),0,B29*3.6/1000000/'E Balans VL '!Z10*100)</f>
        <v>0.14197299986140074</v>
      </c>
      <c r="D29" s="237" t="s">
        <v>716</v>
      </c>
      <c r="F29" s="6"/>
    </row>
    <row r="30" spans="1:18">
      <c r="A30" s="231" t="s">
        <v>49</v>
      </c>
      <c r="B30" s="33">
        <f>IF(ISERROR(TER_ander_ele_kWh/1000),0,TER_ander_ele_kWh/1000)</f>
        <v>1336.550389</v>
      </c>
      <c r="C30" s="39">
        <f>IF(ISERROR(B30*3.6/1000000/'E Balans VL '!Z14*100),0,B30*3.6/1000000/'E Balans VL '!Z14*100)</f>
        <v>9.698496461253249E-2</v>
      </c>
      <c r="D30" s="237" t="s">
        <v>716</v>
      </c>
      <c r="F30" s="6"/>
    </row>
    <row r="31" spans="1:18">
      <c r="A31" s="231" t="s">
        <v>54</v>
      </c>
      <c r="B31" s="33">
        <f>IF(ISERROR(TER_onderwijs_ele_kWh/1000),0,TER_onderwijs_ele_kWh/1000)</f>
        <v>746.13194900000008</v>
      </c>
      <c r="C31" s="39">
        <f>IF(ISERROR(B31*3.6/1000000/'E Balans VL '!Z11*100),0,B31*3.6/1000000/'E Balans VL '!Z11*100)</f>
        <v>0.21267798937274826</v>
      </c>
      <c r="D31" s="237" t="s">
        <v>716</v>
      </c>
    </row>
    <row r="32" spans="1:18">
      <c r="A32" s="231" t="s">
        <v>259</v>
      </c>
      <c r="B32" s="33">
        <f>IF(ISERROR(TER_rest_ele_kWh/1000),0,TER_rest_ele_kWh/1000)</f>
        <v>3090.0897910000003</v>
      </c>
      <c r="C32" s="39">
        <f>IF(ISERROR(B32*3.6/1000000/'E Balans VL '!Z8*100),0,B32*3.6/1000000/'E Balans VL '!Z8*100)</f>
        <v>2.5313386146049756E-2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47336.92650300001</v>
      </c>
      <c r="C5" s="17">
        <f>IF(ISERROR('Eigen informatie GS &amp; warmtenet'!B61),0,'Eigen informatie GS &amp; warmtenet'!B61)</f>
        <v>0</v>
      </c>
      <c r="D5" s="30">
        <f>SUM(D6:D15)</f>
        <v>94580.634331964</v>
      </c>
      <c r="E5" s="17">
        <f>SUM(E6:E15)</f>
        <v>2045.2713617833149</v>
      </c>
      <c r="F5" s="17">
        <f>SUM(F6:F15)</f>
        <v>8035.23487913186</v>
      </c>
      <c r="G5" s="18"/>
      <c r="H5" s="17"/>
      <c r="I5" s="17"/>
      <c r="J5" s="17">
        <f>SUM(J6:J15)</f>
        <v>111.55089073616973</v>
      </c>
      <c r="K5" s="17"/>
      <c r="L5" s="17"/>
      <c r="M5" s="17"/>
      <c r="N5" s="17">
        <f>SUM(N6:N15)</f>
        <v>2604.5370727140644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517.45362899999998</v>
      </c>
      <c r="C8" s="33"/>
      <c r="D8" s="37">
        <f>IF( ISERROR(IND_metaal_Gas_kWH/1000),0,IND_metaal_Gas_kWH/1000)*0.902</f>
        <v>306.46458345800005</v>
      </c>
      <c r="E8" s="33">
        <f>C30*'E Balans VL '!I18/100/3.6*1000000</f>
        <v>3.7330647503352523</v>
      </c>
      <c r="F8" s="33">
        <f>C30*'E Balans VL '!L18/100/3.6*1000000+C30*'E Balans VL '!N18/100/3.6*1000000</f>
        <v>48.941572126842679</v>
      </c>
      <c r="G8" s="34"/>
      <c r="H8" s="33"/>
      <c r="I8" s="33"/>
      <c r="J8" s="40">
        <f>C30*'E Balans VL '!D18/100/3.6*1000000+C30*'E Balans VL '!E18/100/3.6*1000000</f>
        <v>0.52045786707375452</v>
      </c>
      <c r="K8" s="33"/>
      <c r="L8" s="33"/>
      <c r="M8" s="33"/>
      <c r="N8" s="33">
        <f>C30*'E Balans VL '!Y18/100/3.6*1000000</f>
        <v>6.5419829177011675</v>
      </c>
      <c r="O8" s="33"/>
      <c r="P8" s="33"/>
      <c r="R8" s="32"/>
    </row>
    <row r="9" spans="1:18">
      <c r="A9" s="6" t="s">
        <v>32</v>
      </c>
      <c r="B9" s="37">
        <f t="shared" si="0"/>
        <v>5543.4595449999997</v>
      </c>
      <c r="C9" s="33"/>
      <c r="D9" s="37">
        <f>IF( ISERROR(IND_andere_gas_kWh/1000),0,IND_andere_gas_kWh/1000)*0.902</f>
        <v>5644.2529853599999</v>
      </c>
      <c r="E9" s="33">
        <f>C31*'E Balans VL '!I19/100/3.6*1000000</f>
        <v>1536.1667652602046</v>
      </c>
      <c r="F9" s="33">
        <f>C31*'E Balans VL '!L19/100/3.6*1000000+C31*'E Balans VL '!N19/100/3.6*1000000</f>
        <v>4594.4312504044037</v>
      </c>
      <c r="G9" s="34"/>
      <c r="H9" s="33"/>
      <c r="I9" s="33"/>
      <c r="J9" s="40">
        <f>C31*'E Balans VL '!D19/100/3.6*1000000+C31*'E Balans VL '!E19/100/3.6*1000000</f>
        <v>0</v>
      </c>
      <c r="K9" s="33"/>
      <c r="L9" s="33"/>
      <c r="M9" s="33"/>
      <c r="N9" s="33">
        <f>C31*'E Balans VL '!Y19/100/3.6*1000000</f>
        <v>402.38735911643755</v>
      </c>
      <c r="O9" s="33"/>
      <c r="P9" s="33"/>
      <c r="R9" s="32"/>
    </row>
    <row r="10" spans="1:18">
      <c r="A10" s="6" t="s">
        <v>40</v>
      </c>
      <c r="B10" s="37">
        <f t="shared" si="0"/>
        <v>31438.386579999999</v>
      </c>
      <c r="C10" s="33"/>
      <c r="D10" s="37">
        <f>IF( ISERROR(IND_voed_gas_kWh/1000),0,IND_voed_gas_kWh/1000)*0.902</f>
        <v>38179.749843620004</v>
      </c>
      <c r="E10" s="33">
        <f>C32*'E Balans VL '!I20/100/3.6*1000000</f>
        <v>55.656593110863831</v>
      </c>
      <c r="F10" s="33">
        <f>C32*'E Balans VL '!L20/100/3.6*1000000+C32*'E Balans VL '!N20/100/3.6*1000000</f>
        <v>1697.9515112408531</v>
      </c>
      <c r="G10" s="34"/>
      <c r="H10" s="33"/>
      <c r="I10" s="33"/>
      <c r="J10" s="40">
        <f>C32*'E Balans VL '!D20/100/3.6*1000000+C32*'E Balans VL '!E20/100/3.6*1000000</f>
        <v>0</v>
      </c>
      <c r="K10" s="33"/>
      <c r="L10" s="33"/>
      <c r="M10" s="33"/>
      <c r="N10" s="33">
        <f>C32*'E Balans VL '!Y20/100/3.6*1000000</f>
        <v>1826.8103582481453</v>
      </c>
      <c r="O10" s="33"/>
      <c r="P10" s="33"/>
      <c r="R10" s="32"/>
    </row>
    <row r="11" spans="1:18">
      <c r="A11" s="6" t="s">
        <v>39</v>
      </c>
      <c r="B11" s="37">
        <f t="shared" si="0"/>
        <v>36.744313999999996</v>
      </c>
      <c r="C11" s="33"/>
      <c r="D11" s="37">
        <f>IF( ISERROR(IND_textiel_gas_kWh/1000),0,IND_textiel_gas_kWh/1000)*0.902</f>
        <v>67.327676613999998</v>
      </c>
      <c r="E11" s="33">
        <f>C33*'E Balans VL '!I21/100/3.6*1000000</f>
        <v>0.12952752072497284</v>
      </c>
      <c r="F11" s="33">
        <f>C33*'E Balans VL '!L21/100/3.6*1000000+C33*'E Balans VL '!N21/100/3.6*1000000</f>
        <v>1.0785005619266483</v>
      </c>
      <c r="G11" s="34"/>
      <c r="H11" s="33"/>
      <c r="I11" s="33"/>
      <c r="J11" s="40">
        <f>C33*'E Balans VL '!D21/100/3.6*1000000+C33*'E Balans VL '!E21/100/3.6*1000000</f>
        <v>0</v>
      </c>
      <c r="K11" s="33"/>
      <c r="L11" s="33"/>
      <c r="M11" s="33"/>
      <c r="N11" s="33">
        <f>C33*'E Balans VL '!Y21/100/3.6*1000000</f>
        <v>1.6189492150282674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297.23101100000002</v>
      </c>
      <c r="C13" s="33"/>
      <c r="D13" s="37">
        <f>IF( ISERROR(IND_papier_gas_kWh/1000),0,IND_papier_gas_kWh/1000)*0.902</f>
        <v>233.27765736000001</v>
      </c>
      <c r="E13" s="33">
        <f>C35*'E Balans VL '!I23/100/3.6*1000000</f>
        <v>0.43732888041789492</v>
      </c>
      <c r="F13" s="33">
        <f>C35*'E Balans VL '!L23/100/3.6*1000000+C35*'E Balans VL '!N23/100/3.6*1000000</f>
        <v>3.1825435442714118</v>
      </c>
      <c r="G13" s="34"/>
      <c r="H13" s="33"/>
      <c r="I13" s="33"/>
      <c r="J13" s="40">
        <f>C35*'E Balans VL '!D23/100/3.6*1000000+C35*'E Balans VL '!E23/100/3.6*1000000</f>
        <v>32.518739387688264</v>
      </c>
      <c r="K13" s="33"/>
      <c r="L13" s="33"/>
      <c r="M13" s="33"/>
      <c r="N13" s="33">
        <f>C35*'E Balans VL '!Y23/100/3.6*1000000</f>
        <v>-2.6926582720127188</v>
      </c>
      <c r="O13" s="33"/>
      <c r="P13" s="33"/>
      <c r="R13" s="32"/>
    </row>
    <row r="14" spans="1:18">
      <c r="A14" s="6" t="s">
        <v>33</v>
      </c>
      <c r="B14" s="37">
        <f t="shared" si="0"/>
        <v>0</v>
      </c>
      <c r="C14" s="33"/>
      <c r="D14" s="37">
        <f>IF( ISERROR(IND_chemie_gas_kWh/1000),0,IND_chemie_gas_kWh/1000)*0.902</f>
        <v>661.28927273199997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9503.6514239999997</v>
      </c>
      <c r="C15" s="33"/>
      <c r="D15" s="37">
        <f>IF( ISERROR(IND_rest_gas_kWh/1000),0,IND_rest_gas_kWh/1000)*0.902</f>
        <v>49488.272312820001</v>
      </c>
      <c r="E15" s="33">
        <f>C37*'E Balans VL '!I15/100/3.6*1000000</f>
        <v>449.14808226076843</v>
      </c>
      <c r="F15" s="33">
        <f>C37*'E Balans VL '!L15/100/3.6*1000000+C37*'E Balans VL '!N15/100/3.6*1000000</f>
        <v>1689.6495012535622</v>
      </c>
      <c r="G15" s="34"/>
      <c r="H15" s="33"/>
      <c r="I15" s="33"/>
      <c r="J15" s="40">
        <f>C37*'E Balans VL '!D15/100/3.6*1000000+C37*'E Balans VL '!E15/100/3.6*1000000</f>
        <v>78.511693481407718</v>
      </c>
      <c r="K15" s="33"/>
      <c r="L15" s="33"/>
      <c r="M15" s="33"/>
      <c r="N15" s="33">
        <f>C37*'E Balans VL '!Y15/100/3.6*1000000</f>
        <v>369.87108148876473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47336.92650300001</v>
      </c>
      <c r="C18" s="21">
        <f>C5+C16</f>
        <v>0</v>
      </c>
      <c r="D18" s="21">
        <f>MAX((D5+D16),0)</f>
        <v>94580.634331964</v>
      </c>
      <c r="E18" s="21">
        <f>MAX((E5+E16),0)</f>
        <v>2045.2713617833149</v>
      </c>
      <c r="F18" s="21">
        <f>MAX((F5+F16),0)</f>
        <v>8035.23487913186</v>
      </c>
      <c r="G18" s="21"/>
      <c r="H18" s="21"/>
      <c r="I18" s="21"/>
      <c r="J18" s="21">
        <f>MAX((J5+J16),0)</f>
        <v>111.55089073616973</v>
      </c>
      <c r="K18" s="21"/>
      <c r="L18" s="21">
        <f>MAX((L5+L16),0)</f>
        <v>0</v>
      </c>
      <c r="M18" s="21"/>
      <c r="N18" s="21">
        <f>MAX((N5+N16),0)</f>
        <v>2604.5370727140644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0.21450611973935013</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10154.060424545336</v>
      </c>
      <c r="C22" s="23">
        <f ca="1">C18*C20</f>
        <v>0</v>
      </c>
      <c r="D22" s="23">
        <f>D18*D20</f>
        <v>19105.28813505673</v>
      </c>
      <c r="E22" s="23">
        <f>E18*E20</f>
        <v>464.27659912481249</v>
      </c>
      <c r="F22" s="23">
        <f>F18*F20</f>
        <v>2145.4077127282067</v>
      </c>
      <c r="G22" s="23"/>
      <c r="H22" s="23"/>
      <c r="I22" s="23"/>
      <c r="J22" s="23">
        <f>J18*J20</f>
        <v>39.489015320604082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517.45362899999998</v>
      </c>
      <c r="C30" s="39">
        <f>IF(ISERROR(B30*3.6/1000000/'E Balans VL '!Z18*100),0,B30*3.6/1000000/'E Balans VL '!Z18*100)</f>
        <v>2.9871790594606793E-2</v>
      </c>
      <c r="D30" s="237" t="s">
        <v>716</v>
      </c>
    </row>
    <row r="31" spans="1:18">
      <c r="A31" s="6" t="s">
        <v>32</v>
      </c>
      <c r="B31" s="37">
        <f>IF( ISERROR(IND_ander_ele_kWh/1000),0,IND_ander_ele_kWh/1000)</f>
        <v>5543.4595449999997</v>
      </c>
      <c r="C31" s="39">
        <f>IF(ISERROR(B31*3.6/1000000/'E Balans VL '!Z19*100),0,B31*3.6/1000000/'E Balans VL '!Z19*100)</f>
        <v>0.27881804668513999</v>
      </c>
      <c r="D31" s="237" t="s">
        <v>716</v>
      </c>
    </row>
    <row r="32" spans="1:18">
      <c r="A32" s="171" t="s">
        <v>40</v>
      </c>
      <c r="B32" s="37">
        <f>IF( ISERROR(IND_voed_ele_kWh/1000),0,IND_voed_ele_kWh/1000)</f>
        <v>31438.386579999999</v>
      </c>
      <c r="C32" s="39">
        <f>IF(ISERROR(B32*3.6/1000000/'E Balans VL '!Z20*100),0,B32*3.6/1000000/'E Balans VL '!Z20*100)</f>
        <v>1.0470849620529157</v>
      </c>
      <c r="D32" s="237" t="s">
        <v>716</v>
      </c>
    </row>
    <row r="33" spans="1:5">
      <c r="A33" s="171" t="s">
        <v>39</v>
      </c>
      <c r="B33" s="37">
        <f>IF( ISERROR(IND_textiel_ele_kWh/1000),0,IND_textiel_ele_kWh/1000)</f>
        <v>36.744313999999996</v>
      </c>
      <c r="C33" s="39">
        <f>IF(ISERROR(B33*3.6/1000000/'E Balans VL '!Z21*100),0,B33*3.6/1000000/'E Balans VL '!Z21*100)</f>
        <v>5.7289062133403668E-3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297.23101100000002</v>
      </c>
      <c r="C35" s="39">
        <f>IF(ISERROR(B35*3.6/1000000/'E Balans VL '!Z22*100),0,B35*3.6/1000000/'E Balans VL '!Z22*100)</f>
        <v>5.5443622932617377E-2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9503.6514239999997</v>
      </c>
      <c r="C37" s="39">
        <f>IF(ISERROR(B37*3.6/1000000/'E Balans VL '!Z15*100),0,B37*3.6/1000000/'E Balans VL '!Z15*100)</f>
        <v>7.4154470088832511E-2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258.78003799999999</v>
      </c>
      <c r="C5" s="17">
        <f>'Eigen informatie GS &amp; warmtenet'!B62</f>
        <v>0</v>
      </c>
      <c r="D5" s="30">
        <f>IF(ISERROR(SUM(LB_lb_gas_kWh,LB_rest_gas_kWh)/1000),0,SUM(LB_lb_gas_kWh,LB_rest_gas_kWh)/1000)*0.902</f>
        <v>639.27201738400004</v>
      </c>
      <c r="E5" s="17">
        <f>B17*'E Balans VL '!I25/3.6*1000000/100</f>
        <v>8.0764396508510803</v>
      </c>
      <c r="F5" s="17">
        <f>B17*('E Balans VL '!L25/3.6*1000000+'E Balans VL '!N25/3.6*1000000)/100</f>
        <v>914.55732117129185</v>
      </c>
      <c r="G5" s="18"/>
      <c r="H5" s="17"/>
      <c r="I5" s="17"/>
      <c r="J5" s="17">
        <f>('E Balans VL '!D25+'E Balans VL '!E25)/3.6*1000000*landbouw!B17/100</f>
        <v>71.295695092835544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258.78003799999999</v>
      </c>
      <c r="C8" s="21">
        <f>C5+C6</f>
        <v>0</v>
      </c>
      <c r="D8" s="21">
        <f>MAX((D5+D6),0)</f>
        <v>639.27201738400004</v>
      </c>
      <c r="E8" s="21">
        <f>MAX((E5+E6),0)</f>
        <v>8.0764396508510803</v>
      </c>
      <c r="F8" s="21">
        <f>MAX((F5+F6),0)</f>
        <v>914.55732117129185</v>
      </c>
      <c r="G8" s="21"/>
      <c r="H8" s="21"/>
      <c r="I8" s="21"/>
      <c r="J8" s="21">
        <f>MAX((J5+J6),0)</f>
        <v>71.295695092835544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0.21450611973935013</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55.509901817381575</v>
      </c>
      <c r="C12" s="23">
        <f ca="1">C8*C10</f>
        <v>0</v>
      </c>
      <c r="D12" s="23">
        <f>D8*D10</f>
        <v>129.13294751156801</v>
      </c>
      <c r="E12" s="23">
        <f>E8*E10</f>
        <v>1.8333518007431953</v>
      </c>
      <c r="F12" s="23">
        <f>F8*F10</f>
        <v>244.18680475273493</v>
      </c>
      <c r="G12" s="23"/>
      <c r="H12" s="23"/>
      <c r="I12" s="23"/>
      <c r="J12" s="23">
        <f>J8*J10</f>
        <v>25.238676062863782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3.8469507759732534E-2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8.0912454157543667</v>
      </c>
      <c r="C26" s="247">
        <f>B26*'GWP N2O_CH4'!B5</f>
        <v>169.9161537308417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0.45889769311749495</v>
      </c>
      <c r="C27" s="247">
        <f>B27*'GWP N2O_CH4'!B5</f>
        <v>9.6368515554673948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0.1161841047411396</v>
      </c>
      <c r="C28" s="247">
        <f>B28*'GWP N2O_CH4'!B4</f>
        <v>36.01707246975328</v>
      </c>
      <c r="D28" s="50"/>
    </row>
    <row r="29" spans="1:4">
      <c r="A29" s="41" t="s">
        <v>276</v>
      </c>
      <c r="B29" s="247">
        <f>B34*'ha_N2O bodem landbouw'!B4</f>
        <v>1.1546353443631976</v>
      </c>
      <c r="C29" s="247">
        <f>B29*'GWP N2O_CH4'!B4</f>
        <v>357.93695675259124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2.5319074227690501E-4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6.2664921721999997E-4</v>
      </c>
      <c r="C5" s="463" t="s">
        <v>210</v>
      </c>
      <c r="D5" s="448">
        <f>SUM(D6:D11)</f>
        <v>2.4637734014493042E-3</v>
      </c>
      <c r="E5" s="448">
        <f>SUM(E6:E11)</f>
        <v>2.1741589498184E-3</v>
      </c>
      <c r="F5" s="461" t="s">
        <v>210</v>
      </c>
      <c r="G5" s="448">
        <f>SUM(G6:G11)</f>
        <v>0.96036404875647374</v>
      </c>
      <c r="H5" s="448">
        <f>SUM(H6:H11)</f>
        <v>0.18828157028490508</v>
      </c>
      <c r="I5" s="463" t="s">
        <v>210</v>
      </c>
      <c r="J5" s="463" t="s">
        <v>210</v>
      </c>
      <c r="K5" s="463" t="s">
        <v>210</v>
      </c>
      <c r="L5" s="463" t="s">
        <v>210</v>
      </c>
      <c r="M5" s="448">
        <f>SUM(M6:M11)</f>
        <v>6.774782366915344E-2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1.6672168837999999E-4</v>
      </c>
      <c r="C6" s="449"/>
      <c r="D6" s="917">
        <f>vkm_2011_GW_PW*SUMIFS(TableVerdeelsleutelVkm[CNG],TableVerdeelsleutelVkm[Voertuigtype],"Lichte voertuigen")*SUMIFS(TableECFTransport[EnergieConsumptieFactor (PJ per km)],TableECFTransport[Index],CONCATENATE($A6,"_CNG_CNG"))</f>
        <v>5.7971970861604803E-4</v>
      </c>
      <c r="E6" s="917">
        <f>vkm_2011_GW_PW*SUMIFS(TableVerdeelsleutelVkm[LPG],TableVerdeelsleutelVkm[Voertuigtype],"Lichte voertuigen")*SUMIFS(TableECFTransport[EnergieConsumptieFactor (PJ per km)],TableECFTransport[Index],CONCATENATE($A6,"_LPG_LPG"))</f>
        <v>4.5672361856159997E-4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0.12432547949929591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4.3505660320470041E-2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1.0028965481367703E-2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3.112130509696041E-2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7.8404596335617456E-6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1.7945516816187325E-3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8.4593659370000001E-5</v>
      </c>
      <c r="C8" s="449"/>
      <c r="D8" s="451">
        <f>vkm_2011_NGW_PW*SUMIFS(TableVerdeelsleutelVkm[CNG],TableVerdeelsleutelVkm[Voertuigtype],"Lichte voertuigen")*SUMIFS(TableECFTransport[EnergieConsumptieFactor (PJ per km)],TableECFTransport[Index],CONCATENATE($A8,"_CNG_CNG"))</f>
        <v>5.2056385021872001E-4</v>
      </c>
      <c r="E8" s="451">
        <f>vkm_2011_NGW_PW*SUMIFS(TableVerdeelsleutelVkm[LPG],TableVerdeelsleutelVkm[Voertuigtype],"Lichte voertuigen")*SUMIFS(TableECFTransport[EnergieConsumptieFactor (PJ per km)],TableECFTransport[Index],CONCATENATE($A8,"_LPG_LPG"))</f>
        <v>3.8020522845415002E-4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9.6041396971799406E-2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3.8066461150321917E-2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8.0406666450923113E-3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1.4337728570742376E-2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3.4082478312321211E-6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8.2674481074914265E-4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3.7533386946999995E-4</v>
      </c>
      <c r="C10" s="449"/>
      <c r="D10" s="451">
        <f>vkm_2011_SW_PW*SUMIFS(TableVerdeelsleutelVkm[CNG],TableVerdeelsleutelVkm[Voertuigtype],"Lichte voertuigen")*SUMIFS(TableECFTransport[EnergieConsumptieFactor (PJ per km)],TableECFTransport[Index],CONCATENATE($A10,"_CNG_CNG"))</f>
        <v>1.3634898426145359E-3</v>
      </c>
      <c r="E10" s="451">
        <f>vkm_2011_SW_PW*SUMIFS(TableVerdeelsleutelVkm[LPG],TableVerdeelsleutelVkm[Voertuigtype],"Lichte voertuigen")*SUMIFS(TableECFTransport[EnergieConsumptieFactor (PJ per km)],TableECFTransport[Index],CONCATENATE($A10,"_LPG_LPG"))</f>
        <v>1.3372301028026499E-3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0.3233493758904637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0.1065969165601858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2.5652480222551635E-2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0.37118876272721191</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1.0128354646252116E-4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2.1404414827773909E-2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174.06922700555555</v>
      </c>
      <c r="C14" s="21"/>
      <c r="D14" s="21">
        <f t="shared" ref="D14:M14" si="0">((D5)*10^9/3600)+D12</f>
        <v>684.38150040258449</v>
      </c>
      <c r="E14" s="21">
        <f t="shared" si="0"/>
        <v>603.93304161622211</v>
      </c>
      <c r="F14" s="21"/>
      <c r="G14" s="21">
        <f t="shared" si="0"/>
        <v>266767.79132124269</v>
      </c>
      <c r="H14" s="21">
        <f t="shared" si="0"/>
        <v>52300.436190251407</v>
      </c>
      <c r="I14" s="21"/>
      <c r="J14" s="21"/>
      <c r="K14" s="21"/>
      <c r="L14" s="21"/>
      <c r="M14" s="21">
        <f t="shared" si="0"/>
        <v>18818.839908098176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0.21450611973935013</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37.338914450989819</v>
      </c>
      <c r="C18" s="23"/>
      <c r="D18" s="23">
        <f t="shared" ref="D18:M18" si="1">D14*D16</f>
        <v>138.24506308132209</v>
      </c>
      <c r="E18" s="23">
        <f t="shared" si="1"/>
        <v>137.09280044688242</v>
      </c>
      <c r="F18" s="23"/>
      <c r="G18" s="23">
        <f t="shared" si="1"/>
        <v>71227.000282771798</v>
      </c>
      <c r="H18" s="23">
        <f t="shared" si="1"/>
        <v>13022.8086113726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1.2391039948230587E-2</v>
      </c>
      <c r="H50" s="321">
        <f t="shared" si="2"/>
        <v>0</v>
      </c>
      <c r="I50" s="321">
        <f t="shared" si="2"/>
        <v>0</v>
      </c>
      <c r="J50" s="321">
        <f t="shared" si="2"/>
        <v>0</v>
      </c>
      <c r="K50" s="321">
        <f t="shared" si="2"/>
        <v>0</v>
      </c>
      <c r="L50" s="321">
        <f t="shared" si="2"/>
        <v>0</v>
      </c>
      <c r="M50" s="321">
        <f t="shared" si="2"/>
        <v>6.8869537131591076E-4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1.2391039948230587E-2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6.8869537131591076E-4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3441.955541175163</v>
      </c>
      <c r="H54" s="21">
        <f t="shared" si="3"/>
        <v>0</v>
      </c>
      <c r="I54" s="21">
        <f t="shared" si="3"/>
        <v>0</v>
      </c>
      <c r="J54" s="21">
        <f t="shared" si="3"/>
        <v>0</v>
      </c>
      <c r="K54" s="21">
        <f t="shared" si="3"/>
        <v>0</v>
      </c>
      <c r="L54" s="21">
        <f t="shared" si="3"/>
        <v>0</v>
      </c>
      <c r="M54" s="21">
        <f t="shared" si="3"/>
        <v>191.30426980997521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0.21450611973935013</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919.00212949376862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47347.661575999999</v>
      </c>
      <c r="D10" s="712">
        <f ca="1">tertiair!C16</f>
        <v>6.0878378378378377</v>
      </c>
      <c r="E10" s="712">
        <f ca="1">tertiair!D16</f>
        <v>59428.386947047504</v>
      </c>
      <c r="F10" s="712">
        <f>tertiair!E16</f>
        <v>812.21544354864477</v>
      </c>
      <c r="G10" s="712">
        <f ca="1">tertiair!F16</f>
        <v>4958.2770582381272</v>
      </c>
      <c r="H10" s="712">
        <f>tertiair!G16</f>
        <v>0</v>
      </c>
      <c r="I10" s="712">
        <f>tertiair!H16</f>
        <v>0</v>
      </c>
      <c r="J10" s="712">
        <f>tertiair!I16</f>
        <v>0</v>
      </c>
      <c r="K10" s="712">
        <f>tertiair!J16</f>
        <v>2.8611346005128352E-2</v>
      </c>
      <c r="L10" s="712">
        <f>tertiair!K16</f>
        <v>0</v>
      </c>
      <c r="M10" s="712">
        <f ca="1">tertiair!L16</f>
        <v>0</v>
      </c>
      <c r="N10" s="712">
        <f>tertiair!M16</f>
        <v>0</v>
      </c>
      <c r="O10" s="712">
        <f ca="1">tertiair!N16</f>
        <v>1147.4439933818339</v>
      </c>
      <c r="P10" s="712">
        <f>tertiair!O16</f>
        <v>4.8972607658411542</v>
      </c>
      <c r="Q10" s="713">
        <f>tertiair!P16</f>
        <v>52.539138306495019</v>
      </c>
      <c r="R10" s="715">
        <f ca="1">SUM(C10:Q10)</f>
        <v>113757.53786647228</v>
      </c>
      <c r="S10" s="67"/>
    </row>
    <row r="11" spans="1:19" s="474" customFormat="1">
      <c r="A11" s="834" t="s">
        <v>224</v>
      </c>
      <c r="B11" s="839"/>
      <c r="C11" s="712">
        <f>huishoudens!B8</f>
        <v>56584.596434794017</v>
      </c>
      <c r="D11" s="712">
        <f>huishoudens!C8</f>
        <v>0</v>
      </c>
      <c r="E11" s="712">
        <f>huishoudens!D8</f>
        <v>173845.7488724</v>
      </c>
      <c r="F11" s="712">
        <f>huishoudens!E8</f>
        <v>3828.6026454133148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11180.588106676338</v>
      </c>
      <c r="P11" s="712">
        <f>huishoudens!O8</f>
        <v>371.00018702537494</v>
      </c>
      <c r="Q11" s="713">
        <f>huishoudens!P8</f>
        <v>684.70735499952639</v>
      </c>
      <c r="R11" s="715">
        <f>SUM(C11:Q11)</f>
        <v>246495.24360130855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47336.92650300001</v>
      </c>
      <c r="D13" s="712">
        <f>industrie!C18</f>
        <v>0</v>
      </c>
      <c r="E13" s="712">
        <f>industrie!D18</f>
        <v>94580.634331964</v>
      </c>
      <c r="F13" s="712">
        <f>industrie!E18</f>
        <v>2045.2713617833149</v>
      </c>
      <c r="G13" s="712">
        <f>industrie!F18</f>
        <v>8035.23487913186</v>
      </c>
      <c r="H13" s="712">
        <f>industrie!G18</f>
        <v>0</v>
      </c>
      <c r="I13" s="712">
        <f>industrie!H18</f>
        <v>0</v>
      </c>
      <c r="J13" s="712">
        <f>industrie!I18</f>
        <v>0</v>
      </c>
      <c r="K13" s="712">
        <f>industrie!J18</f>
        <v>111.55089073616973</v>
      </c>
      <c r="L13" s="712">
        <f>industrie!K18</f>
        <v>0</v>
      </c>
      <c r="M13" s="712">
        <f>industrie!L18</f>
        <v>0</v>
      </c>
      <c r="N13" s="712">
        <f>industrie!M18</f>
        <v>0</v>
      </c>
      <c r="O13" s="712">
        <f>industrie!N18</f>
        <v>2604.5370727140644</v>
      </c>
      <c r="P13" s="712">
        <f>industrie!O18</f>
        <v>0</v>
      </c>
      <c r="Q13" s="713">
        <f>industrie!P18</f>
        <v>0</v>
      </c>
      <c r="R13" s="715">
        <f>SUM(C13:Q13)</f>
        <v>154714.15503932943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151269.18451379403</v>
      </c>
      <c r="D16" s="748">
        <f t="shared" ref="D16:R16" ca="1" si="0">SUM(D9:D15)</f>
        <v>6.0878378378378377</v>
      </c>
      <c r="E16" s="748">
        <f t="shared" ca="1" si="0"/>
        <v>327854.77015141153</v>
      </c>
      <c r="F16" s="748">
        <f t="shared" si="0"/>
        <v>6686.0894507452749</v>
      </c>
      <c r="G16" s="748">
        <f t="shared" ca="1" si="0"/>
        <v>12993.511937369987</v>
      </c>
      <c r="H16" s="748">
        <f t="shared" si="0"/>
        <v>0</v>
      </c>
      <c r="I16" s="748">
        <f t="shared" si="0"/>
        <v>0</v>
      </c>
      <c r="J16" s="748">
        <f t="shared" si="0"/>
        <v>0</v>
      </c>
      <c r="K16" s="748">
        <f t="shared" si="0"/>
        <v>111.57950208217487</v>
      </c>
      <c r="L16" s="748">
        <f t="shared" si="0"/>
        <v>0</v>
      </c>
      <c r="M16" s="748">
        <f t="shared" ca="1" si="0"/>
        <v>0</v>
      </c>
      <c r="N16" s="748">
        <f t="shared" si="0"/>
        <v>0</v>
      </c>
      <c r="O16" s="748">
        <f t="shared" ca="1" si="0"/>
        <v>14932.569172772237</v>
      </c>
      <c r="P16" s="748">
        <f t="shared" si="0"/>
        <v>375.89744779121611</v>
      </c>
      <c r="Q16" s="748">
        <f t="shared" si="0"/>
        <v>737.24649330602142</v>
      </c>
      <c r="R16" s="748">
        <f t="shared" ca="1" si="0"/>
        <v>514966.93650711025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3441.955541175163</v>
      </c>
      <c r="I19" s="712">
        <f>transport!H54</f>
        <v>0</v>
      </c>
      <c r="J19" s="712">
        <f>transport!I54</f>
        <v>0</v>
      </c>
      <c r="K19" s="712">
        <f>transport!J54</f>
        <v>0</v>
      </c>
      <c r="L19" s="712">
        <f>transport!K54</f>
        <v>0</v>
      </c>
      <c r="M19" s="712">
        <f>transport!L54</f>
        <v>0</v>
      </c>
      <c r="N19" s="712">
        <f>transport!M54</f>
        <v>191.30426980997521</v>
      </c>
      <c r="O19" s="712">
        <f>transport!N54</f>
        <v>0</v>
      </c>
      <c r="P19" s="712">
        <f>transport!O54</f>
        <v>0</v>
      </c>
      <c r="Q19" s="713">
        <f>transport!P54</f>
        <v>0</v>
      </c>
      <c r="R19" s="715">
        <f>SUM(C19:Q19)</f>
        <v>3633.2598109851383</v>
      </c>
      <c r="S19" s="67"/>
    </row>
    <row r="20" spans="1:19" s="474" customFormat="1">
      <c r="A20" s="834" t="s">
        <v>306</v>
      </c>
      <c r="B20" s="839"/>
      <c r="C20" s="712">
        <f>transport!B14</f>
        <v>174.06922700555555</v>
      </c>
      <c r="D20" s="712">
        <f>transport!C14</f>
        <v>0</v>
      </c>
      <c r="E20" s="712">
        <f>transport!D14</f>
        <v>684.38150040258449</v>
      </c>
      <c r="F20" s="712">
        <f>transport!E14</f>
        <v>603.93304161622211</v>
      </c>
      <c r="G20" s="712">
        <f>transport!F14</f>
        <v>0</v>
      </c>
      <c r="H20" s="712">
        <f>transport!G14</f>
        <v>266767.79132124269</v>
      </c>
      <c r="I20" s="712">
        <f>transport!H14</f>
        <v>52300.436190251407</v>
      </c>
      <c r="J20" s="712">
        <f>transport!I14</f>
        <v>0</v>
      </c>
      <c r="K20" s="712">
        <f>transport!J14</f>
        <v>0</v>
      </c>
      <c r="L20" s="712">
        <f>transport!K14</f>
        <v>0</v>
      </c>
      <c r="M20" s="712">
        <f>transport!L14</f>
        <v>0</v>
      </c>
      <c r="N20" s="712">
        <f>transport!M14</f>
        <v>18818.839908098176</v>
      </c>
      <c r="O20" s="712">
        <f>transport!N14</f>
        <v>0</v>
      </c>
      <c r="P20" s="712">
        <f>transport!O14</f>
        <v>0</v>
      </c>
      <c r="Q20" s="713">
        <f>transport!P14</f>
        <v>0</v>
      </c>
      <c r="R20" s="715">
        <f>SUM(C20:Q20)</f>
        <v>339349.45118861663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174.06922700555555</v>
      </c>
      <c r="D22" s="837">
        <f t="shared" ref="D22:R22" si="1">SUM(D18:D21)</f>
        <v>0</v>
      </c>
      <c r="E22" s="837">
        <f t="shared" si="1"/>
        <v>684.38150040258449</v>
      </c>
      <c r="F22" s="837">
        <f t="shared" si="1"/>
        <v>603.93304161622211</v>
      </c>
      <c r="G22" s="837">
        <f t="shared" si="1"/>
        <v>0</v>
      </c>
      <c r="H22" s="837">
        <f t="shared" si="1"/>
        <v>270209.74686241784</v>
      </c>
      <c r="I22" s="837">
        <f t="shared" si="1"/>
        <v>52300.436190251407</v>
      </c>
      <c r="J22" s="837">
        <f t="shared" si="1"/>
        <v>0</v>
      </c>
      <c r="K22" s="837">
        <f t="shared" si="1"/>
        <v>0</v>
      </c>
      <c r="L22" s="837">
        <f t="shared" si="1"/>
        <v>0</v>
      </c>
      <c r="M22" s="837">
        <f t="shared" si="1"/>
        <v>0</v>
      </c>
      <c r="N22" s="837">
        <f t="shared" si="1"/>
        <v>19010.144177908151</v>
      </c>
      <c r="O22" s="837">
        <f t="shared" si="1"/>
        <v>0</v>
      </c>
      <c r="P22" s="837">
        <f t="shared" si="1"/>
        <v>0</v>
      </c>
      <c r="Q22" s="837">
        <f t="shared" si="1"/>
        <v>0</v>
      </c>
      <c r="R22" s="837">
        <f t="shared" si="1"/>
        <v>342982.71099960175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258.78003799999999</v>
      </c>
      <c r="D24" s="712">
        <f>+landbouw!C8</f>
        <v>0</v>
      </c>
      <c r="E24" s="712">
        <f>+landbouw!D8</f>
        <v>639.27201738400004</v>
      </c>
      <c r="F24" s="712">
        <f>+landbouw!E8</f>
        <v>8.0764396508510803</v>
      </c>
      <c r="G24" s="712">
        <f>+landbouw!F8</f>
        <v>914.55732117129185</v>
      </c>
      <c r="H24" s="712">
        <f>+landbouw!G8</f>
        <v>0</v>
      </c>
      <c r="I24" s="712">
        <f>+landbouw!H8</f>
        <v>0</v>
      </c>
      <c r="J24" s="712">
        <f>+landbouw!I8</f>
        <v>0</v>
      </c>
      <c r="K24" s="712">
        <f>+landbouw!J8</f>
        <v>71.295695092835544</v>
      </c>
      <c r="L24" s="712">
        <f>+landbouw!K8</f>
        <v>0</v>
      </c>
      <c r="M24" s="712">
        <f>+landbouw!L8</f>
        <v>0</v>
      </c>
      <c r="N24" s="712">
        <f>+landbouw!M8</f>
        <v>0</v>
      </c>
      <c r="O24" s="712">
        <f>+landbouw!N8</f>
        <v>0</v>
      </c>
      <c r="P24" s="712">
        <f>+landbouw!O8</f>
        <v>0</v>
      </c>
      <c r="Q24" s="713">
        <f>+landbouw!P8</f>
        <v>0</v>
      </c>
      <c r="R24" s="715">
        <f>SUM(C24:Q24)</f>
        <v>1891.9815112989786</v>
      </c>
      <c r="S24" s="67"/>
    </row>
    <row r="25" spans="1:19" s="474" customFormat="1" ht="15" thickBot="1">
      <c r="A25" s="856" t="s">
        <v>734</v>
      </c>
      <c r="B25" s="982"/>
      <c r="C25" s="983">
        <f>IF(Onbekend_ele_kWh="---",0,Onbekend_ele_kWh)/1000+IF(REST_rest_ele_kWh="---",0,REST_rest_ele_kWh)/1000</f>
        <v>2244.6762880000001</v>
      </c>
      <c r="D25" s="983"/>
      <c r="E25" s="983">
        <f>IF(onbekend_gas_kWh="---",0,onbekend_gas_kWh)/1000+IF(REST_rest_gas_kWh="---",0,REST_rest_gas_kWh)/1000</f>
        <v>20657.095390000002</v>
      </c>
      <c r="F25" s="983"/>
      <c r="G25" s="983"/>
      <c r="H25" s="983"/>
      <c r="I25" s="983"/>
      <c r="J25" s="983"/>
      <c r="K25" s="983"/>
      <c r="L25" s="983"/>
      <c r="M25" s="983"/>
      <c r="N25" s="983"/>
      <c r="O25" s="983"/>
      <c r="P25" s="983"/>
      <c r="Q25" s="984"/>
      <c r="R25" s="715">
        <f>SUM(C25:Q25)</f>
        <v>22901.771678000001</v>
      </c>
      <c r="S25" s="67"/>
    </row>
    <row r="26" spans="1:19" s="474" customFormat="1" ht="15.75" thickBot="1">
      <c r="A26" s="720" t="s">
        <v>735</v>
      </c>
      <c r="B26" s="842"/>
      <c r="C26" s="837">
        <f>SUM(C24:C25)</f>
        <v>2503.456326</v>
      </c>
      <c r="D26" s="837">
        <f t="shared" ref="D26:R26" si="2">SUM(D24:D25)</f>
        <v>0</v>
      </c>
      <c r="E26" s="837">
        <f t="shared" si="2"/>
        <v>21296.367407384001</v>
      </c>
      <c r="F26" s="837">
        <f t="shared" si="2"/>
        <v>8.0764396508510803</v>
      </c>
      <c r="G26" s="837">
        <f t="shared" si="2"/>
        <v>914.55732117129185</v>
      </c>
      <c r="H26" s="837">
        <f t="shared" si="2"/>
        <v>0</v>
      </c>
      <c r="I26" s="837">
        <f t="shared" si="2"/>
        <v>0</v>
      </c>
      <c r="J26" s="837">
        <f t="shared" si="2"/>
        <v>0</v>
      </c>
      <c r="K26" s="837">
        <f t="shared" si="2"/>
        <v>71.295695092835544</v>
      </c>
      <c r="L26" s="837">
        <f t="shared" si="2"/>
        <v>0</v>
      </c>
      <c r="M26" s="837">
        <f t="shared" si="2"/>
        <v>0</v>
      </c>
      <c r="N26" s="837">
        <f t="shared" si="2"/>
        <v>0</v>
      </c>
      <c r="O26" s="837">
        <f t="shared" si="2"/>
        <v>0</v>
      </c>
      <c r="P26" s="837">
        <f t="shared" si="2"/>
        <v>0</v>
      </c>
      <c r="Q26" s="837">
        <f t="shared" si="2"/>
        <v>0</v>
      </c>
      <c r="R26" s="837">
        <f t="shared" si="2"/>
        <v>24793.753189298979</v>
      </c>
      <c r="S26" s="67"/>
    </row>
    <row r="27" spans="1:19" s="474" customFormat="1" ht="17.25" thickTop="1" thickBot="1">
      <c r="A27" s="721" t="s">
        <v>115</v>
      </c>
      <c r="B27" s="829"/>
      <c r="C27" s="722">
        <f ca="1">C22+C16+C26</f>
        <v>153946.7100667996</v>
      </c>
      <c r="D27" s="722">
        <f t="shared" ref="D27:R27" ca="1" si="3">D22+D16+D26</f>
        <v>6.0878378378378377</v>
      </c>
      <c r="E27" s="722">
        <f t="shared" ca="1" si="3"/>
        <v>349835.51905919809</v>
      </c>
      <c r="F27" s="722">
        <f t="shared" si="3"/>
        <v>7298.0989320123481</v>
      </c>
      <c r="G27" s="722">
        <f t="shared" ca="1" si="3"/>
        <v>13908.06925854128</v>
      </c>
      <c r="H27" s="722">
        <f t="shared" si="3"/>
        <v>270209.74686241784</v>
      </c>
      <c r="I27" s="722">
        <f t="shared" si="3"/>
        <v>52300.436190251407</v>
      </c>
      <c r="J27" s="722">
        <f t="shared" si="3"/>
        <v>0</v>
      </c>
      <c r="K27" s="722">
        <f t="shared" si="3"/>
        <v>182.87519717501041</v>
      </c>
      <c r="L27" s="722">
        <f t="shared" si="3"/>
        <v>0</v>
      </c>
      <c r="M27" s="722">
        <f t="shared" ca="1" si="3"/>
        <v>0</v>
      </c>
      <c r="N27" s="722">
        <f t="shared" si="3"/>
        <v>19010.144177908151</v>
      </c>
      <c r="O27" s="722">
        <f t="shared" ca="1" si="3"/>
        <v>14932.569172772237</v>
      </c>
      <c r="P27" s="722">
        <f t="shared" si="3"/>
        <v>375.89744779121611</v>
      </c>
      <c r="Q27" s="722">
        <f t="shared" si="3"/>
        <v>737.24649330602142</v>
      </c>
      <c r="R27" s="722">
        <f t="shared" ca="1" si="3"/>
        <v>882743.40069601103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10156.363163399683</v>
      </c>
      <c r="D40" s="712">
        <f ca="1">tertiair!C20</f>
        <v>1.3663813813813812</v>
      </c>
      <c r="E40" s="712">
        <f ca="1">tertiair!D20</f>
        <v>12004.534163303597</v>
      </c>
      <c r="F40" s="712">
        <f>tertiair!E20</f>
        <v>184.37290568554238</v>
      </c>
      <c r="G40" s="712">
        <f ca="1">tertiair!F20</f>
        <v>1323.8599745495801</v>
      </c>
      <c r="H40" s="712">
        <f>tertiair!G20</f>
        <v>0</v>
      </c>
      <c r="I40" s="712">
        <f>tertiair!H20</f>
        <v>0</v>
      </c>
      <c r="J40" s="712">
        <f>tertiair!I20</f>
        <v>0</v>
      </c>
      <c r="K40" s="712">
        <f>tertiair!J20</f>
        <v>1.0128416485815436E-2</v>
      </c>
      <c r="L40" s="712">
        <f>tertiair!K20</f>
        <v>0</v>
      </c>
      <c r="M40" s="712">
        <f ca="1">tertiair!L20</f>
        <v>0</v>
      </c>
      <c r="N40" s="712">
        <f>tertiair!M20</f>
        <v>0</v>
      </c>
      <c r="O40" s="712">
        <f ca="1">tertiair!N20</f>
        <v>0</v>
      </c>
      <c r="P40" s="712">
        <f>tertiair!O20</f>
        <v>0</v>
      </c>
      <c r="Q40" s="795">
        <f>tertiair!P20</f>
        <v>0</v>
      </c>
      <c r="R40" s="875">
        <f t="shared" ca="1" si="4"/>
        <v>23670.506716736269</v>
      </c>
    </row>
    <row r="41" spans="1:18">
      <c r="A41" s="847" t="s">
        <v>224</v>
      </c>
      <c r="B41" s="854"/>
      <c r="C41" s="712">
        <f ca="1">huishoudens!B12</f>
        <v>12137.74221824473</v>
      </c>
      <c r="D41" s="712">
        <f ca="1">huishoudens!C12</f>
        <v>0</v>
      </c>
      <c r="E41" s="712">
        <f>huishoudens!D12</f>
        <v>35116.841272224803</v>
      </c>
      <c r="F41" s="712">
        <f>huishoudens!E12</f>
        <v>869.09280050882251</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48123.676290978357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10154.060424545336</v>
      </c>
      <c r="D43" s="712">
        <f ca="1">industrie!C22</f>
        <v>0</v>
      </c>
      <c r="E43" s="712">
        <f>industrie!D22</f>
        <v>19105.28813505673</v>
      </c>
      <c r="F43" s="712">
        <f>industrie!E22</f>
        <v>464.27659912481249</v>
      </c>
      <c r="G43" s="712">
        <f>industrie!F22</f>
        <v>2145.4077127282067</v>
      </c>
      <c r="H43" s="712">
        <f>industrie!G22</f>
        <v>0</v>
      </c>
      <c r="I43" s="712">
        <f>industrie!H22</f>
        <v>0</v>
      </c>
      <c r="J43" s="712">
        <f>industrie!I22</f>
        <v>0</v>
      </c>
      <c r="K43" s="712">
        <f>industrie!J22</f>
        <v>39.489015320604082</v>
      </c>
      <c r="L43" s="712">
        <f>industrie!K22</f>
        <v>0</v>
      </c>
      <c r="M43" s="712">
        <f>industrie!L22</f>
        <v>0</v>
      </c>
      <c r="N43" s="712">
        <f>industrie!M22</f>
        <v>0</v>
      </c>
      <c r="O43" s="712">
        <f>industrie!N22</f>
        <v>0</v>
      </c>
      <c r="P43" s="712">
        <f>industrie!O22</f>
        <v>0</v>
      </c>
      <c r="Q43" s="795">
        <f>industrie!P22</f>
        <v>0</v>
      </c>
      <c r="R43" s="874">
        <f t="shared" ca="1" si="4"/>
        <v>31908.521886775688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32448.165806189747</v>
      </c>
      <c r="D46" s="748">
        <f t="shared" ref="D46:Q46" ca="1" si="5">SUM(D39:D45)</f>
        <v>1.3663813813813812</v>
      </c>
      <c r="E46" s="748">
        <f t="shared" ca="1" si="5"/>
        <v>66226.663570585137</v>
      </c>
      <c r="F46" s="748">
        <f t="shared" si="5"/>
        <v>1517.7423053191774</v>
      </c>
      <c r="G46" s="748">
        <f t="shared" ca="1" si="5"/>
        <v>3469.2676872777865</v>
      </c>
      <c r="H46" s="748">
        <f t="shared" si="5"/>
        <v>0</v>
      </c>
      <c r="I46" s="748">
        <f t="shared" si="5"/>
        <v>0</v>
      </c>
      <c r="J46" s="748">
        <f t="shared" si="5"/>
        <v>0</v>
      </c>
      <c r="K46" s="748">
        <f t="shared" si="5"/>
        <v>39.499143737089895</v>
      </c>
      <c r="L46" s="748">
        <f t="shared" si="5"/>
        <v>0</v>
      </c>
      <c r="M46" s="748">
        <f t="shared" ca="1" si="5"/>
        <v>0</v>
      </c>
      <c r="N46" s="748">
        <f t="shared" si="5"/>
        <v>0</v>
      </c>
      <c r="O46" s="748">
        <f t="shared" ca="1" si="5"/>
        <v>0</v>
      </c>
      <c r="P46" s="748">
        <f t="shared" si="5"/>
        <v>0</v>
      </c>
      <c r="Q46" s="748">
        <f t="shared" si="5"/>
        <v>0</v>
      </c>
      <c r="R46" s="748">
        <f ca="1">SUM(R39:R45)</f>
        <v>103702.70489449032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919.00212949376862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919.00212949376862</v>
      </c>
    </row>
    <row r="50" spans="1:18">
      <c r="A50" s="850" t="s">
        <v>306</v>
      </c>
      <c r="B50" s="860"/>
      <c r="C50" s="718">
        <f ca="1">transport!B18</f>
        <v>37.338914450989819</v>
      </c>
      <c r="D50" s="718">
        <f>transport!C18</f>
        <v>0</v>
      </c>
      <c r="E50" s="718">
        <f>transport!D18</f>
        <v>138.24506308132209</v>
      </c>
      <c r="F50" s="718">
        <f>transport!E18</f>
        <v>137.09280044688242</v>
      </c>
      <c r="G50" s="718">
        <f>transport!F18</f>
        <v>0</v>
      </c>
      <c r="H50" s="718">
        <f>transport!G18</f>
        <v>71227.000282771798</v>
      </c>
      <c r="I50" s="718">
        <f>transport!H18</f>
        <v>13022.8086113726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84562.485672123599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37.338914450989819</v>
      </c>
      <c r="D52" s="748">
        <f t="shared" ref="D52:Q52" ca="1" si="6">SUM(D48:D51)</f>
        <v>0</v>
      </c>
      <c r="E52" s="748">
        <f t="shared" si="6"/>
        <v>138.24506308132209</v>
      </c>
      <c r="F52" s="748">
        <f t="shared" si="6"/>
        <v>137.09280044688242</v>
      </c>
      <c r="G52" s="748">
        <f t="shared" si="6"/>
        <v>0</v>
      </c>
      <c r="H52" s="748">
        <f t="shared" si="6"/>
        <v>72146.00241226556</v>
      </c>
      <c r="I52" s="748">
        <f t="shared" si="6"/>
        <v>13022.8086113726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85481.487801617361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55.509901817381575</v>
      </c>
      <c r="D54" s="718">
        <f ca="1">+landbouw!C12</f>
        <v>0</v>
      </c>
      <c r="E54" s="718">
        <f>+landbouw!D12</f>
        <v>129.13294751156801</v>
      </c>
      <c r="F54" s="718">
        <f>+landbouw!E12</f>
        <v>1.8333518007431953</v>
      </c>
      <c r="G54" s="718">
        <f>+landbouw!F12</f>
        <v>244.18680475273493</v>
      </c>
      <c r="H54" s="718">
        <f>+landbouw!G12</f>
        <v>0</v>
      </c>
      <c r="I54" s="718">
        <f>+landbouw!H12</f>
        <v>0</v>
      </c>
      <c r="J54" s="718">
        <f>+landbouw!I12</f>
        <v>0</v>
      </c>
      <c r="K54" s="718">
        <f>+landbouw!J12</f>
        <v>25.238676062863782</v>
      </c>
      <c r="L54" s="718">
        <f>+landbouw!K12</f>
        <v>0</v>
      </c>
      <c r="M54" s="718">
        <f>+landbouw!L12</f>
        <v>0</v>
      </c>
      <c r="N54" s="718">
        <f>+landbouw!M12</f>
        <v>0</v>
      </c>
      <c r="O54" s="718">
        <f>+landbouw!N12</f>
        <v>0</v>
      </c>
      <c r="P54" s="718">
        <f>+landbouw!O12</f>
        <v>0</v>
      </c>
      <c r="Q54" s="719">
        <f>+landbouw!P12</f>
        <v>0</v>
      </c>
      <c r="R54" s="747">
        <f ca="1">SUM(C54:Q54)</f>
        <v>455.90168194529144</v>
      </c>
    </row>
    <row r="55" spans="1:18" ht="15" thickBot="1">
      <c r="A55" s="850" t="s">
        <v>734</v>
      </c>
      <c r="B55" s="860"/>
      <c r="C55" s="718">
        <f ca="1">C25*'EF ele_warmte'!B12</f>
        <v>481.49680060980802</v>
      </c>
      <c r="D55" s="718"/>
      <c r="E55" s="718">
        <f>E25*EF_CO2_aardgas</f>
        <v>4172.7332687800008</v>
      </c>
      <c r="F55" s="718"/>
      <c r="G55" s="718"/>
      <c r="H55" s="718"/>
      <c r="I55" s="718"/>
      <c r="J55" s="718"/>
      <c r="K55" s="718"/>
      <c r="L55" s="718"/>
      <c r="M55" s="718"/>
      <c r="N55" s="718"/>
      <c r="O55" s="718"/>
      <c r="P55" s="718"/>
      <c r="Q55" s="719"/>
      <c r="R55" s="747">
        <f ca="1">SUM(C55:Q55)</f>
        <v>4654.2300693898087</v>
      </c>
    </row>
    <row r="56" spans="1:18" ht="15.75" thickBot="1">
      <c r="A56" s="848" t="s">
        <v>735</v>
      </c>
      <c r="B56" s="861"/>
      <c r="C56" s="748">
        <f ca="1">SUM(C54:C55)</f>
        <v>537.00670242718957</v>
      </c>
      <c r="D56" s="748">
        <f t="shared" ref="D56:Q56" ca="1" si="7">SUM(D54:D55)</f>
        <v>0</v>
      </c>
      <c r="E56" s="748">
        <f t="shared" si="7"/>
        <v>4301.8662162915689</v>
      </c>
      <c r="F56" s="748">
        <f t="shared" si="7"/>
        <v>1.8333518007431953</v>
      </c>
      <c r="G56" s="748">
        <f t="shared" si="7"/>
        <v>244.18680475273493</v>
      </c>
      <c r="H56" s="748">
        <f t="shared" si="7"/>
        <v>0</v>
      </c>
      <c r="I56" s="748">
        <f t="shared" si="7"/>
        <v>0</v>
      </c>
      <c r="J56" s="748">
        <f t="shared" si="7"/>
        <v>0</v>
      </c>
      <c r="K56" s="748">
        <f t="shared" si="7"/>
        <v>25.238676062863782</v>
      </c>
      <c r="L56" s="748">
        <f t="shared" si="7"/>
        <v>0</v>
      </c>
      <c r="M56" s="748">
        <f t="shared" si="7"/>
        <v>0</v>
      </c>
      <c r="N56" s="748">
        <f t="shared" si="7"/>
        <v>0</v>
      </c>
      <c r="O56" s="748">
        <f t="shared" si="7"/>
        <v>0</v>
      </c>
      <c r="P56" s="748">
        <f t="shared" si="7"/>
        <v>0</v>
      </c>
      <c r="Q56" s="749">
        <f t="shared" si="7"/>
        <v>0</v>
      </c>
      <c r="R56" s="750">
        <f ca="1">SUM(R54:R55)</f>
        <v>5110.1317513351005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33022.511423067925</v>
      </c>
      <c r="D61" s="756">
        <f t="shared" ref="D61:Q61" ca="1" si="8">D46+D52+D56</f>
        <v>1.3663813813813812</v>
      </c>
      <c r="E61" s="756">
        <f t="shared" ca="1" si="8"/>
        <v>70666.774849958034</v>
      </c>
      <c r="F61" s="756">
        <f t="shared" si="8"/>
        <v>1656.668457566803</v>
      </c>
      <c r="G61" s="756">
        <f t="shared" ca="1" si="8"/>
        <v>3713.4544920305216</v>
      </c>
      <c r="H61" s="756">
        <f t="shared" si="8"/>
        <v>72146.00241226556</v>
      </c>
      <c r="I61" s="756">
        <f t="shared" si="8"/>
        <v>13022.8086113726</v>
      </c>
      <c r="J61" s="756">
        <f t="shared" si="8"/>
        <v>0</v>
      </c>
      <c r="K61" s="756">
        <f t="shared" si="8"/>
        <v>64.737819799953684</v>
      </c>
      <c r="L61" s="756">
        <f t="shared" si="8"/>
        <v>0</v>
      </c>
      <c r="M61" s="756">
        <f t="shared" ca="1" si="8"/>
        <v>0</v>
      </c>
      <c r="N61" s="756">
        <f t="shared" si="8"/>
        <v>0</v>
      </c>
      <c r="O61" s="756">
        <f t="shared" ca="1" si="8"/>
        <v>0</v>
      </c>
      <c r="P61" s="756">
        <f t="shared" si="8"/>
        <v>0</v>
      </c>
      <c r="Q61" s="756">
        <f t="shared" si="8"/>
        <v>0</v>
      </c>
      <c r="R61" s="756">
        <f ca="1">R46+R52+R56</f>
        <v>194294.32444744278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0.21450611973935008</v>
      </c>
      <c r="D63" s="802">
        <f t="shared" ca="1" si="9"/>
        <v>0.22444444444444442</v>
      </c>
      <c r="E63" s="1008">
        <f t="shared" ca="1" si="9"/>
        <v>0.20200000000000004</v>
      </c>
      <c r="F63" s="802">
        <f t="shared" si="9"/>
        <v>0.22700000000000001</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4527.8976949486969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4.25</v>
      </c>
      <c r="D76" s="991">
        <f>'lokale energieproductie'!C8</f>
        <v>4.7222222222222214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0.95388888888888879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4527.8976949486969</v>
      </c>
      <c r="C78" s="774">
        <f>SUM(C72:C77)</f>
        <v>4.25</v>
      </c>
      <c r="D78" s="775">
        <f t="shared" ref="D78:H78" si="10">SUM(D76:D77)</f>
        <v>4.7222222222222214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0.95388888888888879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6.0878378378378377</v>
      </c>
      <c r="D87" s="798">
        <f>'lokale energieproductie'!C17</f>
        <v>6.7642642642642627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1.3663813813813812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6.0878378378378377</v>
      </c>
      <c r="D90" s="774">
        <f t="shared" ref="D90:H90" si="12">SUM(D87:D89)</f>
        <v>6.7642642642642627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1.3663813813813812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4527.8976949486969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4.25</v>
      </c>
      <c r="C8" s="574">
        <f>B101</f>
        <v>4.7222222222222214</v>
      </c>
      <c r="D8" s="575"/>
      <c r="E8" s="575">
        <f>E101</f>
        <v>0</v>
      </c>
      <c r="F8" s="576"/>
      <c r="G8" s="577"/>
      <c r="H8" s="575">
        <f>I101</f>
        <v>0</v>
      </c>
      <c r="I8" s="575">
        <f>G101+F101</f>
        <v>0</v>
      </c>
      <c r="J8" s="575">
        <f>H101+D101+C101</f>
        <v>0</v>
      </c>
      <c r="K8" s="575"/>
      <c r="L8" s="575"/>
      <c r="M8" s="575"/>
      <c r="N8" s="578"/>
      <c r="O8" s="579">
        <f>C8*$C$12+D8*$D$12+E8*$E$12+F8*$F$12+G8*$G$12+H8*$H$12+I8*$I$12+J8*$J$12</f>
        <v>0.95388888888888879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4532.1476949486969</v>
      </c>
      <c r="C10" s="589">
        <f t="shared" ref="C10:L10" si="0">SUM(C8:C9)</f>
        <v>4.7222222222222214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0.95388888888888879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6.0878378378378377</v>
      </c>
      <c r="C17" s="605">
        <f>B102</f>
        <v>6.7642642642642627</v>
      </c>
      <c r="D17" s="606"/>
      <c r="E17" s="606">
        <f>E102</f>
        <v>0</v>
      </c>
      <c r="F17" s="607"/>
      <c r="G17" s="608"/>
      <c r="H17" s="605">
        <f>I102</f>
        <v>0</v>
      </c>
      <c r="I17" s="606">
        <f>G102+F102</f>
        <v>0</v>
      </c>
      <c r="J17" s="606">
        <f>H102+D102+C102</f>
        <v>0</v>
      </c>
      <c r="K17" s="606"/>
      <c r="L17" s="606"/>
      <c r="M17" s="606"/>
      <c r="N17" s="1005"/>
      <c r="O17" s="609">
        <f>C17*$C$22+E17*$E$22+H17*$H$22+I17*$I$22+J17*$J$22+D17*$D$22+F17*$F$22+G17*$G$22+K17*$K$22+L17*$L$22</f>
        <v>1.3663813813813812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6.0878378378378377</v>
      </c>
      <c r="C20" s="588">
        <f>SUM(C17:C19)</f>
        <v>6.7642642642642627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1.3663813813813812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11040</v>
      </c>
      <c r="C28" s="817">
        <v>2900</v>
      </c>
      <c r="D28" s="666" t="s">
        <v>882</v>
      </c>
      <c r="E28" s="665" t="s">
        <v>883</v>
      </c>
      <c r="F28" s="665" t="s">
        <v>884</v>
      </c>
      <c r="G28" s="665" t="s">
        <v>885</v>
      </c>
      <c r="H28" s="665" t="s">
        <v>885</v>
      </c>
      <c r="I28" s="665" t="s">
        <v>883</v>
      </c>
      <c r="J28" s="816">
        <v>42256</v>
      </c>
      <c r="K28" s="816">
        <v>42256</v>
      </c>
      <c r="L28" s="665" t="s">
        <v>886</v>
      </c>
      <c r="M28" s="665">
        <v>3.4</v>
      </c>
      <c r="N28" s="665">
        <v>4.25</v>
      </c>
      <c r="O28" s="665">
        <v>6.0878378378378377</v>
      </c>
      <c r="P28" s="665">
        <v>11.486486486486486</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3.4</v>
      </c>
      <c r="N58" s="623">
        <f>SUM(N28:N57)</f>
        <v>4.25</v>
      </c>
      <c r="O58" s="623">
        <f t="shared" ref="O58:W58" si="2">SUM(O28:O57)</f>
        <v>6.0878378378378377</v>
      </c>
      <c r="P58" s="623">
        <f t="shared" si="2"/>
        <v>11.486486486486486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3.4</v>
      </c>
      <c r="N60" s="623">
        <f ca="1">SUMIF($Z$28:AD57,"tertiair",N28:N57)</f>
        <v>4.25</v>
      </c>
      <c r="O60" s="623">
        <f ca="1">SUMIF($Z$28:AE57,"tertiair",O28:O57)</f>
        <v>6.0878378378378377</v>
      </c>
      <c r="P60" s="623">
        <f ca="1">SUMIF($Z$28:AF57,"tertiair",P28:P57)</f>
        <v>11.486486486486486</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0.5888888888888888</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4.7222222222222214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6.7642642642642627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56584.596434794017</v>
      </c>
      <c r="C4" s="478">
        <f>huishoudens!C8</f>
        <v>0</v>
      </c>
      <c r="D4" s="478">
        <f>huishoudens!D8</f>
        <v>173845.7488724</v>
      </c>
      <c r="E4" s="478">
        <f>huishoudens!E8</f>
        <v>3828.6026454133148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11180.588106676338</v>
      </c>
      <c r="O4" s="478">
        <f>huishoudens!O8</f>
        <v>371.00018702537494</v>
      </c>
      <c r="P4" s="479">
        <f>huishoudens!P8</f>
        <v>684.70735499952639</v>
      </c>
      <c r="Q4" s="480">
        <f>SUM(B4:P4)</f>
        <v>246495.24360130855</v>
      </c>
    </row>
    <row r="5" spans="1:17">
      <c r="A5" s="477" t="s">
        <v>155</v>
      </c>
      <c r="B5" s="478">
        <f ca="1">tertiair!B16</f>
        <v>45859.697575999999</v>
      </c>
      <c r="C5" s="478">
        <f ca="1">tertiair!C16</f>
        <v>6.0878378378378377</v>
      </c>
      <c r="D5" s="478">
        <f ca="1">tertiair!D16</f>
        <v>59428.386947047504</v>
      </c>
      <c r="E5" s="478">
        <f>tertiair!E16</f>
        <v>812.21544354864477</v>
      </c>
      <c r="F5" s="478">
        <f ca="1">tertiair!F16</f>
        <v>4958.2770582381272</v>
      </c>
      <c r="G5" s="478">
        <f>tertiair!G16</f>
        <v>0</v>
      </c>
      <c r="H5" s="478">
        <f>tertiair!H16</f>
        <v>0</v>
      </c>
      <c r="I5" s="478">
        <f>tertiair!I16</f>
        <v>0</v>
      </c>
      <c r="J5" s="478">
        <f>tertiair!J16</f>
        <v>2.8611346005128352E-2</v>
      </c>
      <c r="K5" s="478">
        <f>tertiair!K16</f>
        <v>0</v>
      </c>
      <c r="L5" s="478">
        <f ca="1">tertiair!L16</f>
        <v>0</v>
      </c>
      <c r="M5" s="478">
        <f>tertiair!M16</f>
        <v>0</v>
      </c>
      <c r="N5" s="478">
        <f ca="1">tertiair!N16</f>
        <v>1147.4439933818339</v>
      </c>
      <c r="O5" s="478">
        <f>tertiair!O16</f>
        <v>4.8972607658411542</v>
      </c>
      <c r="P5" s="479">
        <f>tertiair!P16</f>
        <v>52.539138306495019</v>
      </c>
      <c r="Q5" s="477">
        <f t="shared" ref="Q5:Q14" ca="1" si="0">SUM(B5:P5)</f>
        <v>112269.57386647227</v>
      </c>
    </row>
    <row r="6" spans="1:17">
      <c r="A6" s="477" t="s">
        <v>193</v>
      </c>
      <c r="B6" s="478">
        <f>'openbare verlichting'!B8</f>
        <v>1487.9639999999999</v>
      </c>
      <c r="C6" s="478"/>
      <c r="D6" s="478"/>
      <c r="E6" s="478"/>
      <c r="F6" s="478"/>
      <c r="G6" s="478"/>
      <c r="H6" s="478"/>
      <c r="I6" s="478"/>
      <c r="J6" s="478"/>
      <c r="K6" s="478"/>
      <c r="L6" s="478"/>
      <c r="M6" s="478"/>
      <c r="N6" s="478"/>
      <c r="O6" s="478"/>
      <c r="P6" s="479"/>
      <c r="Q6" s="477">
        <f t="shared" si="0"/>
        <v>1487.9639999999999</v>
      </c>
    </row>
    <row r="7" spans="1:17">
      <c r="A7" s="477" t="s">
        <v>111</v>
      </c>
      <c r="B7" s="478">
        <f>landbouw!B8</f>
        <v>258.78003799999999</v>
      </c>
      <c r="C7" s="478">
        <f>landbouw!C8</f>
        <v>0</v>
      </c>
      <c r="D7" s="478">
        <f>landbouw!D8</f>
        <v>639.27201738400004</v>
      </c>
      <c r="E7" s="478">
        <f>landbouw!E8</f>
        <v>8.0764396508510803</v>
      </c>
      <c r="F7" s="478">
        <f>landbouw!F8</f>
        <v>914.55732117129185</v>
      </c>
      <c r="G7" s="478">
        <f>landbouw!G8</f>
        <v>0</v>
      </c>
      <c r="H7" s="478">
        <f>landbouw!H8</f>
        <v>0</v>
      </c>
      <c r="I7" s="478">
        <f>landbouw!I8</f>
        <v>0</v>
      </c>
      <c r="J7" s="478">
        <f>landbouw!J8</f>
        <v>71.295695092835544</v>
      </c>
      <c r="K7" s="478">
        <f>landbouw!K8</f>
        <v>0</v>
      </c>
      <c r="L7" s="478">
        <f>landbouw!L8</f>
        <v>0</v>
      </c>
      <c r="M7" s="478">
        <f>landbouw!M8</f>
        <v>0</v>
      </c>
      <c r="N7" s="478">
        <f>landbouw!N8</f>
        <v>0</v>
      </c>
      <c r="O7" s="478">
        <f>landbouw!O8</f>
        <v>0</v>
      </c>
      <c r="P7" s="479">
        <f>landbouw!P8</f>
        <v>0</v>
      </c>
      <c r="Q7" s="477">
        <f t="shared" si="0"/>
        <v>1891.9815112989786</v>
      </c>
    </row>
    <row r="8" spans="1:17">
      <c r="A8" s="477" t="s">
        <v>629</v>
      </c>
      <c r="B8" s="478">
        <f>industrie!B18</f>
        <v>47336.92650300001</v>
      </c>
      <c r="C8" s="478">
        <f>industrie!C18</f>
        <v>0</v>
      </c>
      <c r="D8" s="478">
        <f>industrie!D18</f>
        <v>94580.634331964</v>
      </c>
      <c r="E8" s="478">
        <f>industrie!E18</f>
        <v>2045.2713617833149</v>
      </c>
      <c r="F8" s="478">
        <f>industrie!F18</f>
        <v>8035.23487913186</v>
      </c>
      <c r="G8" s="478">
        <f>industrie!G18</f>
        <v>0</v>
      </c>
      <c r="H8" s="478">
        <f>industrie!H18</f>
        <v>0</v>
      </c>
      <c r="I8" s="478">
        <f>industrie!I18</f>
        <v>0</v>
      </c>
      <c r="J8" s="478">
        <f>industrie!J18</f>
        <v>111.55089073616973</v>
      </c>
      <c r="K8" s="478">
        <f>industrie!K18</f>
        <v>0</v>
      </c>
      <c r="L8" s="478">
        <f>industrie!L18</f>
        <v>0</v>
      </c>
      <c r="M8" s="478">
        <f>industrie!M18</f>
        <v>0</v>
      </c>
      <c r="N8" s="478">
        <f>industrie!N18</f>
        <v>2604.5370727140644</v>
      </c>
      <c r="O8" s="478">
        <f>industrie!O18</f>
        <v>0</v>
      </c>
      <c r="P8" s="479">
        <f>industrie!P18</f>
        <v>0</v>
      </c>
      <c r="Q8" s="477">
        <f t="shared" si="0"/>
        <v>154714.15503932943</v>
      </c>
    </row>
    <row r="9" spans="1:17" s="483" customFormat="1">
      <c r="A9" s="481" t="s">
        <v>555</v>
      </c>
      <c r="B9" s="482">
        <f>transport!B14</f>
        <v>174.06922700555555</v>
      </c>
      <c r="C9" s="482">
        <f>transport!C14</f>
        <v>0</v>
      </c>
      <c r="D9" s="482">
        <f>transport!D14</f>
        <v>684.38150040258449</v>
      </c>
      <c r="E9" s="482">
        <f>transport!E14</f>
        <v>603.93304161622211</v>
      </c>
      <c r="F9" s="482">
        <f>transport!F14</f>
        <v>0</v>
      </c>
      <c r="G9" s="482">
        <f>transport!G14</f>
        <v>266767.79132124269</v>
      </c>
      <c r="H9" s="482">
        <f>transport!H14</f>
        <v>52300.436190251407</v>
      </c>
      <c r="I9" s="482">
        <f>transport!I14</f>
        <v>0</v>
      </c>
      <c r="J9" s="482">
        <f>transport!J14</f>
        <v>0</v>
      </c>
      <c r="K9" s="482">
        <f>transport!K14</f>
        <v>0</v>
      </c>
      <c r="L9" s="482">
        <f>transport!L14</f>
        <v>0</v>
      </c>
      <c r="M9" s="482">
        <f>transport!M14</f>
        <v>18818.839908098176</v>
      </c>
      <c r="N9" s="482">
        <f>transport!N14</f>
        <v>0</v>
      </c>
      <c r="O9" s="482">
        <f>transport!O14</f>
        <v>0</v>
      </c>
      <c r="P9" s="482">
        <f>transport!P14</f>
        <v>0</v>
      </c>
      <c r="Q9" s="481">
        <f>SUM(B9:P9)</f>
        <v>339349.45118861663</v>
      </c>
    </row>
    <row r="10" spans="1:17">
      <c r="A10" s="477" t="s">
        <v>545</v>
      </c>
      <c r="B10" s="478">
        <f>transport!B54</f>
        <v>0</v>
      </c>
      <c r="C10" s="478">
        <f>transport!C54</f>
        <v>0</v>
      </c>
      <c r="D10" s="478">
        <f>transport!D54</f>
        <v>0</v>
      </c>
      <c r="E10" s="478">
        <f>transport!E54</f>
        <v>0</v>
      </c>
      <c r="F10" s="478">
        <f>transport!F54</f>
        <v>0</v>
      </c>
      <c r="G10" s="478">
        <f>transport!G54</f>
        <v>3441.955541175163</v>
      </c>
      <c r="H10" s="478">
        <f>transport!H54</f>
        <v>0</v>
      </c>
      <c r="I10" s="478">
        <f>transport!I54</f>
        <v>0</v>
      </c>
      <c r="J10" s="478">
        <f>transport!J54</f>
        <v>0</v>
      </c>
      <c r="K10" s="478">
        <f>transport!K54</f>
        <v>0</v>
      </c>
      <c r="L10" s="478">
        <f>transport!L54</f>
        <v>0</v>
      </c>
      <c r="M10" s="478">
        <f>transport!M54</f>
        <v>191.30426980997521</v>
      </c>
      <c r="N10" s="478">
        <f>transport!N54</f>
        <v>0</v>
      </c>
      <c r="O10" s="478">
        <f>transport!O54</f>
        <v>0</v>
      </c>
      <c r="P10" s="479">
        <f>transport!P54</f>
        <v>0</v>
      </c>
      <c r="Q10" s="477">
        <f t="shared" si="0"/>
        <v>3633.2598109851383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2244.6762880000001</v>
      </c>
      <c r="C14" s="485"/>
      <c r="D14" s="485">
        <f>'SEAP template'!E25</f>
        <v>20657.095390000002</v>
      </c>
      <c r="E14" s="485"/>
      <c r="F14" s="485"/>
      <c r="G14" s="485"/>
      <c r="H14" s="485"/>
      <c r="I14" s="485"/>
      <c r="J14" s="485"/>
      <c r="K14" s="485"/>
      <c r="L14" s="485"/>
      <c r="M14" s="485"/>
      <c r="N14" s="485"/>
      <c r="O14" s="485"/>
      <c r="P14" s="486"/>
      <c r="Q14" s="477">
        <f t="shared" si="0"/>
        <v>22901.771678000001</v>
      </c>
    </row>
    <row r="15" spans="1:17" s="489" customFormat="1">
      <c r="A15" s="487" t="s">
        <v>549</v>
      </c>
      <c r="B15" s="488">
        <f ca="1">SUM(B4:B14)</f>
        <v>153946.7100667996</v>
      </c>
      <c r="C15" s="488">
        <f t="shared" ref="C15:Q15" ca="1" si="1">SUM(C4:C14)</f>
        <v>6.0878378378378377</v>
      </c>
      <c r="D15" s="488">
        <f t="shared" ca="1" si="1"/>
        <v>349835.51905919809</v>
      </c>
      <c r="E15" s="488">
        <f t="shared" si="1"/>
        <v>7298.0989320123481</v>
      </c>
      <c r="F15" s="488">
        <f t="shared" ca="1" si="1"/>
        <v>13908.06925854128</v>
      </c>
      <c r="G15" s="488">
        <f t="shared" si="1"/>
        <v>270209.74686241784</v>
      </c>
      <c r="H15" s="488">
        <f t="shared" si="1"/>
        <v>52300.436190251407</v>
      </c>
      <c r="I15" s="488">
        <f t="shared" si="1"/>
        <v>0</v>
      </c>
      <c r="J15" s="488">
        <f t="shared" si="1"/>
        <v>182.87519717501041</v>
      </c>
      <c r="K15" s="488">
        <f t="shared" si="1"/>
        <v>0</v>
      </c>
      <c r="L15" s="488">
        <f t="shared" ca="1" si="1"/>
        <v>0</v>
      </c>
      <c r="M15" s="488">
        <f t="shared" si="1"/>
        <v>19010.144177908151</v>
      </c>
      <c r="N15" s="488">
        <f t="shared" ca="1" si="1"/>
        <v>14932.569172772237</v>
      </c>
      <c r="O15" s="488">
        <f t="shared" si="1"/>
        <v>375.89744779121611</v>
      </c>
      <c r="P15" s="488">
        <f t="shared" si="1"/>
        <v>737.24649330602142</v>
      </c>
      <c r="Q15" s="488">
        <f t="shared" ca="1" si="1"/>
        <v>882743.40069601103</v>
      </c>
    </row>
    <row r="17" spans="1:17">
      <c r="A17" s="490" t="s">
        <v>550</v>
      </c>
      <c r="B17" s="807">
        <f ca="1">huishoudens!B10</f>
        <v>0.21450611973935013</v>
      </c>
      <c r="C17" s="807">
        <f ca="1">huishoudens!C10</f>
        <v>0.22444444444444442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12137.74221824473</v>
      </c>
      <c r="C22" s="478">
        <f t="shared" ref="C22:C32" ca="1" si="3">C4*$C$17</f>
        <v>0</v>
      </c>
      <c r="D22" s="478">
        <f t="shared" ref="D22:D32" si="4">D4*$D$17</f>
        <v>35116.841272224803</v>
      </c>
      <c r="E22" s="478">
        <f t="shared" ref="E22:E32" si="5">E4*$E$17</f>
        <v>869.09280050882251</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48123.676290978357</v>
      </c>
    </row>
    <row r="23" spans="1:17">
      <c r="A23" s="477" t="s">
        <v>155</v>
      </c>
      <c r="B23" s="478">
        <f t="shared" ca="1" si="2"/>
        <v>9837.1857794478401</v>
      </c>
      <c r="C23" s="478">
        <f t="shared" ca="1" si="3"/>
        <v>1.3663813813813812</v>
      </c>
      <c r="D23" s="478">
        <f t="shared" ca="1" si="4"/>
        <v>12004.534163303597</v>
      </c>
      <c r="E23" s="478">
        <f t="shared" si="5"/>
        <v>184.37290568554238</v>
      </c>
      <c r="F23" s="478">
        <f t="shared" ca="1" si="6"/>
        <v>1323.8599745495801</v>
      </c>
      <c r="G23" s="478">
        <f t="shared" si="7"/>
        <v>0</v>
      </c>
      <c r="H23" s="478">
        <f t="shared" si="8"/>
        <v>0</v>
      </c>
      <c r="I23" s="478">
        <f t="shared" si="9"/>
        <v>0</v>
      </c>
      <c r="J23" s="478">
        <f t="shared" si="10"/>
        <v>1.0128416485815436E-2</v>
      </c>
      <c r="K23" s="478">
        <f t="shared" si="11"/>
        <v>0</v>
      </c>
      <c r="L23" s="478">
        <f t="shared" ca="1" si="12"/>
        <v>0</v>
      </c>
      <c r="M23" s="478">
        <f t="shared" si="13"/>
        <v>0</v>
      </c>
      <c r="N23" s="478">
        <f t="shared" ca="1" si="14"/>
        <v>0</v>
      </c>
      <c r="O23" s="478">
        <f t="shared" si="15"/>
        <v>0</v>
      </c>
      <c r="P23" s="479">
        <f t="shared" si="16"/>
        <v>0</v>
      </c>
      <c r="Q23" s="477">
        <f t="shared" ref="Q23:Q31" ca="1" si="17">SUM(B23:P23)</f>
        <v>23351.329332784426</v>
      </c>
    </row>
    <row r="24" spans="1:17">
      <c r="A24" s="477" t="s">
        <v>193</v>
      </c>
      <c r="B24" s="478">
        <f t="shared" ca="1" si="2"/>
        <v>319.17738395184239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319.17738395184239</v>
      </c>
    </row>
    <row r="25" spans="1:17">
      <c r="A25" s="477" t="s">
        <v>111</v>
      </c>
      <c r="B25" s="478">
        <f t="shared" ca="1" si="2"/>
        <v>55.509901817381575</v>
      </c>
      <c r="C25" s="478">
        <f t="shared" ca="1" si="3"/>
        <v>0</v>
      </c>
      <c r="D25" s="478">
        <f t="shared" si="4"/>
        <v>129.13294751156801</v>
      </c>
      <c r="E25" s="478">
        <f t="shared" si="5"/>
        <v>1.8333518007431953</v>
      </c>
      <c r="F25" s="478">
        <f t="shared" si="6"/>
        <v>244.18680475273493</v>
      </c>
      <c r="G25" s="478">
        <f t="shared" si="7"/>
        <v>0</v>
      </c>
      <c r="H25" s="478">
        <f t="shared" si="8"/>
        <v>0</v>
      </c>
      <c r="I25" s="478">
        <f t="shared" si="9"/>
        <v>0</v>
      </c>
      <c r="J25" s="478">
        <f t="shared" si="10"/>
        <v>25.238676062863782</v>
      </c>
      <c r="K25" s="478">
        <f t="shared" si="11"/>
        <v>0</v>
      </c>
      <c r="L25" s="478">
        <f t="shared" si="12"/>
        <v>0</v>
      </c>
      <c r="M25" s="478">
        <f t="shared" si="13"/>
        <v>0</v>
      </c>
      <c r="N25" s="478">
        <f t="shared" si="14"/>
        <v>0</v>
      </c>
      <c r="O25" s="478">
        <f t="shared" si="15"/>
        <v>0</v>
      </c>
      <c r="P25" s="479">
        <f t="shared" si="16"/>
        <v>0</v>
      </c>
      <c r="Q25" s="477">
        <f t="shared" ca="1" si="17"/>
        <v>455.90168194529144</v>
      </c>
    </row>
    <row r="26" spans="1:17">
      <c r="A26" s="477" t="s">
        <v>629</v>
      </c>
      <c r="B26" s="478">
        <f t="shared" ca="1" si="2"/>
        <v>10154.060424545336</v>
      </c>
      <c r="C26" s="478">
        <f t="shared" ca="1" si="3"/>
        <v>0</v>
      </c>
      <c r="D26" s="478">
        <f t="shared" si="4"/>
        <v>19105.28813505673</v>
      </c>
      <c r="E26" s="478">
        <f t="shared" si="5"/>
        <v>464.27659912481249</v>
      </c>
      <c r="F26" s="478">
        <f t="shared" si="6"/>
        <v>2145.4077127282067</v>
      </c>
      <c r="G26" s="478">
        <f t="shared" si="7"/>
        <v>0</v>
      </c>
      <c r="H26" s="478">
        <f t="shared" si="8"/>
        <v>0</v>
      </c>
      <c r="I26" s="478">
        <f t="shared" si="9"/>
        <v>0</v>
      </c>
      <c r="J26" s="478">
        <f t="shared" si="10"/>
        <v>39.489015320604082</v>
      </c>
      <c r="K26" s="478">
        <f t="shared" si="11"/>
        <v>0</v>
      </c>
      <c r="L26" s="478">
        <f t="shared" si="12"/>
        <v>0</v>
      </c>
      <c r="M26" s="478">
        <f t="shared" si="13"/>
        <v>0</v>
      </c>
      <c r="N26" s="478">
        <f t="shared" si="14"/>
        <v>0</v>
      </c>
      <c r="O26" s="478">
        <f t="shared" si="15"/>
        <v>0</v>
      </c>
      <c r="P26" s="479">
        <f t="shared" si="16"/>
        <v>0</v>
      </c>
      <c r="Q26" s="477">
        <f t="shared" ca="1" si="17"/>
        <v>31908.521886775688</v>
      </c>
    </row>
    <row r="27" spans="1:17" s="483" customFormat="1">
      <c r="A27" s="481" t="s">
        <v>555</v>
      </c>
      <c r="B27" s="801">
        <f t="shared" ca="1" si="2"/>
        <v>37.338914450989819</v>
      </c>
      <c r="C27" s="482">
        <f t="shared" ca="1" si="3"/>
        <v>0</v>
      </c>
      <c r="D27" s="482">
        <f t="shared" si="4"/>
        <v>138.24506308132209</v>
      </c>
      <c r="E27" s="482">
        <f t="shared" si="5"/>
        <v>137.09280044688242</v>
      </c>
      <c r="F27" s="482">
        <f t="shared" si="6"/>
        <v>0</v>
      </c>
      <c r="G27" s="482">
        <f t="shared" si="7"/>
        <v>71227.000282771798</v>
      </c>
      <c r="H27" s="482">
        <f t="shared" si="8"/>
        <v>13022.8086113726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84562.485672123599</v>
      </c>
    </row>
    <row r="28" spans="1:17" ht="16.5" customHeight="1">
      <c r="A28" s="477" t="s">
        <v>545</v>
      </c>
      <c r="B28" s="478">
        <f t="shared" ca="1" si="2"/>
        <v>0</v>
      </c>
      <c r="C28" s="478">
        <f t="shared" ca="1" si="3"/>
        <v>0</v>
      </c>
      <c r="D28" s="478">
        <f t="shared" si="4"/>
        <v>0</v>
      </c>
      <c r="E28" s="478">
        <f t="shared" si="5"/>
        <v>0</v>
      </c>
      <c r="F28" s="478">
        <f t="shared" si="6"/>
        <v>0</v>
      </c>
      <c r="G28" s="478">
        <f t="shared" si="7"/>
        <v>919.00212949376862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919.00212949376862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481.49680060980802</v>
      </c>
      <c r="C32" s="478">
        <f t="shared" ca="1" si="3"/>
        <v>0</v>
      </c>
      <c r="D32" s="478">
        <f t="shared" si="4"/>
        <v>4172.7332687800008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4654.2300693898087</v>
      </c>
    </row>
    <row r="33" spans="1:17" s="489" customFormat="1">
      <c r="A33" s="487" t="s">
        <v>549</v>
      </c>
      <c r="B33" s="488">
        <f ca="1">SUM(B22:B32)</f>
        <v>33022.511423067925</v>
      </c>
      <c r="C33" s="488">
        <f t="shared" ref="C33:Q33" ca="1" si="19">SUM(C22:C32)</f>
        <v>1.3663813813813812</v>
      </c>
      <c r="D33" s="488">
        <f t="shared" ca="1" si="19"/>
        <v>70666.774849958019</v>
      </c>
      <c r="E33" s="488">
        <f t="shared" si="19"/>
        <v>1656.668457566803</v>
      </c>
      <c r="F33" s="488">
        <f t="shared" ca="1" si="19"/>
        <v>3713.4544920305216</v>
      </c>
      <c r="G33" s="488">
        <f t="shared" si="19"/>
        <v>72146.00241226556</v>
      </c>
      <c r="H33" s="488">
        <f t="shared" si="19"/>
        <v>13022.8086113726</v>
      </c>
      <c r="I33" s="488">
        <f t="shared" si="19"/>
        <v>0</v>
      </c>
      <c r="J33" s="488">
        <f t="shared" si="19"/>
        <v>64.737819799953684</v>
      </c>
      <c r="K33" s="488">
        <f t="shared" si="19"/>
        <v>0</v>
      </c>
      <c r="L33" s="488">
        <f t="shared" ca="1" si="19"/>
        <v>0</v>
      </c>
      <c r="M33" s="488">
        <f t="shared" si="19"/>
        <v>0</v>
      </c>
      <c r="N33" s="488">
        <f t="shared" ca="1" si="19"/>
        <v>0</v>
      </c>
      <c r="O33" s="488">
        <f t="shared" si="19"/>
        <v>0</v>
      </c>
      <c r="P33" s="488">
        <f t="shared" si="19"/>
        <v>0</v>
      </c>
      <c r="Q33" s="488">
        <f t="shared" ca="1" si="19"/>
        <v>194294.32444744281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4527.8976949486969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4.25</v>
      </c>
      <c r="D8" s="1062">
        <f>'SEAP template'!D76</f>
        <v>4.7222222222222214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0.95388888888888879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4527.8976949486969</v>
      </c>
      <c r="C10" s="1064">
        <f>SUM(C4:C9)</f>
        <v>4.25</v>
      </c>
      <c r="D10" s="1064">
        <f t="shared" ref="D10:H10" si="0">SUM(D8:D9)</f>
        <v>4.7222222222222214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0.95388888888888879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0.21450611973935013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6.0878378378378377</v>
      </c>
      <c r="D17" s="1063">
        <f>'SEAP template'!D87</f>
        <v>6.7642642642642627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1.3663813813813812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6.0878378378378377</v>
      </c>
      <c r="D20" s="1064">
        <f t="shared" ref="D20:H20" si="2">SUM(D17:D19)</f>
        <v>6.7642642642642627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1.3663813813813812</v>
      </c>
    </row>
    <row r="21" spans="1:16">
      <c r="B21" s="913"/>
    </row>
    <row r="22" spans="1:16">
      <c r="A22" s="490" t="s">
        <v>815</v>
      </c>
      <c r="B22" s="807" t="s">
        <v>813</v>
      </c>
      <c r="C22" s="807">
        <f ca="1">'EF ele_warmte'!B22</f>
        <v>0.22444444444444442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0.21450611973935013</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3</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4.6900000000000004</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2019-06-29T17:07:59Z</dcterms:modified>
</cp:coreProperties>
</file>