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R25" i="14"/>
  <c r="D14" i="48"/>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L2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L6" i="17"/>
  <c r="L5" s="1"/>
  <c r="D16" i="16"/>
  <c r="J30" i="48"/>
  <c r="J32"/>
  <c r="G20" i="59"/>
  <c r="J15" i="16"/>
  <c r="D6" i="17"/>
  <c r="O20" i="59"/>
  <c r="D89" i="14"/>
  <c r="D19" i="59" s="1"/>
  <c r="O19" i="18"/>
  <c r="K10"/>
  <c r="N77" i="14"/>
  <c r="L10" i="18"/>
  <c r="O77" i="14"/>
  <c r="B89"/>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E78" i="14"/>
  <c r="E9" i="59"/>
  <c r="E10" s="1"/>
  <c r="O78" i="14"/>
  <c r="O9" i="59"/>
  <c r="O10" s="1"/>
  <c r="K15" i="48"/>
  <c r="Q13" i="14"/>
  <c r="C89"/>
  <c r="C19" i="59" s="1"/>
  <c r="I15" i="48"/>
  <c r="N78" i="14"/>
  <c r="N9" i="59"/>
  <c r="N10" s="1"/>
  <c r="M24" i="48"/>
  <c r="M32"/>
  <c r="G78" i="14"/>
  <c r="G9" i="59"/>
  <c r="G10" s="1"/>
  <c r="I33" i="48"/>
  <c r="I20" i="15"/>
  <c r="J40" i="14" s="1"/>
  <c r="J27"/>
  <c r="P22" i="48"/>
  <c r="L8"/>
  <c r="L26" s="1"/>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G14" i="22"/>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J5" i="48"/>
  <c r="J23" s="1"/>
  <c r="O15"/>
  <c r="J20" i="15"/>
  <c r="K40" i="14" s="1"/>
  <c r="I90"/>
  <c r="I17" i="59"/>
  <c r="I20" s="1"/>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<sst xmlns="http://schemas.openxmlformats.org/spreadsheetml/2006/main" count="2367" uniqueCount="882">
  <si>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</si>
  <si>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</si>
  <si>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</si>
  <si>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</si>
  <si>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</si>
  <si>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</si>
  <si>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</si>
  <si>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</si>
  <si>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</si>
  <si>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</si>
  <si>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</si>
  <si>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</si>
  <si>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</si>
  <si>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</si>
  <si>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</si>
  <si>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</si>
  <si>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</si>
  <si>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</si>
  <si>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</si>
  <si>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</si>
  <si>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</si>
  <si>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</si>
  <si>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</si>
  <si>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</si>
  <si>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</si>
  <si>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</si>
  <si>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</si>
  <si>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</si>
  <si>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</si>
  <si>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</si>
  <si>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</si>
  <si>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</si>
  <si>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</si>
  <si>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</si>
  <si>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</si>
  <si>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</si>
  <si>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</si>
  <si>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</si>
  <si>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</si>
  <si>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</si>
  <si>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</si>
  <si>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</si>
  <si>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</si>
  <si>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</si>
  <si>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</si>
  <si>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</si>
  <si>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</si>
  <si>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</si>
  <si>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</si>
  <si>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</si>
  <si>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</si>
  <si>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</si>
  <si>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</si>
  <si>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</si>
  <si>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</si>
  <si>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</si>
  <si>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</si>
  <si>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</si>
  <si>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</si>
  <si>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</si>
  <si>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</si>
  <si>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</si>
  <si>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</si>
  <si>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</si>
  <si>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</si>
  <si>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</si>
  <si>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</si>
  <si>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</si>
  <si>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</si>
  <si>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</si>
  <si>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</si>
  <si>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</si>
  <si>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</si>
  <si>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</si>
  <si>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</si>
  <si>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</si>
  <si>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</si>
  <si>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</si>
  <si>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</si>
  <si>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</si>
  <si>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</si>
  <si>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</si>
  <si>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</si>
  <si>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</si>
  <si>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</si>
  <si>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</si>
  <si>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</si>
  <si>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</si>
  <si>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</si>
  <si>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</si>
  <si>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</si>
  <si>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</si>
  <si>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</si>
  <si>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</si>
  <si>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</si>
  <si>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</si>
  <si>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</si>
  <si>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</si>
  <si>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</si>
  <si>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</si>
  <si>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</si>
  <si>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</si>
  <si>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</si>
  <si>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</si>
  <si>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</si>
  <si>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</si>
  <si>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</si>
  <si>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</si>
  <si>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</si>
  <si>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</si>
  <si>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</si>
  <si>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</si>
  <si>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</si>
  <si>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</si>
  <si>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</si>
  <si>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</si>
  <si>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</si>
  <si>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</si>
  <si>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</si>
  <si>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</si>
  <si>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</si>
  <si>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</si>
  <si>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</si>
  <si>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</si>
  <si>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</si>
  <si>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</si>
  <si>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</si>
  <si>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</si>
  <si>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</si>
  <si>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</si>
  <si>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</si>
  <si>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</si>
  <si>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</si>
  <si>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</si>
  <si>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</si>
  <si>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</si>
  <si>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</si>
  <si>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</si>
  <si>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</si>
  <si>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</si>
  <si>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</si>
  <si>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</si>
  <si>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</si>
  <si>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</si>
  <si>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</si>
  <si>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</si>
  <si>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</si>
  <si>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</si>
  <si>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</si>
  <si>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</si>
  <si>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</si>
  <si>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</si>
  <si>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</si>
  <si>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</si>
  <si>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</si>
  <si>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</si>
  <si>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</si>
  <si>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</si>
  <si>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</si>
  <si>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</si>
  <si>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</si>
  <si>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</si>
  <si>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</si>
  <si>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</si>
  <si>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</si>
  <si>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</si>
  <si>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</si>
  <si>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</si>
  <si>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</si>
  <si>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</si>
  <si>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</si>
  <si>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</si>
  <si>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</si>
  <si>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</si>
  <si>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</si>
  <si>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</si>
  <si>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</si>
  <si>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</si>
  <si>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</si>
  <si>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</si>
  <si>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</si>
  <si>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</si>
  <si>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</si>
  <si>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</si>
  <si>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</si>
  <si>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</si>
  <si>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</si>
  <si>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</si>
  <si>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</si>
  <si>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</si>
  <si>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</si>
  <si>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</si>
  <si>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</si>
  <si>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</si>
  <si>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</si>
  <si>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</si>
  <si>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</si>
  <si>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</si>
  <si>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</si>
  <si>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</si>
  <si>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</si>
  <si>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</si>
  <si>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</si>
  <si>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</si>
  <si>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</si>
  <si>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</si>
  <si>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</si>
  <si>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</si>
  <si>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</si>
  <si>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</si>
  <si>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</si>
  <si>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</si>
  <si>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</si>
  <si>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</si>
  <si>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</si>
  <si>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</si>
  <si>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</si>
  <si>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</si>
  <si>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</si>
  <si>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</si>
  <si>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</si>
  <si>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</si>
  <si>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</si>
  <si>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</si>
  <si>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</si>
  <si>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</si>
  <si>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</si>
  <si>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</si>
  <si>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</si>
  <si>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</si>
  <si>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</si>
  <si>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</si>
  <si>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</si>
  <si>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</si>
  <si>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</si>
  <si>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</si>
  <si>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</si>
  <si>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</si>
  <si>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</si>
  <si>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</si>
  <si>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</si>
  <si>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</si>
  <si>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</si>
  <si>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</si>
  <si>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</si>
  <si>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</si>
  <si>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</si>
  <si>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</si>
  <si>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</si>
  <si>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</si>
  <si>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</si>
  <si>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</si>
  <si>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</si>
  <si>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</si>
  <si>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</si>
  <si>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</si>
  <si>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</si>
  <si>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</si>
  <si>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</si>
  <si>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</si>
  <si>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</si>
  <si>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</si>
  <si>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</si>
  <si>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</si>
  <si>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</si>
  <si>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</si>
  <si>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</si>
  <si>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</si>
  <si>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</si>
  <si>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</si>
  <si>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</si>
  <si>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</si>
  <si>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</si>
  <si>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</si>
  <si>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</si>
  <si>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</si>
  <si>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</si>
  <si>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</si>
  <si>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</si>
  <si>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</si>
  <si>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</si>
  <si>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</si>
  <si>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</si>
  <si>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</si>
  <si>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</si>
  <si>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</si>
  <si>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</si>
  <si>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</si>
  <si>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</si>
  <si>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</si>
  <si>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</si>
  <si>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</si>
  <si>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</si>
  <si>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</si>
  <si>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</si>
  <si>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</si>
  <si>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</si>
  <si>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</si>
  <si>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</si>
  <si>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</si>
  <si>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</si>
  <si>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</si>
  <si>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</si>
  <si>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</si>
  <si>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</si>
  <si>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</si>
  <si>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</si>
  <si>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</si>
  <si>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</si>
  <si>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</si>
  <si>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</si>
  <si>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</si>
  <si>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</si>
  <si>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</si>
  <si>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</si>
  <si>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</si>
  <si>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</si>
  <si>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</si>
  <si>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</si>
  <si>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</si>
  <si>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</si>
  <si>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</si>
  <si>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</si>
  <si>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</si>
  <si>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</si>
  <si>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</si>
  <si>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</si>
  <si>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</si>
  <si>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</si>
  <si>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</si>
  <si>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</si>
  <si>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</si>
  <si>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</si>
  <si>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</si>
  <si>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</si>
  <si>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</si>
  <si>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</si>
  <si>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</si>
  <si>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</si>
  <si>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</si>
  <si>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</si>
  <si>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</si>
  <si>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</si>
  <si>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</si>
  <si>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</si>
  <si>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</si>
  <si>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</si>
  <si>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</si>
  <si>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</si>
  <si>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</si>
  <si>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</si>
  <si>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</si>
  <si>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</si>
  <si>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</si>
  <si>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</si>
  <si>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</si>
  <si>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</si>
  <si>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</si>
  <si>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</si>
  <si>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</si>
  <si>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</si>
  <si>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</si>
  <si>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</si>
  <si>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</si>
  <si>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</si>
  <si>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</si>
  <si>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</si>
  <si>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</si>
  <si>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</si>
  <si>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</si>
  <si>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</si>
  <si>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</si>
  <si>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</si>
  <si>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</si>
  <si>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</si>
  <si>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</si>
  <si>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</si>
  <si>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</si>
  <si>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</si>
  <si>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</si>
  <si>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</si>
  <si>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</si>
  <si>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</si>
  <si>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</si>
  <si>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</si>
  <si>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</si>
  <si>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</si>
  <si>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</si>
  <si>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</si>
  <si>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</si>
  <si>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</si>
  <si>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</si>
  <si>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</si>
  <si>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</si>
  <si>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</si>
  <si>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</si>
  <si>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</si>
  <si>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</si>
  <si>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</si>
  <si>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</si>
  <si>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</si>
  <si>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</si>
  <si>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</si>
  <si>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</si>
  <si>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</si>
  <si>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</si>
  <si>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</si>
  <si>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</si>
  <si>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</si>
  <si>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</si>
  <si>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</si>
  <si>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</si>
  <si>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</si>
  <si>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</si>
  <si>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</si>
  <si>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</si>
  <si>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</si>
  <si>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</si>
  <si>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</si>
  <si>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</si>
  <si>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</si>
  <si>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</si>
  <si>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</si>
  <si>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</si>
  <si>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</si>
  <si>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</si>
  <si>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</si>
  <si>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</si>
  <si>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</si>
  <si>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</si>
  <si>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</si>
  <si>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</si>
  <si>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</si>
  <si>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</si>
  <si>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</si>
  <si>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</si>
  <si>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</si>
  <si>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</si>
  <si>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</si>
  <si>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</si>
  <si>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</si>
  <si>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</si>
  <si>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</si>
  <si>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</si>
  <si>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</si>
  <si>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</si>
  <si>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</si>
  <si>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</si>
  <si>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</si>
  <si>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</si>
  <si>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</si>
  <si>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</si>
  <si>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</si>
  <si>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</si>
  <si>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</si>
  <si>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</si>
  <si>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</si>
  <si>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</si>
  <si>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</si>
  <si>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</si>
  <si>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</si>
  <si>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</si>
  <si>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</si>
  <si>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</si>
  <si>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</si>
  <si>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</si>
  <si>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</si>
  <si>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</si>
  <si>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</si>
  <si>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</si>
  <si>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</si>
  <si>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</si>
  <si>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</si>
  <si>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</si>
  <si>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</si>
  <si>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</si>
  <si>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</si>
  <si>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</si>
  <si>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</si>
  <si>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</si>
  <si>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</si>
  <si>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</si>
  <si>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</si>
  <si>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</si>
  <si>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</si>
  <si>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</si>
  <si>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</si>
  <si>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</si>
  <si>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</si>
  <si>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</si>
  <si>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</si>
  <si>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</si>
  <si>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</si>
  <si>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</si>
  <si>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</si>
  <si>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</si>
  <si>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</si>
  <si>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</si>
  <si>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</si>
  <si>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</si>
  <si>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</si>
  <si>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</si>
  <si>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</si>
  <si>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</si>
  <si>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</si>
  <si>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</si>
  <si>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</si>
  <si>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</si>
  <si>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</si>
  <si>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</si>
  <si>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</si>
  <si>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</si>
  <si>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</si>
  <si>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</si>
  <si>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</si>
  <si>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</si>
  <si>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</si>
  <si>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</si>
  <si>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</si>
  <si>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</si>
  <si>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</si>
  <si>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</si>
  <si>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</si>
  <si>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</si>
  <si>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</si>
  <si>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</si>
  <si>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</si>
  <si>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</si>
  <si>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</si>
  <si>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</si>
  <si>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</si>
  <si>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</si>
  <si>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</si>
  <si>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</si>
  <si>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</si>
  <si>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</si>
  <si>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</si>
  <si>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</si>
  <si>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</si>
  <si>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</si>
  <si>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</si>
  <si>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</si>
  <si>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</si>
  <si>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</si>
  <si>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</si>
  <si>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</si>
  <si>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</si>
  <si>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</si>
  <si>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</si>
  <si>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</si>
  <si>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</si>
  <si>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</si>
  <si>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</si>
  <si>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</si>
  <si>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</si>
  <si>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</si>
  <si>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</si>
  <si>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</si>
  <si>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</si>
  <si>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</si>
  <si>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</si>
  <si>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</si>
  <si>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</si>
  <si>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</si>
  <si>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</si>
  <si>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</si>
  <si>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</si>
  <si>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</si>
  <si>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</si>
  <si>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</si>
  <si>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</si>
  <si>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</si>
  <si>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</si>
  <si>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</si>
  <si>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</si>
  <si>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</si>
  <si>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</si>
  <si>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</si>
  <si>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</si>
  <si>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</si>
  <si>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</si>
  <si>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</si>
  <si>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</si>
  <si>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</si>
  <si>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</si>
  <si>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</si>
  <si>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</si>
  <si>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</si>
  <si>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</si>
  <si>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</si>
  <si>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</si>
  <si>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</si>
  <si>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</si>
  <si>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</si>
  <si>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</si>
  <si>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</si>
  <si>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</si>
  <si>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</si>
  <si>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</si>
  <si>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</si>
  <si>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</si>
  <si>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</si>
  <si>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</si>
  <si>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</si>
  <si>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</si>
  <si>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</si>
  <si>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</si>
  <si>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</si>
  <si>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</si>
  <si>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</si>
  <si>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</si>
  <si>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</si>
  <si>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</si>
  <si>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</si>
  <si>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</si>
  <si>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</si>
  <si>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</si>
  <si>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</si>
  <si>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</si>
  <si>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</si>
  <si>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</si>
  <si>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</si>
  <si>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</si>
  <si>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</si>
  <si>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</si>
  <si>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</si>
  <si>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</si>
  <si>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</si>
  <si>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</si>
  <si>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</si>
  <si>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</si>
  <si>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</si>
  <si>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</si>
  <si>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</si>
  <si>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</si>
  <si>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</si>
  <si>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</si>
  <si>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</si>
  <si>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</si>
  <si>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</si>
  <si>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</si>
  <si>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</si>
  <si>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</si>
  <si>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</si>
  <si>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</si>
  <si>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</si>
  <si>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</si>
  <si>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</si>
  <si>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</si>
  <si>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</si>
  <si>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</si>
  <si>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</si>
  <si>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</si>
  <si>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</si>
  <si>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</si>
  <si>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</si>
  <si>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</si>
  <si>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</si>
  <si>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</si>
  <si>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</si>
  <si>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</si>
  <si>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</si>
  <si>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</si>
  <si>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</si>
  <si>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</si>
  <si>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</si>
  <si>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</si>
  <si>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</si>
  <si>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</si>
  <si>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</si>
  <si>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</si>
  <si>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</si>
  <si>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</si>
  <si>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</si>
  <si>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</si>
  <si>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</si>
  <si>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</si>
  <si>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</si>
  <si>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</si>
  <si>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</si>
  <si>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</si>
  <si>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</si>
  <si>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</si>
  <si>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</si>
  <si>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</si>
  <si>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</si>
  <si>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</si>
  <si>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</si>
  <si>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</si>
  <si>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</si>
  <si>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</si>
  <si>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</si>
  <si>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</si>
  <si>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</si>
  <si>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</si>
  <si>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</si>
  <si>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</si>
  <si>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</si>
  <si>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</si>
  <si>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</si>
  <si>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</si>
  <si>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</si>
  <si>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</si>
  <si>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</si>
  <si>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</si>
  <si>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</si>
  <si>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</si>
  <si>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</si>
  <si>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</si>
  <si>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</si>
  <si>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</si>
  <si>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</si>
  <si>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</si>
  <si>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</si>
  <si>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</si>
  <si>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</si>
  <si>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</si>
  <si>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</si>
  <si>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</si>
  <si>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</si>
  <si>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</si>
  <si>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</si>
  <si>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</si>
  <si>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</si>
  <si>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</si>
  <si>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</si>
  <si>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</si>
  <si>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</si>
  <si>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</si>
  <si>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</si>
  <si>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</si>
  <si>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</si>
  <si>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</si>
  <si>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</si>
  <si>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</si>
  <si>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</si>
  <si>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</si>
  <si>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</si>
  <si>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</si>
  <si>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</si>
  <si>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</si>
  <si>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</si>
  <si>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</si>
  <si>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</si>
  <si>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</si>
  <si>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</si>
  <si>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</si>
  <si>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</si>
  <si>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</si>
  <si>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</si>
  <si>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</si>
  <si>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</si>
  <si>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</si>
  <si>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</si>
  <si>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</si>
  <si>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</si>
  <si>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</si>
  <si>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</si>
  <si>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</si>
  <si>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</si>
  <si>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</si>
  <si>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</si>
  <si>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</si>
  <si>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</si>
  <si>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</si>
  <si>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</si>
  <si>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</si>
  <si>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</si>
  <si>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</si>
  <si>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</si>
  <si>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</si>
  <si>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</si>
  <si>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</si>
  <si>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</si>
  <si>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</si>
  <si>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</si>
  <si>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</si>
  <si>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</si>
  <si>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</si>
  <si>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</si>
  <si>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</si>
  <si>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</si>
  <si>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</si>
  <si>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</si>
  <si>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</si>
  <si>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</si>
  <si>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</si>
  <si>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</si>
  <si>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</si>
  <si>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</si>
  <si>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</si>
  <si>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</si>
  <si>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</si>
  <si>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</si>
  <si>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</si>
  <si>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</si>
  <si>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</si>
  <si>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</si>
  <si>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</si>
  <si>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</si>
  <si>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</si>
  <si>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</si>
  <si>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</si>
  <si>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</si>
  <si>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</si>
  <si>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</si>
  <si>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</si>
  <si>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</si>
  <si>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</si>
  <si>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</si>
  <si>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</si>
  <si>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</si>
  <si>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</si>
  <si>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</si>
  <si>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</si>
  <si>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</si>
  <si>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</si>
  <si>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</si>
  <si>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</si>
  <si>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</si>
  <si>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</si>
  <si>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</si>
  <si>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</si>
  <si>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</si>
  <si>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</si>
  <si>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</si>
  <si>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</si>
  <si>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</si>
  <si>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</si>
  <si>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</si>
  <si>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</si>
  <si>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</si>
  <si>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</si>
  <si>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</si>
  <si>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</si>
  <si>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</si>
  <si>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</si>
  <si>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</si>
  <si>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</si>
  <si>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</si>
  <si>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</si>
  <si>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</si>
  <si>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</si>
  <si>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</si>
  <si>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</si>
  <si>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</si>
  <si>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</si>
  <si>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</si>
  <si>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</si>
  <si>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</si>
  <si>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</si>
  <si>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</si>
  <si>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</si>
  <si>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</si>
  <si>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</si>
  <si>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</si>
  <si>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</si>
  <si>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</si>
  <si>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</si>
  <si>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</si>
  <si>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</si>
  <si>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</si>
  <si>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</si>
  <si>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</si>
  <si>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</si>
  <si>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</si>
  <si>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</si>
  <si>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</si>
  <si>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</si>
  <si>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</si>
  <si>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</si>
  <si>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</si>
  <si>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</si>
  <si>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</si>
  <si>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11038</t>
  </si>
  <si>
    <t>SCHELLE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</si>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</sst>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55107.417730159279</c:v>
                </c:pt>
                <c:pt idx="1">
                  <c:v>28483.150405195702</c:v>
                </c:pt>
                <c:pt idx="2">
                  <c:v>403.86099999999999</c:v>
                </c:pt>
                <c:pt idx="3">
                  <c:v>699.2181566971235</c:v>
                </c:pt>
                <c:pt idx="4">
                  <c:v>5479.9452578159126</c:v>
                </c:pt>
                <c:pt idx="5">
                  <c:v>67216.818798277309</c:v>
                </c:pt>
                <c:pt idx="6">
                  <c:v>649.6749412651958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846784"/>
        <c:axId val="181848320"/>
      </c:barChart>
      <c:catAx>
        <c:axId val="181846784"/>
        <c:scaling>
          <c:orientation val="minMax"/>
        </c:scaling>
        <c:axPos val="b"/>
        <c:numFmt formatCode="General" sourceLinked="0"/>
        <c:tickLblPos val="nextTo"/>
        <c:crossAx val="181848320"/>
        <c:crosses val="autoZero"/>
        <c:auto val="1"/>
        <c:lblAlgn val="ctr"/>
        <c:lblOffset val="100"/>
      </c:catAx>
      <c:valAx>
        <c:axId val="181848320"/>
        <c:scaling>
          <c:orientation val="minMax"/>
        </c:scaling>
        <c:axPos val="l"/>
        <c:majorGridlines/>
        <c:numFmt formatCode="#,##0" sourceLinked="1"/>
        <c:tickLblPos val="nextTo"/>
        <c:crossAx val="181846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55107.417730159279</c:v>
                </c:pt>
                <c:pt idx="1">
                  <c:v>28483.150405195702</c:v>
                </c:pt>
                <c:pt idx="2">
                  <c:v>403.86099999999999</c:v>
                </c:pt>
                <c:pt idx="3">
                  <c:v>699.2181566971235</c:v>
                </c:pt>
                <c:pt idx="4">
                  <c:v>5479.9452578159126</c:v>
                </c:pt>
                <c:pt idx="5">
                  <c:v>67216.818798277309</c:v>
                </c:pt>
                <c:pt idx="6">
                  <c:v>649.6749412651958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9642.2538329567342</c:v>
                </c:pt>
                <c:pt idx="1">
                  <c:v>4992.7310809577366</c:v>
                </c:pt>
                <c:pt idx="2">
                  <c:v>58.940221877813627</c:v>
                </c:pt>
                <c:pt idx="3">
                  <c:v>171.56033136003754</c:v>
                </c:pt>
                <c:pt idx="4">
                  <c:v>1055.6601981789042</c:v>
                </c:pt>
                <c:pt idx="5">
                  <c:v>16777.32255610705</c:v>
                </c:pt>
                <c:pt idx="6">
                  <c:v>164.32974396608495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205824"/>
        <c:axId val="182273152"/>
      </c:barChart>
      <c:catAx>
        <c:axId val="182205824"/>
        <c:scaling>
          <c:orientation val="minMax"/>
        </c:scaling>
        <c:axPos val="b"/>
        <c:numFmt formatCode="General" sourceLinked="0"/>
        <c:tickLblPos val="nextTo"/>
        <c:crossAx val="182273152"/>
        <c:crosses val="autoZero"/>
        <c:auto val="1"/>
        <c:lblAlgn val="ctr"/>
        <c:lblOffset val="100"/>
      </c:catAx>
      <c:valAx>
        <c:axId val="182273152"/>
        <c:scaling>
          <c:orientation val="minMax"/>
        </c:scaling>
        <c:axPos val="l"/>
        <c:majorGridlines/>
        <c:numFmt formatCode="#,##0" sourceLinked="1"/>
        <c:tickLblPos val="nextTo"/>
        <c:crossAx val="1822058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9642.2538329567342</c:v>
                </c:pt>
                <c:pt idx="1">
                  <c:v>4992.7310809577366</c:v>
                </c:pt>
                <c:pt idx="2">
                  <c:v>58.940221877813627</c:v>
                </c:pt>
                <c:pt idx="3">
                  <c:v>171.56033136003754</c:v>
                </c:pt>
                <c:pt idx="4">
                  <c:v>1055.6601981789042</c:v>
                </c:pt>
                <c:pt idx="5">
                  <c:v>16777.32255610705</c:v>
                </c:pt>
                <c:pt idx="6">
                  <c:v>164.32974396608495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11038</v>
      </c>
      <c r="B6" s="415"/>
      <c r="C6" s="416"/>
    </row>
    <row r="7" spans="1:7" s="413" customFormat="1" ht="15.75" customHeight="1">
      <c r="A7" s="417" t="str">
        <f>txtMunicipality</f>
        <v>SCHELLE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0.14594185097796922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0.14594185097796922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11038</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3443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276.05</v>
      </c>
    </row>
    <row r="15" spans="1:6">
      <c r="A15" s="348" t="s">
        <v>183</v>
      </c>
      <c r="B15" s="334">
        <v>1</v>
      </c>
    </row>
    <row r="16" spans="1:6">
      <c r="A16" s="348" t="s">
        <v>6</v>
      </c>
      <c r="B16" s="334">
        <v>137</v>
      </c>
    </row>
    <row r="17" spans="1:6">
      <c r="A17" s="348" t="s">
        <v>7</v>
      </c>
      <c r="B17" s="334">
        <v>18</v>
      </c>
    </row>
    <row r="18" spans="1:6">
      <c r="A18" s="348" t="s">
        <v>8</v>
      </c>
      <c r="B18" s="334">
        <v>50</v>
      </c>
    </row>
    <row r="19" spans="1:6">
      <c r="A19" s="348" t="s">
        <v>9</v>
      </c>
      <c r="B19" s="334">
        <v>44</v>
      </c>
    </row>
    <row r="20" spans="1:6">
      <c r="A20" s="348" t="s">
        <v>10</v>
      </c>
      <c r="B20" s="334">
        <v>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136</v>
      </c>
    </row>
    <row r="27" spans="1:6">
      <c r="A27" s="348" t="s">
        <v>17</v>
      </c>
      <c r="B27" s="334">
        <v>0</v>
      </c>
    </row>
    <row r="28" spans="1:6" s="356" customFormat="1">
      <c r="A28" s="355" t="s">
        <v>18</v>
      </c>
      <c r="B28" s="355">
        <v>0</v>
      </c>
    </row>
    <row r="29" spans="1:6">
      <c r="A29" s="355" t="s">
        <v>713</v>
      </c>
      <c r="B29" s="355">
        <v>11</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v>
      </c>
      <c r="F36" s="334">
        <v>53759.222000000002</v>
      </c>
    </row>
    <row r="37" spans="1:6">
      <c r="A37" s="348" t="s">
        <v>24</v>
      </c>
      <c r="B37" s="348" t="s">
        <v>27</v>
      </c>
      <c r="C37" s="334">
        <v>0</v>
      </c>
      <c r="D37" s="334">
        <v>0</v>
      </c>
      <c r="E37" s="334">
        <v>0</v>
      </c>
      <c r="F37" s="334">
        <v>0</v>
      </c>
    </row>
    <row r="38" spans="1:6">
      <c r="A38" s="348" t="s">
        <v>24</v>
      </c>
      <c r="B38" s="348" t="s">
        <v>28</v>
      </c>
      <c r="C38" s="334">
        <v>0</v>
      </c>
      <c r="D38" s="334">
        <v>0</v>
      </c>
      <c r="E38" s="334">
        <v>2</v>
      </c>
      <c r="F38" s="334">
        <v>32333.234</v>
      </c>
    </row>
    <row r="39" spans="1:6">
      <c r="A39" s="348" t="s">
        <v>29</v>
      </c>
      <c r="B39" s="348" t="s">
        <v>30</v>
      </c>
      <c r="C39" s="334">
        <v>2815</v>
      </c>
      <c r="D39" s="334">
        <v>40768807</v>
      </c>
      <c r="E39" s="334">
        <v>3388</v>
      </c>
      <c r="F39" s="334">
        <v>12613370.23</v>
      </c>
    </row>
    <row r="40" spans="1:6">
      <c r="A40" s="348" t="s">
        <v>29</v>
      </c>
      <c r="B40" s="348" t="s">
        <v>28</v>
      </c>
      <c r="C40" s="334">
        <v>0</v>
      </c>
      <c r="D40" s="334">
        <v>0</v>
      </c>
      <c r="E40" s="334">
        <v>0</v>
      </c>
      <c r="F40" s="334">
        <v>0</v>
      </c>
    </row>
    <row r="41" spans="1:6">
      <c r="A41" s="348" t="s">
        <v>31</v>
      </c>
      <c r="B41" s="348" t="s">
        <v>32</v>
      </c>
      <c r="C41" s="334">
        <v>9</v>
      </c>
      <c r="D41" s="334">
        <v>844811.45900000003</v>
      </c>
      <c r="E41" s="334">
        <v>37</v>
      </c>
      <c r="F41" s="334">
        <v>725173.42700000003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24</v>
      </c>
      <c r="D48" s="334">
        <v>611449.00899999996</v>
      </c>
      <c r="E48" s="334">
        <v>31</v>
      </c>
      <c r="F48" s="334">
        <v>329252.72399999999</v>
      </c>
    </row>
    <row r="49" spans="1:6">
      <c r="A49" s="348" t="s">
        <v>31</v>
      </c>
      <c r="B49" s="348" t="s">
        <v>39</v>
      </c>
      <c r="C49" s="334">
        <v>0</v>
      </c>
      <c r="D49" s="334">
        <v>0</v>
      </c>
      <c r="E49" s="334">
        <v>0</v>
      </c>
      <c r="F49" s="334">
        <v>0</v>
      </c>
    </row>
    <row r="50" spans="1:6">
      <c r="A50" s="348" t="s">
        <v>31</v>
      </c>
      <c r="B50" s="348" t="s">
        <v>40</v>
      </c>
      <c r="C50" s="334">
        <v>10</v>
      </c>
      <c r="D50" s="334">
        <v>1871605.047</v>
      </c>
      <c r="E50" s="334">
        <v>10</v>
      </c>
      <c r="F50" s="334">
        <v>430503.89199999999</v>
      </c>
    </row>
    <row r="51" spans="1:6">
      <c r="A51" s="348" t="s">
        <v>41</v>
      </c>
      <c r="B51" s="348" t="s">
        <v>42</v>
      </c>
      <c r="C51" s="334">
        <v>0</v>
      </c>
      <c r="D51" s="334">
        <v>0</v>
      </c>
      <c r="E51" s="334">
        <v>4</v>
      </c>
      <c r="F51" s="334">
        <v>38372.392</v>
      </c>
    </row>
    <row r="52" spans="1:6">
      <c r="A52" s="348" t="s">
        <v>41</v>
      </c>
      <c r="B52" s="348" t="s">
        <v>28</v>
      </c>
      <c r="C52" s="334">
        <v>1</v>
      </c>
      <c r="D52" s="334">
        <v>22995.58</v>
      </c>
      <c r="E52" s="334">
        <v>3</v>
      </c>
      <c r="F52" s="334">
        <v>101784.67</v>
      </c>
    </row>
    <row r="53" spans="1:6">
      <c r="A53" s="348" t="s">
        <v>43</v>
      </c>
      <c r="B53" s="348" t="s">
        <v>44</v>
      </c>
      <c r="C53" s="334">
        <v>48</v>
      </c>
      <c r="D53" s="334">
        <v>946674.42200000002</v>
      </c>
      <c r="E53" s="334">
        <v>117</v>
      </c>
      <c r="F53" s="334">
        <v>337368.66399999999</v>
      </c>
    </row>
    <row r="54" spans="1:6">
      <c r="A54" s="348" t="s">
        <v>45</v>
      </c>
      <c r="B54" s="348" t="s">
        <v>46</v>
      </c>
      <c r="C54" s="334">
        <v>0</v>
      </c>
      <c r="D54" s="334">
        <v>0</v>
      </c>
      <c r="E54" s="334">
        <v>1</v>
      </c>
      <c r="F54" s="334">
        <v>403861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459021.94</v>
      </c>
      <c r="E57" s="334">
        <v>44</v>
      </c>
      <c r="F57" s="334">
        <v>723632.78200000001</v>
      </c>
    </row>
    <row r="58" spans="1:6">
      <c r="A58" s="348" t="s">
        <v>48</v>
      </c>
      <c r="B58" s="348" t="s">
        <v>50</v>
      </c>
      <c r="C58" s="334">
        <v>4</v>
      </c>
      <c r="D58" s="334">
        <v>145965.83600000001</v>
      </c>
      <c r="E58" s="334">
        <v>14</v>
      </c>
      <c r="F58" s="334">
        <v>192412.00599999999</v>
      </c>
    </row>
    <row r="59" spans="1:6">
      <c r="A59" s="348" t="s">
        <v>48</v>
      </c>
      <c r="B59" s="348" t="s">
        <v>51</v>
      </c>
      <c r="C59" s="334">
        <v>46</v>
      </c>
      <c r="D59" s="334">
        <v>2503293.1889999998</v>
      </c>
      <c r="E59" s="334">
        <v>73</v>
      </c>
      <c r="F59" s="334">
        <v>3821901.7940000002</v>
      </c>
    </row>
    <row r="60" spans="1:6">
      <c r="A60" s="348" t="s">
        <v>48</v>
      </c>
      <c r="B60" s="348" t="s">
        <v>52</v>
      </c>
      <c r="C60" s="334">
        <v>15</v>
      </c>
      <c r="D60" s="334">
        <v>1051827.3160000001</v>
      </c>
      <c r="E60" s="334">
        <v>22</v>
      </c>
      <c r="F60" s="334">
        <v>1174161.041</v>
      </c>
    </row>
    <row r="61" spans="1:6">
      <c r="A61" s="348" t="s">
        <v>48</v>
      </c>
      <c r="B61" s="348" t="s">
        <v>53</v>
      </c>
      <c r="C61" s="334">
        <v>80</v>
      </c>
      <c r="D61" s="334">
        <v>5401238.2960000001</v>
      </c>
      <c r="E61" s="334">
        <v>139</v>
      </c>
      <c r="F61" s="334">
        <v>3383900.3220000002</v>
      </c>
    </row>
    <row r="62" spans="1:6">
      <c r="A62" s="348" t="s">
        <v>48</v>
      </c>
      <c r="B62" s="348" t="s">
        <v>54</v>
      </c>
      <c r="C62" s="334">
        <v>0</v>
      </c>
      <c r="D62" s="334">
        <v>0</v>
      </c>
      <c r="E62" s="334">
        <v>3</v>
      </c>
      <c r="F62" s="334">
        <v>42517.625</v>
      </c>
    </row>
    <row r="63" spans="1:6">
      <c r="A63" s="348" t="s">
        <v>48</v>
      </c>
      <c r="B63" s="348" t="s">
        <v>28</v>
      </c>
      <c r="C63" s="334">
        <v>90</v>
      </c>
      <c r="D63" s="334">
        <v>5354955.8720000004</v>
      </c>
      <c r="E63" s="334">
        <v>107</v>
      </c>
      <c r="F63" s="334">
        <v>3330553.1260000002</v>
      </c>
    </row>
    <row r="64" spans="1:6">
      <c r="A64" s="348" t="s">
        <v>55</v>
      </c>
      <c r="B64" s="348" t="s">
        <v>56</v>
      </c>
      <c r="C64" s="334">
        <v>0</v>
      </c>
      <c r="D64" s="334">
        <v>0</v>
      </c>
      <c r="E64" s="334">
        <v>0</v>
      </c>
      <c r="F64" s="334">
        <v>0</v>
      </c>
    </row>
    <row r="65" spans="1:6">
      <c r="A65" s="348" t="s">
        <v>55</v>
      </c>
      <c r="B65" s="348" t="s">
        <v>28</v>
      </c>
      <c r="C65" s="334">
        <v>0</v>
      </c>
      <c r="D65" s="334">
        <v>0</v>
      </c>
      <c r="E65" s="334">
        <v>1</v>
      </c>
      <c r="F65" s="334">
        <v>1120.9259999999999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4</v>
      </c>
      <c r="D68" s="334">
        <v>123769.103</v>
      </c>
      <c r="E68" s="334">
        <v>9</v>
      </c>
      <c r="F68" s="334">
        <v>311344.87400000001</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56503630</v>
      </c>
      <c r="E73" s="476"/>
    </row>
    <row r="74" spans="1:6">
      <c r="A74" s="348" t="s">
        <v>63</v>
      </c>
      <c r="B74" s="348" t="s">
        <v>651</v>
      </c>
      <c r="C74" s="1307" t="s">
        <v>653</v>
      </c>
      <c r="D74" s="476">
        <v>10883742</v>
      </c>
      <c r="E74" s="476"/>
    </row>
    <row r="75" spans="1:6">
      <c r="A75" s="348" t="s">
        <v>64</v>
      </c>
      <c r="B75" s="348" t="s">
        <v>650</v>
      </c>
      <c r="C75" s="1307" t="s">
        <v>654</v>
      </c>
      <c r="D75" s="476">
        <v>3533313</v>
      </c>
      <c r="E75" s="476"/>
    </row>
    <row r="76" spans="1:6">
      <c r="A76" s="348" t="s">
        <v>64</v>
      </c>
      <c r="B76" s="348" t="s">
        <v>651</v>
      </c>
      <c r="C76" s="1307" t="s">
        <v>655</v>
      </c>
      <c r="D76" s="476">
        <v>85890</v>
      </c>
      <c r="E76" s="476"/>
    </row>
    <row r="77" spans="1:6">
      <c r="A77" s="348" t="s">
        <v>65</v>
      </c>
      <c r="B77" s="348" t="s">
        <v>650</v>
      </c>
      <c r="C77" s="1307" t="s">
        <v>656</v>
      </c>
      <c r="D77" s="476">
        <v>463825</v>
      </c>
      <c r="E77" s="476"/>
    </row>
    <row r="78" spans="1:6">
      <c r="A78" s="341" t="s">
        <v>65</v>
      </c>
      <c r="B78" s="341" t="s">
        <v>651</v>
      </c>
      <c r="C78" s="341" t="s">
        <v>657</v>
      </c>
      <c r="D78" s="1308">
        <v>54498</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180488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7896.8211224525758</v>
      </c>
    </row>
    <row r="91" spans="1:6">
      <c r="A91" s="348" t="s">
        <v>67</v>
      </c>
      <c r="B91" s="334">
        <v>1553.8976741415684</v>
      </c>
    </row>
    <row r="92" spans="1:6">
      <c r="A92" s="341" t="s">
        <v>68</v>
      </c>
      <c r="B92" s="342">
        <v>478.52968922873066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2045</v>
      </c>
    </row>
    <row r="98" spans="1:6">
      <c r="A98" s="348" t="s">
        <v>71</v>
      </c>
      <c r="B98" s="334">
        <v>5</v>
      </c>
    </row>
    <row r="99" spans="1:6">
      <c r="A99" s="348" t="s">
        <v>72</v>
      </c>
      <c r="B99" s="334">
        <v>12</v>
      </c>
    </row>
    <row r="100" spans="1:6">
      <c r="A100" s="348" t="s">
        <v>73</v>
      </c>
      <c r="B100" s="334">
        <v>386</v>
      </c>
    </row>
    <row r="101" spans="1:6">
      <c r="A101" s="348" t="s">
        <v>74</v>
      </c>
      <c r="B101" s="334">
        <v>32</v>
      </c>
    </row>
    <row r="102" spans="1:6">
      <c r="A102" s="348" t="s">
        <v>75</v>
      </c>
      <c r="B102" s="334">
        <v>51</v>
      </c>
    </row>
    <row r="103" spans="1:6">
      <c r="A103" s="348" t="s">
        <v>76</v>
      </c>
      <c r="B103" s="334">
        <v>72</v>
      </c>
    </row>
    <row r="104" spans="1:6">
      <c r="A104" s="348" t="s">
        <v>77</v>
      </c>
      <c r="B104" s="334">
        <v>379</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31</v>
      </c>
      <c r="C123" s="334">
        <v>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64</v>
      </c>
    </row>
    <row r="130" spans="1:6">
      <c r="A130" s="348" t="s">
        <v>294</v>
      </c>
      <c r="B130" s="334">
        <v>0</v>
      </c>
    </row>
    <row r="131" spans="1:6">
      <c r="A131" s="348" t="s">
        <v>295</v>
      </c>
      <c r="B131" s="334">
        <v>0</v>
      </c>
    </row>
    <row r="132" spans="1:6">
      <c r="A132" s="341" t="s">
        <v>296</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29235.518647319346</v>
      </c>
      <c r="C3" s="43" t="s">
        <v>169</v>
      </c>
      <c r="D3" s="43"/>
      <c r="E3" s="154"/>
      <c r="F3" s="43"/>
      <c r="G3" s="43"/>
      <c r="H3" s="43"/>
      <c r="I3" s="43"/>
      <c r="J3" s="43"/>
      <c r="K3" s="96"/>
    </row>
    <row r="4" spans="1:11">
      <c r="A4" s="383" t="s">
        <v>170</v>
      </c>
      <c r="B4" s="49">
        <f>IF(ISERROR('SEAP template'!B78),0,'SEAP template'!B78)</f>
        <v>9929.2484858228745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0.14594185097796922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403.86099999999999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403.86099999999999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0.14594185097796922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58.940221877813627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12613.37023</v>
      </c>
      <c r="C5" s="17">
        <f>IF(ISERROR('Eigen informatie GS &amp; warmtenet'!B59),0,'Eigen informatie GS &amp; warmtenet'!B59)</f>
        <v>0</v>
      </c>
      <c r="D5" s="30">
        <f>(SUM(HH_hh_gas_kWh,HH_rest_gas_kWh)/1000)*0.902</f>
        <v>36773.463914</v>
      </c>
      <c r="E5" s="17">
        <f>B46*B57</f>
        <v>645.00802245611578</v>
      </c>
      <c r="F5" s="17">
        <f>B51*B62</f>
        <v>0</v>
      </c>
      <c r="G5" s="18"/>
      <c r="H5" s="17"/>
      <c r="I5" s="17"/>
      <c r="J5" s="17">
        <f>B50*B61+C50*C61</f>
        <v>0</v>
      </c>
      <c r="K5" s="17"/>
      <c r="L5" s="17"/>
      <c r="M5" s="17"/>
      <c r="N5" s="17">
        <f>B48*B59+C48*C59</f>
        <v>2976.5584858543093</v>
      </c>
      <c r="O5" s="17">
        <f>B69*B70*B71</f>
        <v>144.82895001525333</v>
      </c>
      <c r="P5" s="17">
        <f>B77*B78*B79/1000-B77*B78*B79/1000/B80</f>
        <v>400.29045369203089</v>
      </c>
    </row>
    <row r="6" spans="1:16">
      <c r="A6" s="16" t="s">
        <v>615</v>
      </c>
      <c r="B6" s="809">
        <f>kWh_PV_kleiner_dan_10kW</f>
        <v>1553.8976741415684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14167.267904141569</v>
      </c>
      <c r="C8" s="21">
        <f>C5</f>
        <v>0</v>
      </c>
      <c r="D8" s="21">
        <f>D5</f>
        <v>36773.463914</v>
      </c>
      <c r="E8" s="21">
        <f>E5</f>
        <v>645.00802245611578</v>
      </c>
      <c r="F8" s="21">
        <f>F5</f>
        <v>0</v>
      </c>
      <c r="G8" s="21"/>
      <c r="H8" s="21"/>
      <c r="I8" s="21"/>
      <c r="J8" s="21">
        <f>J5</f>
        <v>0</v>
      </c>
      <c r="K8" s="21"/>
      <c r="L8" s="21">
        <f>L5</f>
        <v>0</v>
      </c>
      <c r="M8" s="21">
        <f>M5</f>
        <v>0</v>
      </c>
      <c r="N8" s="21">
        <f>N5</f>
        <v>2976.5584858543093</v>
      </c>
      <c r="O8" s="21">
        <f>O5</f>
        <v>144.82895001525333</v>
      </c>
      <c r="P8" s="21">
        <f>P5</f>
        <v>400.29045369203089</v>
      </c>
    </row>
    <row r="9" spans="1:16">
      <c r="B9" s="19"/>
      <c r="C9" s="19"/>
      <c r="D9" s="258"/>
      <c r="E9" s="19"/>
      <c r="F9" s="19"/>
      <c r="G9" s="19"/>
      <c r="H9" s="19"/>
      <c r="I9" s="19"/>
      <c r="J9" s="19"/>
      <c r="K9" s="19"/>
      <c r="L9" s="19"/>
      <c r="M9" s="19"/>
      <c r="N9" s="19"/>
      <c r="O9" s="19"/>
      <c r="P9" s="19"/>
    </row>
    <row r="10" spans="1:16">
      <c r="A10" s="24" t="s">
        <v>213</v>
      </c>
      <c r="B10" s="25">
        <f ca="1">'EF ele_warmte'!B12</f>
        <v>0.14594185097796922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2067.5973012311952</v>
      </c>
      <c r="C12" s="23">
        <f ca="1">C10*C8</f>
        <v>0</v>
      </c>
      <c r="D12" s="23">
        <f>D8*D10</f>
        <v>7428.2397106280005</v>
      </c>
      <c r="E12" s="23">
        <f>E10*E8</f>
        <v>146.41682109753827</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2045</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2.7906976744186047</v>
      </c>
      <c r="D20" s="229"/>
      <c r="E20" s="15"/>
    </row>
    <row r="21" spans="1:7">
      <c r="A21" s="171" t="s">
        <v>73</v>
      </c>
      <c r="B21" s="37">
        <f>aantalw2001_elektriciteit</f>
        <v>386</v>
      </c>
      <c r="C21" s="167">
        <f>IF(ISERROR(B21/SUM($B$20,$B$21,$B$22)*100),0,B21/SUM($B$20,$B$21,$B$22)*100)</f>
        <v>89.767441860465112</v>
      </c>
      <c r="D21" s="229"/>
      <c r="E21" s="15"/>
    </row>
    <row r="22" spans="1:7">
      <c r="A22" s="171" t="s">
        <v>74</v>
      </c>
      <c r="B22" s="37">
        <f>aantalw2001_hout</f>
        <v>32</v>
      </c>
      <c r="C22" s="167">
        <f>IF(ISERROR(B22/SUM($B$20,$B$21,$B$22)*100),0,B22/SUM($B$20,$B$21,$B$22)*100)</f>
        <v>7.441860465116279</v>
      </c>
      <c r="D22" s="229"/>
      <c r="E22" s="15"/>
    </row>
    <row r="23" spans="1:7">
      <c r="A23" s="171" t="s">
        <v>75</v>
      </c>
      <c r="B23" s="37">
        <f>aantalw2001_niet_gespec</f>
        <v>51</v>
      </c>
      <c r="C23" s="166" t="s">
        <v>110</v>
      </c>
      <c r="D23" s="228"/>
      <c r="E23" s="15"/>
    </row>
    <row r="24" spans="1:7">
      <c r="A24" s="171" t="s">
        <v>76</v>
      </c>
      <c r="B24" s="37">
        <f>aantalw2001_steenkool</f>
        <v>72</v>
      </c>
      <c r="C24" s="166" t="s">
        <v>110</v>
      </c>
      <c r="D24" s="229"/>
      <c r="E24" s="15"/>
    </row>
    <row r="25" spans="1:7">
      <c r="A25" s="171" t="s">
        <v>77</v>
      </c>
      <c r="B25" s="37">
        <f>aantalw2001_stookolie</f>
        <v>379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837</v>
      </c>
      <c r="B28" s="37">
        <f>aantalHuishoudens2011</f>
        <v>3443</v>
      </c>
      <c r="C28" s="36"/>
      <c r="D28" s="228"/>
    </row>
    <row r="29" spans="1:7" s="15" customFormat="1">
      <c r="A29" s="230" t="s">
        <v>838</v>
      </c>
      <c r="B29" s="37">
        <f>SUM(HH_hh_gas_aantal,HH_rest_gas_aantal)</f>
        <v>2815</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2815</v>
      </c>
      <c r="C32" s="167">
        <f>IF(ISERROR(B32/SUM($B$32,$B$34,$B$35,$B$36,$B$38,$B$39)*100),0,B32/SUM($B$32,$B$34,$B$35,$B$36,$B$38,$B$39)*100)</f>
        <v>82.672540381791478</v>
      </c>
      <c r="D32" s="233"/>
      <c r="G32" s="15"/>
    </row>
    <row r="33" spans="1:7">
      <c r="A33" s="171" t="s">
        <v>71</v>
      </c>
      <c r="B33" s="34" t="s">
        <v>110</v>
      </c>
      <c r="C33" s="167"/>
      <c r="D33" s="233"/>
      <c r="G33" s="15"/>
    </row>
    <row r="34" spans="1:7">
      <c r="A34" s="171" t="s">
        <v>72</v>
      </c>
      <c r="B34" s="33">
        <f>IF((($B$28-$B$32-$B$39-$B$77-$B$38)*C20/100)&lt;0,0,($B$28-$B$32-$B$39-$B$77-$B$38)*C20/100)</f>
        <v>16.465116279069768</v>
      </c>
      <c r="C34" s="167">
        <f>IF(ISERROR(B34/SUM($B$32,$B$34,$B$35,$B$36,$B$38,$B$39)*100),0,B34/SUM($B$32,$B$34,$B$35,$B$36,$B$38,$B$39)*100)</f>
        <v>0.48355701260116796</v>
      </c>
      <c r="D34" s="233"/>
      <c r="G34" s="15"/>
    </row>
    <row r="35" spans="1:7">
      <c r="A35" s="171" t="s">
        <v>73</v>
      </c>
      <c r="B35" s="33">
        <f>IF((($B$28-$B$32-$B$39-$B$77-$B$38)*C21/100)&lt;0,0,($B$28-$B$32-$B$39-$B$77-$B$38)*C21/100)</f>
        <v>529.62790697674416</v>
      </c>
      <c r="C35" s="167">
        <f>IF(ISERROR(B35/SUM($B$32,$B$34,$B$35,$B$36,$B$38,$B$39)*100),0,B35/SUM($B$32,$B$34,$B$35,$B$36,$B$38,$B$39)*100)</f>
        <v>15.554417238670901</v>
      </c>
      <c r="D35" s="233"/>
      <c r="G35" s="15"/>
    </row>
    <row r="36" spans="1:7">
      <c r="A36" s="171" t="s">
        <v>74</v>
      </c>
      <c r="B36" s="33">
        <f>IF((($B$28-$B$32-$B$39-$B$77-$B$38)*C22/100)&lt;0,0,($B$28-$B$32-$B$39-$B$77-$B$38)*C22/100)</f>
        <v>43.906976744186046</v>
      </c>
      <c r="C36" s="167">
        <f>IF(ISERROR(B36/SUM($B$32,$B$34,$B$35,$B$36,$B$38,$B$39)*100),0,B36/SUM($B$32,$B$34,$B$35,$B$36,$B$38,$B$39)*100)</f>
        <v>1.2894853669364479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2815</v>
      </c>
      <c r="C44" s="34" t="s">
        <v>110</v>
      </c>
      <c r="D44" s="174"/>
    </row>
    <row r="45" spans="1:7">
      <c r="A45" s="171" t="s">
        <v>71</v>
      </c>
      <c r="B45" s="33" t="str">
        <f t="shared" si="0"/>
        <v>-</v>
      </c>
      <c r="C45" s="34" t="s">
        <v>110</v>
      </c>
      <c r="D45" s="174"/>
    </row>
    <row r="46" spans="1:7">
      <c r="A46" s="171" t="s">
        <v>72</v>
      </c>
      <c r="B46" s="33">
        <f t="shared" si="0"/>
        <v>16.465116279069768</v>
      </c>
      <c r="C46" s="34" t="s">
        <v>110</v>
      </c>
      <c r="D46" s="174"/>
    </row>
    <row r="47" spans="1:7">
      <c r="A47" s="171" t="s">
        <v>73</v>
      </c>
      <c r="B47" s="33">
        <f t="shared" si="0"/>
        <v>529.62790697674416</v>
      </c>
      <c r="C47" s="34" t="s">
        <v>110</v>
      </c>
      <c r="D47" s="174"/>
    </row>
    <row r="48" spans="1:7">
      <c r="A48" s="171" t="s">
        <v>74</v>
      </c>
      <c r="B48" s="33">
        <f t="shared" si="0"/>
        <v>43.906976744186046</v>
      </c>
      <c r="C48" s="33">
        <f>B48*10</f>
        <v>439.06976744186045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38</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12669.078696000002</v>
      </c>
      <c r="C5" s="17">
        <f>IF(ISERROR('Eigen informatie GS &amp; warmtenet'!B60),0,'Eigen informatie GS &amp; warmtenet'!B60)</f>
        <v>0</v>
      </c>
      <c r="D5" s="30">
        <f>SUM(D6:D12)</f>
        <v>13454.504808998001</v>
      </c>
      <c r="E5" s="17">
        <f>SUM(E6:E12)</f>
        <v>187.95760191199651</v>
      </c>
      <c r="F5" s="17">
        <f>SUM(F6:F12)</f>
        <v>1435.5780172914442</v>
      </c>
      <c r="G5" s="18"/>
      <c r="H5" s="17"/>
      <c r="I5" s="17"/>
      <c r="J5" s="17">
        <f>SUM(J6:J12)</f>
        <v>1.8667258487185884E-2</v>
      </c>
      <c r="K5" s="17"/>
      <c r="L5" s="17"/>
      <c r="M5" s="17"/>
      <c r="N5" s="17">
        <f>SUM(N6:N12)</f>
        <v>736.01261373577336</v>
      </c>
      <c r="O5" s="17">
        <f>B38*B39*B40</f>
        <v>0</v>
      </c>
      <c r="P5" s="17">
        <f>B46*B47*B48/1000-B46*B47*B48/1000/B49</f>
        <v>0</v>
      </c>
      <c r="R5" s="32"/>
    </row>
    <row r="6" spans="1:18">
      <c r="A6" s="32" t="s">
        <v>53</v>
      </c>
      <c r="B6" s="37">
        <f>B26</f>
        <v>3383.900322</v>
      </c>
      <c r="C6" s="33"/>
      <c r="D6" s="37">
        <f>IF(ISERROR(TER_kantoor_gas_kWh/1000),0,TER_kantoor_gas_kWh/1000)*0.902</f>
        <v>4871.9169429920003</v>
      </c>
      <c r="E6" s="33">
        <f>$C$26*'E Balans VL '!I12/100/3.6*1000000</f>
        <v>27.229160927214707</v>
      </c>
      <c r="F6" s="33">
        <f>$C$26*('E Balans VL '!L12+'E Balans VL '!N12)/100/3.6*1000000</f>
        <v>413.71741185621033</v>
      </c>
      <c r="G6" s="34"/>
      <c r="H6" s="33"/>
      <c r="I6" s="33"/>
      <c r="J6" s="33">
        <f>$C$26*('E Balans VL '!D12+'E Balans VL '!E12)/100/3.6*1000000</f>
        <v>0</v>
      </c>
      <c r="K6" s="33"/>
      <c r="L6" s="33"/>
      <c r="M6" s="33"/>
      <c r="N6" s="33">
        <f>$C$26*'E Balans VL '!Y12/100/3.6*1000000</f>
        <v>1.8186797840202356</v>
      </c>
      <c r="O6" s="33"/>
      <c r="P6" s="33"/>
      <c r="R6" s="32"/>
    </row>
    <row r="7" spans="1:18">
      <c r="A7" s="32" t="s">
        <v>52</v>
      </c>
      <c r="B7" s="37">
        <f t="shared" ref="B7:B12" si="0">B27</f>
        <v>1174.1610410000001</v>
      </c>
      <c r="C7" s="33"/>
      <c r="D7" s="37">
        <f>IF(ISERROR(TER_horeca_gas_kWh/1000),0,TER_horeca_gas_kWh/1000)*0.902</f>
        <v>948.74823903200013</v>
      </c>
      <c r="E7" s="33">
        <f>$C$27*'E Balans VL '!I9/100/3.6*1000000</f>
        <v>12.607606344894361</v>
      </c>
      <c r="F7" s="33">
        <f>$C$27*('E Balans VL '!L9+'E Balans VL '!N9)/100/3.6*1000000</f>
        <v>141.22310136203009</v>
      </c>
      <c r="G7" s="34"/>
      <c r="H7" s="33"/>
      <c r="I7" s="33"/>
      <c r="J7" s="33">
        <f>$C$27*('E Balans VL '!D9+'E Balans VL '!E9)/100/3.6*1000000</f>
        <v>0</v>
      </c>
      <c r="K7" s="33"/>
      <c r="L7" s="33"/>
      <c r="M7" s="33"/>
      <c r="N7" s="33">
        <f>$C$27*'E Balans VL '!Y9/100/3.6*1000000</f>
        <v>0.17603053752734837</v>
      </c>
      <c r="O7" s="33"/>
      <c r="P7" s="33"/>
      <c r="R7" s="32"/>
    </row>
    <row r="8" spans="1:18">
      <c r="A8" s="6" t="s">
        <v>51</v>
      </c>
      <c r="B8" s="37">
        <f t="shared" si="0"/>
        <v>3821.9017940000003</v>
      </c>
      <c r="C8" s="33"/>
      <c r="D8" s="37">
        <f>IF(ISERROR(TER_handel_gas_kWh/1000),0,TER_handel_gas_kWh/1000)*0.902</f>
        <v>2257.970456478</v>
      </c>
      <c r="E8" s="33">
        <f>$C$28*'E Balans VL '!I13/100/3.6*1000000</f>
        <v>102.56814351212314</v>
      </c>
      <c r="F8" s="33">
        <f>$C$28*('E Balans VL '!L13+'E Balans VL '!N13)/100/3.6*1000000</f>
        <v>364.72722519818171</v>
      </c>
      <c r="G8" s="34"/>
      <c r="H8" s="33"/>
      <c r="I8" s="33"/>
      <c r="J8" s="33">
        <f>$C$28*('E Balans VL '!D13+'E Balans VL '!E13)/100/3.6*1000000</f>
        <v>0</v>
      </c>
      <c r="K8" s="33"/>
      <c r="L8" s="33"/>
      <c r="M8" s="33"/>
      <c r="N8" s="33">
        <f>$C$28*'E Balans VL '!Y13/100/3.6*1000000</f>
        <v>1.5150453276382674</v>
      </c>
      <c r="O8" s="33"/>
      <c r="P8" s="33"/>
      <c r="R8" s="32"/>
    </row>
    <row r="9" spans="1:18">
      <c r="A9" s="32" t="s">
        <v>50</v>
      </c>
      <c r="B9" s="37">
        <f t="shared" si="0"/>
        <v>192.41200599999999</v>
      </c>
      <c r="C9" s="33"/>
      <c r="D9" s="37">
        <f>IF(ISERROR(TER_gezond_gas_kWh/1000),0,TER_gezond_gas_kWh/1000)*0.902</f>
        <v>131.66118407200003</v>
      </c>
      <c r="E9" s="33">
        <f>$C$29*'E Balans VL '!I10/100/3.6*1000000</f>
        <v>0.36064275131374435</v>
      </c>
      <c r="F9" s="33">
        <f>$C$29*('E Balans VL '!L10+'E Balans VL '!N10)/100/3.6*1000000</f>
        <v>15.818022517478079</v>
      </c>
      <c r="G9" s="34"/>
      <c r="H9" s="33"/>
      <c r="I9" s="33"/>
      <c r="J9" s="33">
        <f>$C$29*('E Balans VL '!D10+'E Balans VL '!E10)/100/3.6*1000000</f>
        <v>0</v>
      </c>
      <c r="K9" s="33"/>
      <c r="L9" s="33"/>
      <c r="M9" s="33"/>
      <c r="N9" s="33">
        <f>$C$29*'E Balans VL '!Y10/100/3.6*1000000</f>
        <v>1.4971089666641728</v>
      </c>
      <c r="O9" s="33"/>
      <c r="P9" s="33"/>
      <c r="R9" s="32"/>
    </row>
    <row r="10" spans="1:18">
      <c r="A10" s="32" t="s">
        <v>49</v>
      </c>
      <c r="B10" s="37">
        <f t="shared" si="0"/>
        <v>723.63278200000002</v>
      </c>
      <c r="C10" s="33"/>
      <c r="D10" s="37">
        <f>IF(ISERROR(TER_ander_gas_kWh/1000),0,TER_ander_gas_kWh/1000)*0.902</f>
        <v>414.03778988000005</v>
      </c>
      <c r="E10" s="33">
        <f>$C$30*'E Balans VL '!I14/100/3.6*1000000</f>
        <v>1.115487265910684</v>
      </c>
      <c r="F10" s="33">
        <f>$C$30*('E Balans VL '!L14+'E Balans VL '!N14)/100/3.6*1000000</f>
        <v>112.34418917531259</v>
      </c>
      <c r="G10" s="34"/>
      <c r="H10" s="33"/>
      <c r="I10" s="33"/>
      <c r="J10" s="33">
        <f>$C$30*('E Balans VL '!D14+'E Balans VL '!E14)/100/3.6*1000000</f>
        <v>1.2284429635527869E-2</v>
      </c>
      <c r="K10" s="33"/>
      <c r="L10" s="33"/>
      <c r="M10" s="33"/>
      <c r="N10" s="33">
        <f>$C$30*'E Balans VL '!Y14/100/3.6*1000000</f>
        <v>478.73225631462662</v>
      </c>
      <c r="O10" s="33"/>
      <c r="P10" s="33"/>
      <c r="R10" s="32"/>
    </row>
    <row r="11" spans="1:18">
      <c r="A11" s="32" t="s">
        <v>54</v>
      </c>
      <c r="B11" s="37">
        <f t="shared" si="0"/>
        <v>42.517625000000002</v>
      </c>
      <c r="C11" s="33"/>
      <c r="D11" s="37">
        <f>IF(ISERROR(TER_onderwijs_gas_kWh/1000),0,TER_onderwijs_gas_kWh/1000)*0.902</f>
        <v>0</v>
      </c>
      <c r="E11" s="33">
        <f>$C$31*'E Balans VL '!I11/100/3.6*1000000</f>
        <v>1.0844898352781618</v>
      </c>
      <c r="F11" s="33">
        <f>$C$31*('E Balans VL '!L11+'E Balans VL '!N11)/100/3.6*1000000</f>
        <v>5.1131445973763112</v>
      </c>
      <c r="G11" s="34"/>
      <c r="H11" s="33"/>
      <c r="I11" s="33"/>
      <c r="J11" s="33">
        <f>$C$31*('E Balans VL '!D11+'E Balans VL '!E11)/100/3.6*1000000</f>
        <v>0</v>
      </c>
      <c r="K11" s="33"/>
      <c r="L11" s="33"/>
      <c r="M11" s="33"/>
      <c r="N11" s="33">
        <f>$C$31*'E Balans VL '!Y11/100/3.6*1000000</f>
        <v>9.4558160561010726E-2</v>
      </c>
      <c r="O11" s="33"/>
      <c r="P11" s="33"/>
      <c r="R11" s="32"/>
    </row>
    <row r="12" spans="1:18">
      <c r="A12" s="32" t="s">
        <v>259</v>
      </c>
      <c r="B12" s="37">
        <f t="shared" si="0"/>
        <v>3330.5531260000002</v>
      </c>
      <c r="C12" s="33"/>
      <c r="D12" s="37">
        <f>IF(ISERROR(TER_rest_gas_kWh/1000),0,TER_rest_gas_kWh/1000)*0.902</f>
        <v>4830.1701965440006</v>
      </c>
      <c r="E12" s="33">
        <f>$C$32*'E Balans VL '!I8/100/3.6*1000000</f>
        <v>42.992071275261708</v>
      </c>
      <c r="F12" s="33">
        <f>$C$32*('E Balans VL '!L8+'E Balans VL '!N8)/100/3.6*1000000</f>
        <v>382.63492258485513</v>
      </c>
      <c r="G12" s="34"/>
      <c r="H12" s="33"/>
      <c r="I12" s="33"/>
      <c r="J12" s="33">
        <f>$C$32*('E Balans VL '!D8+'E Balans VL '!E8)/100/3.6*1000000</f>
        <v>6.3828288516580159E-3</v>
      </c>
      <c r="K12" s="33"/>
      <c r="L12" s="33"/>
      <c r="M12" s="33"/>
      <c r="N12" s="33">
        <f>$C$32*'E Balans VL '!Y8/100/3.6*1000000</f>
        <v>252.17893464473576</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12669.078696000002</v>
      </c>
      <c r="C16" s="21">
        <f t="shared" ca="1" si="1"/>
        <v>0</v>
      </c>
      <c r="D16" s="21">
        <f t="shared" ca="1" si="1"/>
        <v>13454.504808998001</v>
      </c>
      <c r="E16" s="21">
        <f t="shared" si="1"/>
        <v>187.95760191199651</v>
      </c>
      <c r="F16" s="21">
        <f t="shared" ca="1" si="1"/>
        <v>1435.5780172914442</v>
      </c>
      <c r="G16" s="21">
        <f t="shared" si="1"/>
        <v>0</v>
      </c>
      <c r="H16" s="21">
        <f t="shared" si="1"/>
        <v>0</v>
      </c>
      <c r="I16" s="21">
        <f t="shared" si="1"/>
        <v>0</v>
      </c>
      <c r="J16" s="21">
        <f t="shared" si="1"/>
        <v>1.8667258487185884E-2</v>
      </c>
      <c r="K16" s="21">
        <f t="shared" si="1"/>
        <v>0</v>
      </c>
      <c r="L16" s="21">
        <f t="shared" ca="1" si="1"/>
        <v>0</v>
      </c>
      <c r="M16" s="21">
        <f t="shared" si="1"/>
        <v>0</v>
      </c>
      <c r="N16" s="21">
        <f t="shared" ca="1" si="1"/>
        <v>736.01261373577336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0.14594185097796922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1848.9487950797968</v>
      </c>
      <c r="C20" s="23">
        <f t="shared" ref="C20:P20" ca="1" si="2">C16*C18</f>
        <v>0</v>
      </c>
      <c r="D20" s="23">
        <f t="shared" ca="1" si="2"/>
        <v>2717.8099714175964</v>
      </c>
      <c r="E20" s="23">
        <f t="shared" si="2"/>
        <v>42.666375634023211</v>
      </c>
      <c r="F20" s="23">
        <f t="shared" ca="1" si="2"/>
        <v>383.29933061681561</v>
      </c>
      <c r="G20" s="23">
        <f t="shared" si="2"/>
        <v>0</v>
      </c>
      <c r="H20" s="23">
        <f t="shared" si="2"/>
        <v>0</v>
      </c>
      <c r="I20" s="23">
        <f t="shared" si="2"/>
        <v>0</v>
      </c>
      <c r="J20" s="23">
        <f t="shared" si="2"/>
        <v>6.6082095044638026E-3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3383.900322</v>
      </c>
      <c r="C26" s="39">
        <f>IF(ISERROR(B26*3.6/1000000/'E Balans VL '!Z12*100),0,B26*3.6/1000000/'E Balans VL '!Z12*100)</f>
        <v>7.1786349417950437E-2</v>
      </c>
      <c r="D26" s="237" t="s">
        <v>716</v>
      </c>
      <c r="F26" s="6"/>
    </row>
    <row r="27" spans="1:18">
      <c r="A27" s="231" t="s">
        <v>52</v>
      </c>
      <c r="B27" s="33">
        <f>IF(ISERROR(TER_horeca_ele_kWh/1000),0,TER_horeca_ele_kWh/1000)</f>
        <v>1174.1610410000001</v>
      </c>
      <c r="C27" s="39">
        <f>IF(ISERROR(B27*3.6/1000000/'E Balans VL '!Z9*100),0,B27*3.6/1000000/'E Balans VL '!Z9*100)</f>
        <v>8.8424727700581365E-2</v>
      </c>
      <c r="D27" s="237" t="s">
        <v>716</v>
      </c>
      <c r="F27" s="6"/>
    </row>
    <row r="28" spans="1:18">
      <c r="A28" s="171" t="s">
        <v>51</v>
      </c>
      <c r="B28" s="33">
        <f>IF(ISERROR(TER_handel_ele_kWh/1000),0,TER_handel_ele_kWh/1000)</f>
        <v>3821.9017940000003</v>
      </c>
      <c r="C28" s="39">
        <f>IF(ISERROR(B28*3.6/1000000/'E Balans VL '!Z13*100),0,B28*3.6/1000000/'E Balans VL '!Z13*100)</f>
        <v>0.11093626702518836</v>
      </c>
      <c r="D28" s="237" t="s">
        <v>716</v>
      </c>
      <c r="F28" s="6"/>
    </row>
    <row r="29" spans="1:18">
      <c r="A29" s="231" t="s">
        <v>50</v>
      </c>
      <c r="B29" s="33">
        <f>IF(ISERROR(TER_gezond_ele_kWh/1000),0,TER_gezond_ele_kWh/1000)</f>
        <v>192.41200599999999</v>
      </c>
      <c r="C29" s="39">
        <f>IF(ISERROR(B29*3.6/1000000/'E Balans VL '!Z10*100),0,B29*3.6/1000000/'E Balans VL '!Z10*100)</f>
        <v>1.9404980265762883E-2</v>
      </c>
      <c r="D29" s="237" t="s">
        <v>716</v>
      </c>
      <c r="F29" s="6"/>
    </row>
    <row r="30" spans="1:18">
      <c r="A30" s="231" t="s">
        <v>49</v>
      </c>
      <c r="B30" s="33">
        <f>IF(ISERROR(TER_ander_ele_kWh/1000),0,TER_ander_ele_kWh/1000)</f>
        <v>723.63278200000002</v>
      </c>
      <c r="C30" s="39">
        <f>IF(ISERROR(B30*3.6/1000000/'E Balans VL '!Z14*100),0,B30*3.6/1000000/'E Balans VL '!Z14*100)</f>
        <v>5.2509430495357438E-2</v>
      </c>
      <c r="D30" s="237" t="s">
        <v>716</v>
      </c>
      <c r="F30" s="6"/>
    </row>
    <row r="31" spans="1:18">
      <c r="A31" s="231" t="s">
        <v>54</v>
      </c>
      <c r="B31" s="33">
        <f>IF(ISERROR(TER_onderwijs_ele_kWh/1000),0,TER_onderwijs_ele_kWh/1000)</f>
        <v>42.517625000000002</v>
      </c>
      <c r="C31" s="39">
        <f>IF(ISERROR(B31*3.6/1000000/'E Balans VL '!Z11*100),0,B31*3.6/1000000/'E Balans VL '!Z11*100)</f>
        <v>1.2119254523310185E-2</v>
      </c>
      <c r="D31" s="237" t="s">
        <v>716</v>
      </c>
    </row>
    <row r="32" spans="1:18">
      <c r="A32" s="231" t="s">
        <v>259</v>
      </c>
      <c r="B32" s="33">
        <f>IF(ISERROR(TER_rest_ele_kWh/1000),0,TER_rest_ele_kWh/1000)</f>
        <v>3330.5531260000002</v>
      </c>
      <c r="C32" s="39">
        <f>IF(ISERROR(B32*3.6/1000000/'E Balans VL '!Z8*100),0,B32*3.6/1000000/'E Balans VL '!Z8*100)</f>
        <v>2.728321280628156E-2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1484.9300430000001</v>
      </c>
      <c r="C5" s="17">
        <f>IF(ISERROR('Eigen informatie GS &amp; warmtenet'!B61),0,'Eigen informatie GS &amp; warmtenet'!B61)</f>
        <v>0</v>
      </c>
      <c r="D5" s="30">
        <f>SUM(D6:D15)</f>
        <v>3001.7346945300001</v>
      </c>
      <c r="E5" s="17">
        <f>SUM(E6:E15)</f>
        <v>217.27806595113</v>
      </c>
      <c r="F5" s="17">
        <f>SUM(F6:F15)</f>
        <v>682.81400857345807</v>
      </c>
      <c r="G5" s="18"/>
      <c r="H5" s="17"/>
      <c r="I5" s="17"/>
      <c r="J5" s="17">
        <f>SUM(J6:J15)</f>
        <v>2.720027049742785</v>
      </c>
      <c r="K5" s="17"/>
      <c r="L5" s="17"/>
      <c r="M5" s="17"/>
      <c r="N5" s="17">
        <f>SUM(N6:N15)</f>
        <v>90.468418711583013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725.17342700000006</v>
      </c>
      <c r="C9" s="33"/>
      <c r="D9" s="37">
        <f>IF( ISERROR(IND_andere_gas_kWh/1000),0,IND_andere_gas_kWh/1000)*0.902</f>
        <v>762.01993601800007</v>
      </c>
      <c r="E9" s="33">
        <f>C31*'E Balans VL '!I19/100/3.6*1000000</f>
        <v>200.95525340525364</v>
      </c>
      <c r="F9" s="33">
        <f>C31*'E Balans VL '!L19/100/3.6*1000000+C31*'E Balans VL '!N19/100/3.6*1000000</f>
        <v>601.02530340945327</v>
      </c>
      <c r="G9" s="34"/>
      <c r="H9" s="33"/>
      <c r="I9" s="33"/>
      <c r="J9" s="40">
        <f>C31*'E Balans VL '!D19/100/3.6*1000000+C31*'E Balans VL '!E19/100/3.6*1000000</f>
        <v>0</v>
      </c>
      <c r="K9" s="33"/>
      <c r="L9" s="33"/>
      <c r="M9" s="33"/>
      <c r="N9" s="33">
        <f>C31*'E Balans VL '!Y19/100/3.6*1000000</f>
        <v>52.638720968955262</v>
      </c>
      <c r="O9" s="33"/>
      <c r="P9" s="33"/>
      <c r="R9" s="32"/>
    </row>
    <row r="10" spans="1:18">
      <c r="A10" s="6" t="s">
        <v>40</v>
      </c>
      <c r="B10" s="37">
        <f t="shared" si="0"/>
        <v>430.50389200000001</v>
      </c>
      <c r="C10" s="33"/>
      <c r="D10" s="37">
        <f>IF( ISERROR(IND_voed_gas_kWh/1000),0,IND_voed_gas_kWh/1000)*0.902</f>
        <v>1688.187752394</v>
      </c>
      <c r="E10" s="33">
        <f>C32*'E Balans VL '!I20/100/3.6*1000000</f>
        <v>0.76213770985722351</v>
      </c>
      <c r="F10" s="33">
        <f>C32*'E Balans VL '!L20/100/3.6*1000000+C32*'E Balans VL '!N20/100/3.6*1000000</f>
        <v>23.251025689769005</v>
      </c>
      <c r="G10" s="34"/>
      <c r="H10" s="33"/>
      <c r="I10" s="33"/>
      <c r="J10" s="40">
        <f>C32*'E Balans VL '!D20/100/3.6*1000000+C32*'E Balans VL '!E20/100/3.6*1000000</f>
        <v>0</v>
      </c>
      <c r="K10" s="33"/>
      <c r="L10" s="33"/>
      <c r="M10" s="33"/>
      <c r="N10" s="33">
        <f>C32*'E Balans VL '!Y20/100/3.6*1000000</f>
        <v>25.015563924392108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329.252724</v>
      </c>
      <c r="C15" s="33"/>
      <c r="D15" s="37">
        <f>IF( ISERROR(IND_rest_gas_kWh/1000),0,IND_rest_gas_kWh/1000)*0.902</f>
        <v>551.52700611799992</v>
      </c>
      <c r="E15" s="33">
        <f>C37*'E Balans VL '!I15/100/3.6*1000000</f>
        <v>15.560674836019121</v>
      </c>
      <c r="F15" s="33">
        <f>C37*'E Balans VL '!L15/100/3.6*1000000+C37*'E Balans VL '!N15/100/3.6*1000000</f>
        <v>58.537679474235823</v>
      </c>
      <c r="G15" s="34"/>
      <c r="H15" s="33"/>
      <c r="I15" s="33"/>
      <c r="J15" s="40">
        <f>C37*'E Balans VL '!D15/100/3.6*1000000+C37*'E Balans VL '!E15/100/3.6*1000000</f>
        <v>2.720027049742785</v>
      </c>
      <c r="K15" s="33"/>
      <c r="L15" s="33"/>
      <c r="M15" s="33"/>
      <c r="N15" s="33">
        <f>C37*'E Balans VL '!Y15/100/3.6*1000000</f>
        <v>12.814133818235645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1484.9300430000001</v>
      </c>
      <c r="C18" s="21">
        <f>C5+C16</f>
        <v>0</v>
      </c>
      <c r="D18" s="21">
        <f>MAX((D5+D16),0)</f>
        <v>3001.7346945300001</v>
      </c>
      <c r="E18" s="21">
        <f>MAX((E5+E16),0)</f>
        <v>217.27806595113</v>
      </c>
      <c r="F18" s="21">
        <f>MAX((F5+F16),0)</f>
        <v>682.81400857345807</v>
      </c>
      <c r="G18" s="21"/>
      <c r="H18" s="21"/>
      <c r="I18" s="21"/>
      <c r="J18" s="21">
        <f>MAX((J5+J16),0)</f>
        <v>2.720027049742785</v>
      </c>
      <c r="K18" s="21"/>
      <c r="L18" s="21">
        <f>MAX((L5+L16),0)</f>
        <v>0</v>
      </c>
      <c r="M18" s="21"/>
      <c r="N18" s="21">
        <f>MAX((N5+N16),0)</f>
        <v>90.468418711583013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0.14594185097796922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216.71343904821543</v>
      </c>
      <c r="C22" s="23">
        <f ca="1">C18*C20</f>
        <v>0</v>
      </c>
      <c r="D22" s="23">
        <f>D18*D20</f>
        <v>606.35040829506011</v>
      </c>
      <c r="E22" s="23">
        <f>E18*E20</f>
        <v>49.322120970906511</v>
      </c>
      <c r="F22" s="23">
        <f>F18*F20</f>
        <v>182.3113402891133</v>
      </c>
      <c r="G22" s="23"/>
      <c r="H22" s="23"/>
      <c r="I22" s="23"/>
      <c r="J22" s="23">
        <f>J18*J20</f>
        <v>0.96288957560894584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725.17342700000006</v>
      </c>
      <c r="C31" s="39">
        <f>IF(ISERROR(B31*3.6/1000000/'E Balans VL '!Z19*100),0,B31*3.6/1000000/'E Balans VL '!Z19*100)</f>
        <v>3.6473872819452302E-2</v>
      </c>
      <c r="D31" s="237" t="s">
        <v>716</v>
      </c>
    </row>
    <row r="32" spans="1:18">
      <c r="A32" s="171" t="s">
        <v>40</v>
      </c>
      <c r="B32" s="37">
        <f>IF( ISERROR(IND_voed_ele_kWh/1000),0,IND_voed_ele_kWh/1000)</f>
        <v>430.50389200000001</v>
      </c>
      <c r="C32" s="39">
        <f>IF(ISERROR(B32*3.6/1000000/'E Balans VL '!Z20*100),0,B32*3.6/1000000/'E Balans VL '!Z20*100)</f>
        <v>1.4338336042512414E-2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329.252724</v>
      </c>
      <c r="C37" s="39">
        <f>IF(ISERROR(B37*3.6/1000000/'E Balans VL '!Z15*100),0,B37*3.6/1000000/'E Balans VL '!Z15*100)</f>
        <v>2.5690716319694668E-3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140.157062</v>
      </c>
      <c r="C5" s="17">
        <f>'Eigen informatie GS &amp; warmtenet'!B62</f>
        <v>0</v>
      </c>
      <c r="D5" s="30">
        <f>IF(ISERROR(SUM(LB_lb_gas_kWh,LB_rest_gas_kWh)/1000),0,SUM(LB_lb_gas_kWh,LB_rest_gas_kWh)/1000)*0.902</f>
        <v>20.742013160000003</v>
      </c>
      <c r="E5" s="17">
        <f>B17*'E Balans VL '!I25/3.6*1000000/100</f>
        <v>4.3742556869227815</v>
      </c>
      <c r="F5" s="17">
        <f>B17*('E Balans VL '!L25/3.6*1000000+'E Balans VL '!N25/3.6*1000000)/100</f>
        <v>495.33058328849415</v>
      </c>
      <c r="G5" s="18"/>
      <c r="H5" s="17"/>
      <c r="I5" s="17"/>
      <c r="J5" s="17">
        <f>('E Balans VL '!D25+'E Balans VL '!E25)/3.6*1000000*landbouw!B17/100</f>
        <v>38.61424256170659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140.157062</v>
      </c>
      <c r="C8" s="21">
        <f>C5+C6</f>
        <v>0</v>
      </c>
      <c r="D8" s="21">
        <f>MAX((D5+D6),0)</f>
        <v>20.742013160000003</v>
      </c>
      <c r="E8" s="21">
        <f>MAX((E5+E6),0)</f>
        <v>4.3742556869227815</v>
      </c>
      <c r="F8" s="21">
        <f>MAX((F5+F6),0)</f>
        <v>495.33058328849415</v>
      </c>
      <c r="G8" s="21"/>
      <c r="H8" s="21"/>
      <c r="I8" s="21"/>
      <c r="J8" s="21">
        <f>MAX((J5+J6),0)</f>
        <v>38.61424256170659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0.14594185097796922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20.45478105591399</v>
      </c>
      <c r="C12" s="23">
        <f ca="1">C8*C10</f>
        <v>0</v>
      </c>
      <c r="D12" s="23">
        <f>D8*D10</f>
        <v>4.1898866583200007</v>
      </c>
      <c r="E12" s="23">
        <f>E8*E10</f>
        <v>0.9929560409314715</v>
      </c>
      <c r="F12" s="23">
        <f>F8*F10</f>
        <v>132.25326573802795</v>
      </c>
      <c r="G12" s="23"/>
      <c r="H12" s="23"/>
      <c r="I12" s="23"/>
      <c r="J12" s="23">
        <f>J8*J10</f>
        <v>13.669441866844132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2.0835352007291669E-2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31.343453233255069</v>
      </c>
      <c r="C26" s="247">
        <f>B26*'GWP N2O_CH4'!B5</f>
        <v>658.2125178983564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5.9293885564994744</v>
      </c>
      <c r="C27" s="247">
        <f>B27*'GWP N2O_CH4'!B5</f>
        <v>124.51715968648897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0.29518481399294</v>
      </c>
      <c r="C28" s="247">
        <f>B28*'GWP N2O_CH4'!B4</f>
        <v>91.507292337811393</v>
      </c>
      <c r="D28" s="50"/>
    </row>
    <row r="29" spans="1:4">
      <c r="A29" s="41" t="s">
        <v>276</v>
      </c>
      <c r="B29" s="247">
        <f>B34*'ha_N2O bodem landbouw'!B4</f>
        <v>1.8638505748872036</v>
      </c>
      <c r="C29" s="247">
        <f>B29*'GWP N2O_CH4'!B4</f>
        <v>577.79367821503308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4.0870887319770558E-4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1.1827900144E-4</v>
      </c>
      <c r="C5" s="463" t="s">
        <v>210</v>
      </c>
      <c r="D5" s="448">
        <f>SUM(D6:D11)</f>
        <v>4.2990575664637995E-4</v>
      </c>
      <c r="E5" s="448">
        <f>SUM(E6:E11)</f>
        <v>3.3688773598354994E-4</v>
      </c>
      <c r="F5" s="461" t="s">
        <v>210</v>
      </c>
      <c r="G5" s="448">
        <f>SUM(G6:G11)</f>
        <v>0.19548903455631375</v>
      </c>
      <c r="H5" s="448">
        <f>SUM(H6:H11)</f>
        <v>3.2217721446332441E-2</v>
      </c>
      <c r="I5" s="463" t="s">
        <v>210</v>
      </c>
      <c r="J5" s="463" t="s">
        <v>210</v>
      </c>
      <c r="K5" s="463" t="s">
        <v>210</v>
      </c>
      <c r="L5" s="463" t="s">
        <v>210</v>
      </c>
      <c r="M5" s="448">
        <f>SUM(M6:M11)</f>
        <v>1.338871917708221E-2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1.1046459665E-4</v>
      </c>
      <c r="C6" s="449"/>
      <c r="D6" s="917">
        <f>vkm_2011_GW_PW*SUMIFS(TableVerdeelsleutelVkm[CNG],TableVerdeelsleutelVkm[Voertuigtype],"Lichte voertuigen")*SUMIFS(TableECFTransport[EnergieConsumptieFactor (PJ per km)],TableECFTransport[Index],CONCATENATE($A6,"_CNG_CNG"))</f>
        <v>3.8410421826083998E-4</v>
      </c>
      <c r="E6" s="917">
        <f>vkm_2011_GW_PW*SUMIFS(TableVerdeelsleutelVkm[LPG],TableVerdeelsleutelVkm[Voertuigtype],"Lichte voertuigen")*SUMIFS(TableECFTransport[EnergieConsumptieFactor (PJ per km)],TableECFTransport[Index],CONCATENATE($A6,"_LPG_LPG"))</f>
        <v>3.0261084082799998E-4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8.2374189463013198E-2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2.8825495146971792E-2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6.6448800841735836E-3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0.10296184404980904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2.5939406446950471E-5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5.937101603113581E-3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6.9076269149999992E-6</v>
      </c>
      <c r="C8" s="449"/>
      <c r="D8" s="451">
        <f>vkm_2011_NGW_PW*SUMIFS(TableVerdeelsleutelVkm[CNG],TableVerdeelsleutelVkm[Voertuigtype],"Lichte voertuigen")*SUMIFS(TableECFTransport[EnergieConsumptieFactor (PJ per km)],TableECFTransport[Index],CONCATENATE($A8,"_CNG_CNG"))</f>
        <v>4.2507451380240007E-5</v>
      </c>
      <c r="E8" s="451">
        <f>vkm_2011_NGW_PW*SUMIFS(TableVerdeelsleutelVkm[LPG],TableVerdeelsleutelVkm[Voertuigtype],"Lichte voertuigen")*SUMIFS(TableECFTransport[EnergieConsumptieFactor (PJ per km)],TableECFTransport[Index],CONCATENATE($A8,"_LPG_LPG"))</f>
        <v>3.1046249669925E-5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7.8424097458050547E-3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3.1083761307767331E-3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6.5657314916772117E-4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1.0395008128334788E-3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2.471016502665099E-7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5.9939892050494876E-5</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9.0677787499999983E-7</v>
      </c>
      <c r="C10" s="449"/>
      <c r="D10" s="451">
        <f>vkm_2011_SW_PW*SUMIFS(TableVerdeelsleutelVkm[CNG],TableVerdeelsleutelVkm[Voertuigtype],"Lichte voertuigen")*SUMIFS(TableECFTransport[EnergieConsumptieFactor (PJ per km)],TableECFTransport[Index],CONCATENATE($A10,"_CNG_CNG"))</f>
        <v>3.2940870053000001E-6</v>
      </c>
      <c r="E10" s="451">
        <f>vkm_2011_SW_PW*SUMIFS(TableVerdeelsleutelVkm[LPG],TableVerdeelsleutelVkm[Voertuigtype],"Lichte voertuigen")*SUMIFS(TableECFTransport[EnergieConsumptieFactor (PJ per km)],TableECFTransport[Index],CONCATENATE($A10,"_LPG_LPG"))</f>
        <v>3.230645485625E-6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7.8118732094857363E-4</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2.5752998421508958E-4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6.1974427028211836E-5</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4.8990316390443004E-4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1.3367627160608777E-7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2.8250021548619997E-5</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32.855278177777777</v>
      </c>
      <c r="C14" s="21"/>
      <c r="D14" s="21">
        <f t="shared" ref="D14:M14" si="0">((D5)*10^9/3600)+D12</f>
        <v>119.41826573510554</v>
      </c>
      <c r="E14" s="21">
        <f t="shared" si="0"/>
        <v>93.579926662097208</v>
      </c>
      <c r="F14" s="21"/>
      <c r="G14" s="21">
        <f t="shared" si="0"/>
        <v>54302.509598976045</v>
      </c>
      <c r="H14" s="21">
        <f t="shared" si="0"/>
        <v>8949.3670684256776</v>
      </c>
      <c r="I14" s="21"/>
      <c r="J14" s="21"/>
      <c r="K14" s="21"/>
      <c r="L14" s="21"/>
      <c r="M14" s="21">
        <f t="shared" si="0"/>
        <v>3719.0886603006143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0.14594185097796922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4.7949601116609681</v>
      </c>
      <c r="C18" s="23"/>
      <c r="D18" s="23">
        <f t="shared" ref="D18:M18" si="1">D14*D16</f>
        <v>24.12248967849132</v>
      </c>
      <c r="E18" s="23">
        <f t="shared" si="1"/>
        <v>21.242643352296067</v>
      </c>
      <c r="F18" s="23"/>
      <c r="G18" s="23">
        <f t="shared" si="1"/>
        <v>14498.770062926606</v>
      </c>
      <c r="H18" s="23">
        <f t="shared" si="1"/>
        <v>2228.3924000379939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2.2156819411157519E-3</v>
      </c>
      <c r="H50" s="321">
        <f t="shared" si="2"/>
        <v>0</v>
      </c>
      <c r="I50" s="321">
        <f t="shared" si="2"/>
        <v>0</v>
      </c>
      <c r="J50" s="321">
        <f t="shared" si="2"/>
        <v>0</v>
      </c>
      <c r="K50" s="321">
        <f t="shared" si="2"/>
        <v>0</v>
      </c>
      <c r="L50" s="321">
        <f t="shared" si="2"/>
        <v>0</v>
      </c>
      <c r="M50" s="321">
        <f t="shared" si="2"/>
        <v>1.2314784743895288E-4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2.2156819411157519E-3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1.2314784743895288E-4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615.46720586548668</v>
      </c>
      <c r="H54" s="21">
        <f t="shared" si="3"/>
        <v>0</v>
      </c>
      <c r="I54" s="21">
        <f t="shared" si="3"/>
        <v>0</v>
      </c>
      <c r="J54" s="21">
        <f t="shared" si="3"/>
        <v>0</v>
      </c>
      <c r="K54" s="21">
        <f t="shared" si="3"/>
        <v>0</v>
      </c>
      <c r="L54" s="21">
        <f t="shared" si="3"/>
        <v>0</v>
      </c>
      <c r="M54" s="21">
        <f t="shared" si="3"/>
        <v>34.207735399709136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0.14594185097796922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164.32974396608495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13072.939696000003</v>
      </c>
      <c r="D10" s="712">
        <f ca="1">tertiair!C16</f>
        <v>0</v>
      </c>
      <c r="E10" s="712">
        <f ca="1">tertiair!D16</f>
        <v>13454.504808998001</v>
      </c>
      <c r="F10" s="712">
        <f>tertiair!E16</f>
        <v>187.95760191199651</v>
      </c>
      <c r="G10" s="712">
        <f ca="1">tertiair!F16</f>
        <v>1435.5780172914442</v>
      </c>
      <c r="H10" s="712">
        <f>tertiair!G16</f>
        <v>0</v>
      </c>
      <c r="I10" s="712">
        <f>tertiair!H16</f>
        <v>0</v>
      </c>
      <c r="J10" s="712">
        <f>tertiair!I16</f>
        <v>0</v>
      </c>
      <c r="K10" s="712">
        <f>tertiair!J16</f>
        <v>1.8667258487185884E-2</v>
      </c>
      <c r="L10" s="712">
        <f>tertiair!K16</f>
        <v>0</v>
      </c>
      <c r="M10" s="712">
        <f ca="1">tertiair!L16</f>
        <v>0</v>
      </c>
      <c r="N10" s="712">
        <f>tertiair!M16</f>
        <v>0</v>
      </c>
      <c r="O10" s="712">
        <f ca="1">tertiair!N16</f>
        <v>736.01261373577336</v>
      </c>
      <c r="P10" s="712">
        <f>tertiair!O16</f>
        <v>0</v>
      </c>
      <c r="Q10" s="713">
        <f>tertiair!P16</f>
        <v>0</v>
      </c>
      <c r="R10" s="715">
        <f ca="1">SUM(C10:Q10)</f>
        <v>28887.011405195706</v>
      </c>
      <c r="S10" s="67"/>
    </row>
    <row r="11" spans="1:19" s="474" customFormat="1">
      <c r="A11" s="834" t="s">
        <v>224</v>
      </c>
      <c r="B11" s="839"/>
      <c r="C11" s="712">
        <f>huishoudens!B8</f>
        <v>14167.267904141569</v>
      </c>
      <c r="D11" s="712">
        <f>huishoudens!C8</f>
        <v>0</v>
      </c>
      <c r="E11" s="712">
        <f>huishoudens!D8</f>
        <v>36773.463914</v>
      </c>
      <c r="F11" s="712">
        <f>huishoudens!E8</f>
        <v>645.00802245611578</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2976.5584858543093</v>
      </c>
      <c r="P11" s="712">
        <f>huishoudens!O8</f>
        <v>144.82895001525333</v>
      </c>
      <c r="Q11" s="713">
        <f>huishoudens!P8</f>
        <v>400.29045369203089</v>
      </c>
      <c r="R11" s="715">
        <f>SUM(C11:Q11)</f>
        <v>55107.417730159279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1484.9300430000001</v>
      </c>
      <c r="D13" s="712">
        <f>industrie!C18</f>
        <v>0</v>
      </c>
      <c r="E13" s="712">
        <f>industrie!D18</f>
        <v>3001.7346945300001</v>
      </c>
      <c r="F13" s="712">
        <f>industrie!E18</f>
        <v>217.27806595113</v>
      </c>
      <c r="G13" s="712">
        <f>industrie!F18</f>
        <v>682.81400857345807</v>
      </c>
      <c r="H13" s="712">
        <f>industrie!G18</f>
        <v>0</v>
      </c>
      <c r="I13" s="712">
        <f>industrie!H18</f>
        <v>0</v>
      </c>
      <c r="J13" s="712">
        <f>industrie!I18</f>
        <v>0</v>
      </c>
      <c r="K13" s="712">
        <f>industrie!J18</f>
        <v>2.720027049742785</v>
      </c>
      <c r="L13" s="712">
        <f>industrie!K18</f>
        <v>0</v>
      </c>
      <c r="M13" s="712">
        <f>industrie!L18</f>
        <v>0</v>
      </c>
      <c r="N13" s="712">
        <f>industrie!M18</f>
        <v>0</v>
      </c>
      <c r="O13" s="712">
        <f>industrie!N18</f>
        <v>90.468418711583013</v>
      </c>
      <c r="P13" s="712">
        <f>industrie!O18</f>
        <v>0</v>
      </c>
      <c r="Q13" s="713">
        <f>industrie!P18</f>
        <v>0</v>
      </c>
      <c r="R13" s="715">
        <f>SUM(C13:Q13)</f>
        <v>5479.9452578159126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28725.13764314157</v>
      </c>
      <c r="D16" s="748">
        <f t="shared" ref="D16:R16" ca="1" si="0">SUM(D9:D15)</f>
        <v>0</v>
      </c>
      <c r="E16" s="748">
        <f t="shared" ca="1" si="0"/>
        <v>53229.703417528006</v>
      </c>
      <c r="F16" s="748">
        <f t="shared" si="0"/>
        <v>1050.2436903192422</v>
      </c>
      <c r="G16" s="748">
        <f t="shared" ca="1" si="0"/>
        <v>2118.3920258649023</v>
      </c>
      <c r="H16" s="748">
        <f t="shared" si="0"/>
        <v>0</v>
      </c>
      <c r="I16" s="748">
        <f t="shared" si="0"/>
        <v>0</v>
      </c>
      <c r="J16" s="748">
        <f t="shared" si="0"/>
        <v>0</v>
      </c>
      <c r="K16" s="748">
        <f t="shared" si="0"/>
        <v>2.7386943082299711</v>
      </c>
      <c r="L16" s="748">
        <f t="shared" si="0"/>
        <v>0</v>
      </c>
      <c r="M16" s="748">
        <f t="shared" ca="1" si="0"/>
        <v>0</v>
      </c>
      <c r="N16" s="748">
        <f t="shared" si="0"/>
        <v>0</v>
      </c>
      <c r="O16" s="748">
        <f t="shared" ca="1" si="0"/>
        <v>3803.0395183016658</v>
      </c>
      <c r="P16" s="748">
        <f t="shared" si="0"/>
        <v>144.82895001525333</v>
      </c>
      <c r="Q16" s="748">
        <f t="shared" si="0"/>
        <v>400.29045369203089</v>
      </c>
      <c r="R16" s="748">
        <f t="shared" ca="1" si="0"/>
        <v>89474.374393170903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615.46720586548668</v>
      </c>
      <c r="I19" s="712">
        <f>transport!H54</f>
        <v>0</v>
      </c>
      <c r="J19" s="712">
        <f>transport!I54</f>
        <v>0</v>
      </c>
      <c r="K19" s="712">
        <f>transport!J54</f>
        <v>0</v>
      </c>
      <c r="L19" s="712">
        <f>transport!K54</f>
        <v>0</v>
      </c>
      <c r="M19" s="712">
        <f>transport!L54</f>
        <v>0</v>
      </c>
      <c r="N19" s="712">
        <f>transport!M54</f>
        <v>34.207735399709136</v>
      </c>
      <c r="O19" s="712">
        <f>transport!N54</f>
        <v>0</v>
      </c>
      <c r="P19" s="712">
        <f>transport!O54</f>
        <v>0</v>
      </c>
      <c r="Q19" s="713">
        <f>transport!P54</f>
        <v>0</v>
      </c>
      <c r="R19" s="715">
        <f>SUM(C19:Q19)</f>
        <v>649.6749412651958</v>
      </c>
      <c r="S19" s="67"/>
    </row>
    <row r="20" spans="1:19" s="474" customFormat="1">
      <c r="A20" s="834" t="s">
        <v>306</v>
      </c>
      <c r="B20" s="839"/>
      <c r="C20" s="712">
        <f>transport!B14</f>
        <v>32.855278177777777</v>
      </c>
      <c r="D20" s="712">
        <f>transport!C14</f>
        <v>0</v>
      </c>
      <c r="E20" s="712">
        <f>transport!D14</f>
        <v>119.41826573510554</v>
      </c>
      <c r="F20" s="712">
        <f>transport!E14</f>
        <v>93.579926662097208</v>
      </c>
      <c r="G20" s="712">
        <f>transport!F14</f>
        <v>0</v>
      </c>
      <c r="H20" s="712">
        <f>transport!G14</f>
        <v>54302.509598976045</v>
      </c>
      <c r="I20" s="712">
        <f>transport!H14</f>
        <v>8949.3670684256776</v>
      </c>
      <c r="J20" s="712">
        <f>transport!I14</f>
        <v>0</v>
      </c>
      <c r="K20" s="712">
        <f>transport!J14</f>
        <v>0</v>
      </c>
      <c r="L20" s="712">
        <f>transport!K14</f>
        <v>0</v>
      </c>
      <c r="M20" s="712">
        <f>transport!L14</f>
        <v>0</v>
      </c>
      <c r="N20" s="712">
        <f>transport!M14</f>
        <v>3719.0886603006143</v>
      </c>
      <c r="O20" s="712">
        <f>transport!N14</f>
        <v>0</v>
      </c>
      <c r="P20" s="712">
        <f>transport!O14</f>
        <v>0</v>
      </c>
      <c r="Q20" s="713">
        <f>transport!P14</f>
        <v>0</v>
      </c>
      <c r="R20" s="715">
        <f>SUM(C20:Q20)</f>
        <v>67216.818798277309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32.855278177777777</v>
      </c>
      <c r="D22" s="837">
        <f t="shared" ref="D22:R22" si="1">SUM(D18:D21)</f>
        <v>0</v>
      </c>
      <c r="E22" s="837">
        <f t="shared" si="1"/>
        <v>119.41826573510554</v>
      </c>
      <c r="F22" s="837">
        <f t="shared" si="1"/>
        <v>93.579926662097208</v>
      </c>
      <c r="G22" s="837">
        <f t="shared" si="1"/>
        <v>0</v>
      </c>
      <c r="H22" s="837">
        <f t="shared" si="1"/>
        <v>54917.976804841528</v>
      </c>
      <c r="I22" s="837">
        <f t="shared" si="1"/>
        <v>8949.3670684256776</v>
      </c>
      <c r="J22" s="837">
        <f t="shared" si="1"/>
        <v>0</v>
      </c>
      <c r="K22" s="837">
        <f t="shared" si="1"/>
        <v>0</v>
      </c>
      <c r="L22" s="837">
        <f t="shared" si="1"/>
        <v>0</v>
      </c>
      <c r="M22" s="837">
        <f t="shared" si="1"/>
        <v>0</v>
      </c>
      <c r="N22" s="837">
        <f t="shared" si="1"/>
        <v>3753.2963957003235</v>
      </c>
      <c r="O22" s="837">
        <f t="shared" si="1"/>
        <v>0</v>
      </c>
      <c r="P22" s="837">
        <f t="shared" si="1"/>
        <v>0</v>
      </c>
      <c r="Q22" s="837">
        <f t="shared" si="1"/>
        <v>0</v>
      </c>
      <c r="R22" s="837">
        <f t="shared" si="1"/>
        <v>67866.493739542508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140.157062</v>
      </c>
      <c r="D24" s="712">
        <f>+landbouw!C8</f>
        <v>0</v>
      </c>
      <c r="E24" s="712">
        <f>+landbouw!D8</f>
        <v>20.742013160000003</v>
      </c>
      <c r="F24" s="712">
        <f>+landbouw!E8</f>
        <v>4.3742556869227815</v>
      </c>
      <c r="G24" s="712">
        <f>+landbouw!F8</f>
        <v>495.33058328849415</v>
      </c>
      <c r="H24" s="712">
        <f>+landbouw!G8</f>
        <v>0</v>
      </c>
      <c r="I24" s="712">
        <f>+landbouw!H8</f>
        <v>0</v>
      </c>
      <c r="J24" s="712">
        <f>+landbouw!I8</f>
        <v>0</v>
      </c>
      <c r="K24" s="712">
        <f>+landbouw!J8</f>
        <v>38.61424256170659</v>
      </c>
      <c r="L24" s="712">
        <f>+landbouw!K8</f>
        <v>0</v>
      </c>
      <c r="M24" s="712">
        <f>+landbouw!L8</f>
        <v>0</v>
      </c>
      <c r="N24" s="712">
        <f>+landbouw!M8</f>
        <v>0</v>
      </c>
      <c r="O24" s="712">
        <f>+landbouw!N8</f>
        <v>0</v>
      </c>
      <c r="P24" s="712">
        <f>+landbouw!O8</f>
        <v>0</v>
      </c>
      <c r="Q24" s="713">
        <f>+landbouw!P8</f>
        <v>0</v>
      </c>
      <c r="R24" s="715">
        <f>SUM(C24:Q24)</f>
        <v>699.2181566971235</v>
      </c>
      <c r="S24" s="67"/>
    </row>
    <row r="25" spans="1:19" s="474" customFormat="1" ht="15" thickBot="1">
      <c r="A25" s="856" t="s">
        <v>734</v>
      </c>
      <c r="B25" s="982"/>
      <c r="C25" s="983">
        <f>IF(Onbekend_ele_kWh="---",0,Onbekend_ele_kWh)/1000+IF(REST_rest_ele_kWh="---",0,REST_rest_ele_kWh)/1000</f>
        <v>337.36866399999997</v>
      </c>
      <c r="D25" s="983"/>
      <c r="E25" s="983">
        <f>IF(onbekend_gas_kWh="---",0,onbekend_gas_kWh)/1000+IF(REST_rest_gas_kWh="---",0,REST_rest_gas_kWh)/1000</f>
        <v>946.67442200000005</v>
      </c>
      <c r="F25" s="983"/>
      <c r="G25" s="983"/>
      <c r="H25" s="983"/>
      <c r="I25" s="983"/>
      <c r="J25" s="983"/>
      <c r="K25" s="983"/>
      <c r="L25" s="983"/>
      <c r="M25" s="983"/>
      <c r="N25" s="983"/>
      <c r="O25" s="983"/>
      <c r="P25" s="983"/>
      <c r="Q25" s="984"/>
      <c r="R25" s="715">
        <f>SUM(C25:Q25)</f>
        <v>1284.0430860000001</v>
      </c>
      <c r="S25" s="67"/>
    </row>
    <row r="26" spans="1:19" s="474" customFormat="1" ht="15.75" thickBot="1">
      <c r="A26" s="720" t="s">
        <v>735</v>
      </c>
      <c r="B26" s="842"/>
      <c r="C26" s="837">
        <f>SUM(C24:C25)</f>
        <v>477.52572599999996</v>
      </c>
      <c r="D26" s="837">
        <f t="shared" ref="D26:R26" si="2">SUM(D24:D25)</f>
        <v>0</v>
      </c>
      <c r="E26" s="837">
        <f t="shared" si="2"/>
        <v>967.41643516000011</v>
      </c>
      <c r="F26" s="837">
        <f t="shared" si="2"/>
        <v>4.3742556869227815</v>
      </c>
      <c r="G26" s="837">
        <f t="shared" si="2"/>
        <v>495.33058328849415</v>
      </c>
      <c r="H26" s="837">
        <f t="shared" si="2"/>
        <v>0</v>
      </c>
      <c r="I26" s="837">
        <f t="shared" si="2"/>
        <v>0</v>
      </c>
      <c r="J26" s="837">
        <f t="shared" si="2"/>
        <v>0</v>
      </c>
      <c r="K26" s="837">
        <f t="shared" si="2"/>
        <v>38.61424256170659</v>
      </c>
      <c r="L26" s="837">
        <f t="shared" si="2"/>
        <v>0</v>
      </c>
      <c r="M26" s="837">
        <f t="shared" si="2"/>
        <v>0</v>
      </c>
      <c r="N26" s="837">
        <f t="shared" si="2"/>
        <v>0</v>
      </c>
      <c r="O26" s="837">
        <f t="shared" si="2"/>
        <v>0</v>
      </c>
      <c r="P26" s="837">
        <f t="shared" si="2"/>
        <v>0</v>
      </c>
      <c r="Q26" s="837">
        <f t="shared" si="2"/>
        <v>0</v>
      </c>
      <c r="R26" s="837">
        <f t="shared" si="2"/>
        <v>1983.2612426971236</v>
      </c>
      <c r="S26" s="67"/>
    </row>
    <row r="27" spans="1:19" s="474" customFormat="1" ht="17.25" thickTop="1" thickBot="1">
      <c r="A27" s="721" t="s">
        <v>115</v>
      </c>
      <c r="B27" s="829"/>
      <c r="C27" s="722">
        <f ca="1">C22+C16+C26</f>
        <v>29235.518647319346</v>
      </c>
      <c r="D27" s="722">
        <f t="shared" ref="D27:R27" ca="1" si="3">D22+D16+D26</f>
        <v>0</v>
      </c>
      <c r="E27" s="722">
        <f t="shared" ca="1" si="3"/>
        <v>54316.538118423108</v>
      </c>
      <c r="F27" s="722">
        <f t="shared" si="3"/>
        <v>1148.1978726682623</v>
      </c>
      <c r="G27" s="722">
        <f t="shared" ca="1" si="3"/>
        <v>2613.7226091533967</v>
      </c>
      <c r="H27" s="722">
        <f t="shared" si="3"/>
        <v>54917.976804841528</v>
      </c>
      <c r="I27" s="722">
        <f t="shared" si="3"/>
        <v>8949.3670684256776</v>
      </c>
      <c r="J27" s="722">
        <f t="shared" si="3"/>
        <v>0</v>
      </c>
      <c r="K27" s="722">
        <f t="shared" si="3"/>
        <v>41.352936869936563</v>
      </c>
      <c r="L27" s="722">
        <f t="shared" si="3"/>
        <v>0</v>
      </c>
      <c r="M27" s="722">
        <f t="shared" ca="1" si="3"/>
        <v>0</v>
      </c>
      <c r="N27" s="722">
        <f t="shared" si="3"/>
        <v>3753.2963957003235</v>
      </c>
      <c r="O27" s="722">
        <f t="shared" ca="1" si="3"/>
        <v>3803.0395183016658</v>
      </c>
      <c r="P27" s="722">
        <f t="shared" si="3"/>
        <v>144.82895001525333</v>
      </c>
      <c r="Q27" s="722">
        <f t="shared" si="3"/>
        <v>400.29045369203089</v>
      </c>
      <c r="R27" s="722">
        <f t="shared" ca="1" si="3"/>
        <v>159324.12937541056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1907.8890169576105</v>
      </c>
      <c r="D40" s="712">
        <f ca="1">tertiair!C20</f>
        <v>0</v>
      </c>
      <c r="E40" s="712">
        <f ca="1">tertiair!D20</f>
        <v>2717.8099714175964</v>
      </c>
      <c r="F40" s="712">
        <f>tertiair!E20</f>
        <v>42.666375634023211</v>
      </c>
      <c r="G40" s="712">
        <f ca="1">tertiair!F20</f>
        <v>383.29933061681561</v>
      </c>
      <c r="H40" s="712">
        <f>tertiair!G20</f>
        <v>0</v>
      </c>
      <c r="I40" s="712">
        <f>tertiair!H20</f>
        <v>0</v>
      </c>
      <c r="J40" s="712">
        <f>tertiair!I20</f>
        <v>0</v>
      </c>
      <c r="K40" s="712">
        <f>tertiair!J20</f>
        <v>6.6082095044638026E-3</v>
      </c>
      <c r="L40" s="712">
        <f>tertiair!K20</f>
        <v>0</v>
      </c>
      <c r="M40" s="712">
        <f ca="1">tertiair!L20</f>
        <v>0</v>
      </c>
      <c r="N40" s="712">
        <f>tertiair!M20</f>
        <v>0</v>
      </c>
      <c r="O40" s="712">
        <f ca="1">tertiair!N20</f>
        <v>0</v>
      </c>
      <c r="P40" s="712">
        <f>tertiair!O20</f>
        <v>0</v>
      </c>
      <c r="Q40" s="795">
        <f>tertiair!P20</f>
        <v>0</v>
      </c>
      <c r="R40" s="875">
        <f t="shared" ca="1" si="4"/>
        <v>5051.6713028355498</v>
      </c>
    </row>
    <row r="41" spans="1:18">
      <c r="A41" s="847" t="s">
        <v>224</v>
      </c>
      <c r="B41" s="854"/>
      <c r="C41" s="712">
        <f ca="1">huishoudens!B12</f>
        <v>2067.5973012311952</v>
      </c>
      <c r="D41" s="712">
        <f ca="1">huishoudens!C12</f>
        <v>0</v>
      </c>
      <c r="E41" s="712">
        <f>huishoudens!D12</f>
        <v>7428.2397106280005</v>
      </c>
      <c r="F41" s="712">
        <f>huishoudens!E12</f>
        <v>146.41682109753827</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9642.2538329567342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216.71343904821543</v>
      </c>
      <c r="D43" s="712">
        <f ca="1">industrie!C22</f>
        <v>0</v>
      </c>
      <c r="E43" s="712">
        <f>industrie!D22</f>
        <v>606.35040829506011</v>
      </c>
      <c r="F43" s="712">
        <f>industrie!E22</f>
        <v>49.322120970906511</v>
      </c>
      <c r="G43" s="712">
        <f>industrie!F22</f>
        <v>182.3113402891133</v>
      </c>
      <c r="H43" s="712">
        <f>industrie!G22</f>
        <v>0</v>
      </c>
      <c r="I43" s="712">
        <f>industrie!H22</f>
        <v>0</v>
      </c>
      <c r="J43" s="712">
        <f>industrie!I22</f>
        <v>0</v>
      </c>
      <c r="K43" s="712">
        <f>industrie!J22</f>
        <v>0.96288957560894584</v>
      </c>
      <c r="L43" s="712">
        <f>industrie!K22</f>
        <v>0</v>
      </c>
      <c r="M43" s="712">
        <f>industrie!L22</f>
        <v>0</v>
      </c>
      <c r="N43" s="712">
        <f>industrie!M22</f>
        <v>0</v>
      </c>
      <c r="O43" s="712">
        <f>industrie!N22</f>
        <v>0</v>
      </c>
      <c r="P43" s="712">
        <f>industrie!O22</f>
        <v>0</v>
      </c>
      <c r="Q43" s="795">
        <f>industrie!P22</f>
        <v>0</v>
      </c>
      <c r="R43" s="874">
        <f t="shared" ca="1" si="4"/>
        <v>1055.6601981789042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4192.199757237021</v>
      </c>
      <c r="D46" s="748">
        <f t="shared" ref="D46:Q46" ca="1" si="5">SUM(D39:D45)</f>
        <v>0</v>
      </c>
      <c r="E46" s="748">
        <f t="shared" ca="1" si="5"/>
        <v>10752.400090340658</v>
      </c>
      <c r="F46" s="748">
        <f t="shared" si="5"/>
        <v>238.40531770246798</v>
      </c>
      <c r="G46" s="748">
        <f t="shared" ca="1" si="5"/>
        <v>565.61067090592894</v>
      </c>
      <c r="H46" s="748">
        <f t="shared" si="5"/>
        <v>0</v>
      </c>
      <c r="I46" s="748">
        <f t="shared" si="5"/>
        <v>0</v>
      </c>
      <c r="J46" s="748">
        <f t="shared" si="5"/>
        <v>0</v>
      </c>
      <c r="K46" s="748">
        <f t="shared" si="5"/>
        <v>0.96949778511340967</v>
      </c>
      <c r="L46" s="748">
        <f t="shared" si="5"/>
        <v>0</v>
      </c>
      <c r="M46" s="748">
        <f t="shared" ca="1" si="5"/>
        <v>0</v>
      </c>
      <c r="N46" s="748">
        <f t="shared" si="5"/>
        <v>0</v>
      </c>
      <c r="O46" s="748">
        <f t="shared" ca="1" si="5"/>
        <v>0</v>
      </c>
      <c r="P46" s="748">
        <f t="shared" si="5"/>
        <v>0</v>
      </c>
      <c r="Q46" s="748">
        <f t="shared" si="5"/>
        <v>0</v>
      </c>
      <c r="R46" s="748">
        <f ca="1">SUM(R39:R45)</f>
        <v>15749.585333971188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164.32974396608495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164.32974396608495</v>
      </c>
    </row>
    <row r="50" spans="1:18">
      <c r="A50" s="850" t="s">
        <v>306</v>
      </c>
      <c r="B50" s="860"/>
      <c r="C50" s="718">
        <f ca="1">transport!B18</f>
        <v>4.7949601116609681</v>
      </c>
      <c r="D50" s="718">
        <f>transport!C18</f>
        <v>0</v>
      </c>
      <c r="E50" s="718">
        <f>transport!D18</f>
        <v>24.12248967849132</v>
      </c>
      <c r="F50" s="718">
        <f>transport!E18</f>
        <v>21.242643352296067</v>
      </c>
      <c r="G50" s="718">
        <f>transport!F18</f>
        <v>0</v>
      </c>
      <c r="H50" s="718">
        <f>transport!G18</f>
        <v>14498.770062926606</v>
      </c>
      <c r="I50" s="718">
        <f>transport!H18</f>
        <v>2228.3924000379939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16777.32255610705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4.7949601116609681</v>
      </c>
      <c r="D52" s="748">
        <f t="shared" ref="D52:Q52" ca="1" si="6">SUM(D48:D51)</f>
        <v>0</v>
      </c>
      <c r="E52" s="748">
        <f t="shared" si="6"/>
        <v>24.12248967849132</v>
      </c>
      <c r="F52" s="748">
        <f t="shared" si="6"/>
        <v>21.242643352296067</v>
      </c>
      <c r="G52" s="748">
        <f t="shared" si="6"/>
        <v>0</v>
      </c>
      <c r="H52" s="748">
        <f t="shared" si="6"/>
        <v>14663.099806892691</v>
      </c>
      <c r="I52" s="748">
        <f t="shared" si="6"/>
        <v>2228.3924000379939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16941.652300073136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20.45478105591399</v>
      </c>
      <c r="D54" s="718">
        <f ca="1">+landbouw!C12</f>
        <v>0</v>
      </c>
      <c r="E54" s="718">
        <f>+landbouw!D12</f>
        <v>4.1898866583200007</v>
      </c>
      <c r="F54" s="718">
        <f>+landbouw!E12</f>
        <v>0.9929560409314715</v>
      </c>
      <c r="G54" s="718">
        <f>+landbouw!F12</f>
        <v>132.25326573802795</v>
      </c>
      <c r="H54" s="718">
        <f>+landbouw!G12</f>
        <v>0</v>
      </c>
      <c r="I54" s="718">
        <f>+landbouw!H12</f>
        <v>0</v>
      </c>
      <c r="J54" s="718">
        <f>+landbouw!I12</f>
        <v>0</v>
      </c>
      <c r="K54" s="718">
        <f>+landbouw!J12</f>
        <v>13.669441866844132</v>
      </c>
      <c r="L54" s="718">
        <f>+landbouw!K12</f>
        <v>0</v>
      </c>
      <c r="M54" s="718">
        <f>+landbouw!L12</f>
        <v>0</v>
      </c>
      <c r="N54" s="718">
        <f>+landbouw!M12</f>
        <v>0</v>
      </c>
      <c r="O54" s="718">
        <f>+landbouw!N12</f>
        <v>0</v>
      </c>
      <c r="P54" s="718">
        <f>+landbouw!O12</f>
        <v>0</v>
      </c>
      <c r="Q54" s="719">
        <f>+landbouw!P12</f>
        <v>0</v>
      </c>
      <c r="R54" s="747">
        <f ca="1">SUM(C54:Q54)</f>
        <v>171.56033136003754</v>
      </c>
    </row>
    <row r="55" spans="1:18" ht="15" thickBot="1">
      <c r="A55" s="850" t="s">
        <v>734</v>
      </c>
      <c r="B55" s="860"/>
      <c r="C55" s="718">
        <f ca="1">C25*'EF ele_warmte'!B12</f>
        <v>49.236207286124561</v>
      </c>
      <c r="D55" s="718"/>
      <c r="E55" s="718">
        <f>E25*EF_CO2_aardgas</f>
        <v>191.22823324400002</v>
      </c>
      <c r="F55" s="718"/>
      <c r="G55" s="718"/>
      <c r="H55" s="718"/>
      <c r="I55" s="718"/>
      <c r="J55" s="718"/>
      <c r="K55" s="718"/>
      <c r="L55" s="718"/>
      <c r="M55" s="718"/>
      <c r="N55" s="718"/>
      <c r="O55" s="718"/>
      <c r="P55" s="718"/>
      <c r="Q55" s="719"/>
      <c r="R55" s="747">
        <f ca="1">SUM(C55:Q55)</f>
        <v>240.46444053012459</v>
      </c>
    </row>
    <row r="56" spans="1:18" ht="15.75" thickBot="1">
      <c r="A56" s="848" t="s">
        <v>735</v>
      </c>
      <c r="B56" s="861"/>
      <c r="C56" s="748">
        <f ca="1">SUM(C54:C55)</f>
        <v>69.690988342038551</v>
      </c>
      <c r="D56" s="748">
        <f t="shared" ref="D56:Q56" ca="1" si="7">SUM(D54:D55)</f>
        <v>0</v>
      </c>
      <c r="E56" s="748">
        <f t="shared" si="7"/>
        <v>195.41811990232003</v>
      </c>
      <c r="F56" s="748">
        <f t="shared" si="7"/>
        <v>0.9929560409314715</v>
      </c>
      <c r="G56" s="748">
        <f t="shared" si="7"/>
        <v>132.25326573802795</v>
      </c>
      <c r="H56" s="748">
        <f t="shared" si="7"/>
        <v>0</v>
      </c>
      <c r="I56" s="748">
        <f t="shared" si="7"/>
        <v>0</v>
      </c>
      <c r="J56" s="748">
        <f t="shared" si="7"/>
        <v>0</v>
      </c>
      <c r="K56" s="748">
        <f t="shared" si="7"/>
        <v>13.669441866844132</v>
      </c>
      <c r="L56" s="748">
        <f t="shared" si="7"/>
        <v>0</v>
      </c>
      <c r="M56" s="748">
        <f t="shared" si="7"/>
        <v>0</v>
      </c>
      <c r="N56" s="748">
        <f t="shared" si="7"/>
        <v>0</v>
      </c>
      <c r="O56" s="748">
        <f t="shared" si="7"/>
        <v>0</v>
      </c>
      <c r="P56" s="748">
        <f t="shared" si="7"/>
        <v>0</v>
      </c>
      <c r="Q56" s="749">
        <f t="shared" si="7"/>
        <v>0</v>
      </c>
      <c r="R56" s="750">
        <f ca="1">SUM(R54:R55)</f>
        <v>412.02477189016213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4266.6857056907202</v>
      </c>
      <c r="D61" s="756">
        <f t="shared" ref="D61:Q61" ca="1" si="8">D46+D52+D56</f>
        <v>0</v>
      </c>
      <c r="E61" s="756">
        <f t="shared" ca="1" si="8"/>
        <v>10971.94069992147</v>
      </c>
      <c r="F61" s="756">
        <f t="shared" si="8"/>
        <v>260.6409170956955</v>
      </c>
      <c r="G61" s="756">
        <f t="shared" ca="1" si="8"/>
        <v>697.86393664395689</v>
      </c>
      <c r="H61" s="756">
        <f t="shared" si="8"/>
        <v>14663.099806892691</v>
      </c>
      <c r="I61" s="756">
        <f t="shared" si="8"/>
        <v>2228.3924000379939</v>
      </c>
      <c r="J61" s="756">
        <f t="shared" si="8"/>
        <v>0</v>
      </c>
      <c r="K61" s="756">
        <f t="shared" si="8"/>
        <v>14.638939651957541</v>
      </c>
      <c r="L61" s="756">
        <f t="shared" si="8"/>
        <v>0</v>
      </c>
      <c r="M61" s="756">
        <f t="shared" ca="1" si="8"/>
        <v>0</v>
      </c>
      <c r="N61" s="756">
        <f t="shared" si="8"/>
        <v>0</v>
      </c>
      <c r="O61" s="756">
        <f t="shared" ca="1" si="8"/>
        <v>0</v>
      </c>
      <c r="P61" s="756">
        <f t="shared" si="8"/>
        <v>0</v>
      </c>
      <c r="Q61" s="756">
        <f t="shared" si="8"/>
        <v>0</v>
      </c>
      <c r="R61" s="756">
        <f ca="1">R46+R52+R56</f>
        <v>33103.262405934482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0.14594185097796922</v>
      </c>
      <c r="D63" s="802">
        <f t="shared" ca="1" si="9"/>
        <v>0</v>
      </c>
      <c r="E63" s="1008">
        <f t="shared" ca="1" si="9"/>
        <v>0.20200000000000004</v>
      </c>
      <c r="F63" s="802">
        <f t="shared" si="9"/>
        <v>0.22699999999999995</v>
      </c>
      <c r="G63" s="802">
        <f t="shared" ca="1" si="9"/>
        <v>0.26700000000000002</v>
      </c>
      <c r="H63" s="802">
        <f t="shared" si="9"/>
        <v>0.26700000000000007</v>
      </c>
      <c r="I63" s="802">
        <f t="shared" si="9"/>
        <v>0.24900000000000003</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7896.8211224525758</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2032.427363370299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9929.2484858228745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7896.8211224525758</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2032.427363370299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9929.2484858228745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14167.267904141569</v>
      </c>
      <c r="C4" s="478">
        <f>huishoudens!C8</f>
        <v>0</v>
      </c>
      <c r="D4" s="478">
        <f>huishoudens!D8</f>
        <v>36773.463914</v>
      </c>
      <c r="E4" s="478">
        <f>huishoudens!E8</f>
        <v>645.00802245611578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2976.5584858543093</v>
      </c>
      <c r="O4" s="478">
        <f>huishoudens!O8</f>
        <v>144.82895001525333</v>
      </c>
      <c r="P4" s="479">
        <f>huishoudens!P8</f>
        <v>400.29045369203089</v>
      </c>
      <c r="Q4" s="480">
        <f>SUM(B4:P4)</f>
        <v>55107.417730159279</v>
      </c>
    </row>
    <row r="5" spans="1:17">
      <c r="A5" s="477" t="s">
        <v>155</v>
      </c>
      <c r="B5" s="478">
        <f ca="1">tertiair!B16</f>
        <v>12669.078696000002</v>
      </c>
      <c r="C5" s="478">
        <f ca="1">tertiair!C16</f>
        <v>0</v>
      </c>
      <c r="D5" s="478">
        <f ca="1">tertiair!D16</f>
        <v>13454.504808998001</v>
      </c>
      <c r="E5" s="478">
        <f>tertiair!E16</f>
        <v>187.95760191199651</v>
      </c>
      <c r="F5" s="478">
        <f ca="1">tertiair!F16</f>
        <v>1435.5780172914442</v>
      </c>
      <c r="G5" s="478">
        <f>tertiair!G16</f>
        <v>0</v>
      </c>
      <c r="H5" s="478">
        <f>tertiair!H16</f>
        <v>0</v>
      </c>
      <c r="I5" s="478">
        <f>tertiair!I16</f>
        <v>0</v>
      </c>
      <c r="J5" s="478">
        <f>tertiair!J16</f>
        <v>1.8667258487185884E-2</v>
      </c>
      <c r="K5" s="478">
        <f>tertiair!K16</f>
        <v>0</v>
      </c>
      <c r="L5" s="478">
        <f ca="1">tertiair!L16</f>
        <v>0</v>
      </c>
      <c r="M5" s="478">
        <f>tertiair!M16</f>
        <v>0</v>
      </c>
      <c r="N5" s="478">
        <f ca="1">tertiair!N16</f>
        <v>736.01261373577336</v>
      </c>
      <c r="O5" s="478">
        <f>tertiair!O16</f>
        <v>0</v>
      </c>
      <c r="P5" s="479">
        <f>tertiair!P16</f>
        <v>0</v>
      </c>
      <c r="Q5" s="477">
        <f t="shared" ref="Q5:Q14" ca="1" si="0">SUM(B5:P5)</f>
        <v>28483.150405195702</v>
      </c>
    </row>
    <row r="6" spans="1:17">
      <c r="A6" s="477" t="s">
        <v>193</v>
      </c>
      <c r="B6" s="478">
        <f>'openbare verlichting'!B8</f>
        <v>403.86099999999999</v>
      </c>
      <c r="C6" s="478"/>
      <c r="D6" s="478"/>
      <c r="E6" s="478"/>
      <c r="F6" s="478"/>
      <c r="G6" s="478"/>
      <c r="H6" s="478"/>
      <c r="I6" s="478"/>
      <c r="J6" s="478"/>
      <c r="K6" s="478"/>
      <c r="L6" s="478"/>
      <c r="M6" s="478"/>
      <c r="N6" s="478"/>
      <c r="O6" s="478"/>
      <c r="P6" s="479"/>
      <c r="Q6" s="477">
        <f t="shared" si="0"/>
        <v>403.86099999999999</v>
      </c>
    </row>
    <row r="7" spans="1:17">
      <c r="A7" s="477" t="s">
        <v>111</v>
      </c>
      <c r="B7" s="478">
        <f>landbouw!B8</f>
        <v>140.157062</v>
      </c>
      <c r="C7" s="478">
        <f>landbouw!C8</f>
        <v>0</v>
      </c>
      <c r="D7" s="478">
        <f>landbouw!D8</f>
        <v>20.742013160000003</v>
      </c>
      <c r="E7" s="478">
        <f>landbouw!E8</f>
        <v>4.3742556869227815</v>
      </c>
      <c r="F7" s="478">
        <f>landbouw!F8</f>
        <v>495.33058328849415</v>
      </c>
      <c r="G7" s="478">
        <f>landbouw!G8</f>
        <v>0</v>
      </c>
      <c r="H7" s="478">
        <f>landbouw!H8</f>
        <v>0</v>
      </c>
      <c r="I7" s="478">
        <f>landbouw!I8</f>
        <v>0</v>
      </c>
      <c r="J7" s="478">
        <f>landbouw!J8</f>
        <v>38.61424256170659</v>
      </c>
      <c r="K7" s="478">
        <f>landbouw!K8</f>
        <v>0</v>
      </c>
      <c r="L7" s="478">
        <f>landbouw!L8</f>
        <v>0</v>
      </c>
      <c r="M7" s="478">
        <f>landbouw!M8</f>
        <v>0</v>
      </c>
      <c r="N7" s="478">
        <f>landbouw!N8</f>
        <v>0</v>
      </c>
      <c r="O7" s="478">
        <f>landbouw!O8</f>
        <v>0</v>
      </c>
      <c r="P7" s="479">
        <f>landbouw!P8</f>
        <v>0</v>
      </c>
      <c r="Q7" s="477">
        <f t="shared" si="0"/>
        <v>699.2181566971235</v>
      </c>
    </row>
    <row r="8" spans="1:17">
      <c r="A8" s="477" t="s">
        <v>629</v>
      </c>
      <c r="B8" s="478">
        <f>industrie!B18</f>
        <v>1484.9300430000001</v>
      </c>
      <c r="C8" s="478">
        <f>industrie!C18</f>
        <v>0</v>
      </c>
      <c r="D8" s="478">
        <f>industrie!D18</f>
        <v>3001.7346945300001</v>
      </c>
      <c r="E8" s="478">
        <f>industrie!E18</f>
        <v>217.27806595113</v>
      </c>
      <c r="F8" s="478">
        <f>industrie!F18</f>
        <v>682.81400857345807</v>
      </c>
      <c r="G8" s="478">
        <f>industrie!G18</f>
        <v>0</v>
      </c>
      <c r="H8" s="478">
        <f>industrie!H18</f>
        <v>0</v>
      </c>
      <c r="I8" s="478">
        <f>industrie!I18</f>
        <v>0</v>
      </c>
      <c r="J8" s="478">
        <f>industrie!J18</f>
        <v>2.720027049742785</v>
      </c>
      <c r="K8" s="478">
        <f>industrie!K18</f>
        <v>0</v>
      </c>
      <c r="L8" s="478">
        <f>industrie!L18</f>
        <v>0</v>
      </c>
      <c r="M8" s="478">
        <f>industrie!M18</f>
        <v>0</v>
      </c>
      <c r="N8" s="478">
        <f>industrie!N18</f>
        <v>90.468418711583013</v>
      </c>
      <c r="O8" s="478">
        <f>industrie!O18</f>
        <v>0</v>
      </c>
      <c r="P8" s="479">
        <f>industrie!P18</f>
        <v>0</v>
      </c>
      <c r="Q8" s="477">
        <f t="shared" si="0"/>
        <v>5479.9452578159126</v>
      </c>
    </row>
    <row r="9" spans="1:17" s="483" customFormat="1">
      <c r="A9" s="481" t="s">
        <v>555</v>
      </c>
      <c r="B9" s="482">
        <f>transport!B14</f>
        <v>32.855278177777777</v>
      </c>
      <c r="C9" s="482">
        <f>transport!C14</f>
        <v>0</v>
      </c>
      <c r="D9" s="482">
        <f>transport!D14</f>
        <v>119.41826573510554</v>
      </c>
      <c r="E9" s="482">
        <f>transport!E14</f>
        <v>93.579926662097208</v>
      </c>
      <c r="F9" s="482">
        <f>transport!F14</f>
        <v>0</v>
      </c>
      <c r="G9" s="482">
        <f>transport!G14</f>
        <v>54302.509598976045</v>
      </c>
      <c r="H9" s="482">
        <f>transport!H14</f>
        <v>8949.3670684256776</v>
      </c>
      <c r="I9" s="482">
        <f>transport!I14</f>
        <v>0</v>
      </c>
      <c r="J9" s="482">
        <f>transport!J14</f>
        <v>0</v>
      </c>
      <c r="K9" s="482">
        <f>transport!K14</f>
        <v>0</v>
      </c>
      <c r="L9" s="482">
        <f>transport!L14</f>
        <v>0</v>
      </c>
      <c r="M9" s="482">
        <f>transport!M14</f>
        <v>3719.0886603006143</v>
      </c>
      <c r="N9" s="482">
        <f>transport!N14</f>
        <v>0</v>
      </c>
      <c r="O9" s="482">
        <f>transport!O14</f>
        <v>0</v>
      </c>
      <c r="P9" s="482">
        <f>transport!P14</f>
        <v>0</v>
      </c>
      <c r="Q9" s="481">
        <f>SUM(B9:P9)</f>
        <v>67216.818798277309</v>
      </c>
    </row>
    <row r="10" spans="1:17">
      <c r="A10" s="477" t="s">
        <v>545</v>
      </c>
      <c r="B10" s="478">
        <f>transport!B54</f>
        <v>0</v>
      </c>
      <c r="C10" s="478">
        <f>transport!C54</f>
        <v>0</v>
      </c>
      <c r="D10" s="478">
        <f>transport!D54</f>
        <v>0</v>
      </c>
      <c r="E10" s="478">
        <f>transport!E54</f>
        <v>0</v>
      </c>
      <c r="F10" s="478">
        <f>transport!F54</f>
        <v>0</v>
      </c>
      <c r="G10" s="478">
        <f>transport!G54</f>
        <v>615.46720586548668</v>
      </c>
      <c r="H10" s="478">
        <f>transport!H54</f>
        <v>0</v>
      </c>
      <c r="I10" s="478">
        <f>transport!I54</f>
        <v>0</v>
      </c>
      <c r="J10" s="478">
        <f>transport!J54</f>
        <v>0</v>
      </c>
      <c r="K10" s="478">
        <f>transport!K54</f>
        <v>0</v>
      </c>
      <c r="L10" s="478">
        <f>transport!L54</f>
        <v>0</v>
      </c>
      <c r="M10" s="478">
        <f>transport!M54</f>
        <v>34.207735399709136</v>
      </c>
      <c r="N10" s="478">
        <f>transport!N54</f>
        <v>0</v>
      </c>
      <c r="O10" s="478">
        <f>transport!O54</f>
        <v>0</v>
      </c>
      <c r="P10" s="479">
        <f>transport!P54</f>
        <v>0</v>
      </c>
      <c r="Q10" s="477">
        <f t="shared" si="0"/>
        <v>649.6749412651958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337.36866399999997</v>
      </c>
      <c r="C14" s="485"/>
      <c r="D14" s="485">
        <f>'SEAP template'!E25</f>
        <v>946.67442200000005</v>
      </c>
      <c r="E14" s="485"/>
      <c r="F14" s="485"/>
      <c r="G14" s="485"/>
      <c r="H14" s="485"/>
      <c r="I14" s="485"/>
      <c r="J14" s="485"/>
      <c r="K14" s="485"/>
      <c r="L14" s="485"/>
      <c r="M14" s="485"/>
      <c r="N14" s="485"/>
      <c r="O14" s="485"/>
      <c r="P14" s="486"/>
      <c r="Q14" s="477">
        <f t="shared" si="0"/>
        <v>1284.0430860000001</v>
      </c>
    </row>
    <row r="15" spans="1:17" s="489" customFormat="1">
      <c r="A15" s="487" t="s">
        <v>549</v>
      </c>
      <c r="B15" s="488">
        <f ca="1">SUM(B4:B14)</f>
        <v>29235.51864731935</v>
      </c>
      <c r="C15" s="488">
        <f t="shared" ref="C15:Q15" ca="1" si="1">SUM(C4:C14)</f>
        <v>0</v>
      </c>
      <c r="D15" s="488">
        <f t="shared" ca="1" si="1"/>
        <v>54316.538118423108</v>
      </c>
      <c r="E15" s="488">
        <f t="shared" si="1"/>
        <v>1148.1978726682623</v>
      </c>
      <c r="F15" s="488">
        <f t="shared" ca="1" si="1"/>
        <v>2613.7226091533967</v>
      </c>
      <c r="G15" s="488">
        <f t="shared" si="1"/>
        <v>54917.976804841528</v>
      </c>
      <c r="H15" s="488">
        <f t="shared" si="1"/>
        <v>8949.3670684256776</v>
      </c>
      <c r="I15" s="488">
        <f t="shared" si="1"/>
        <v>0</v>
      </c>
      <c r="J15" s="488">
        <f t="shared" si="1"/>
        <v>41.352936869936556</v>
      </c>
      <c r="K15" s="488">
        <f t="shared" si="1"/>
        <v>0</v>
      </c>
      <c r="L15" s="488">
        <f t="shared" ca="1" si="1"/>
        <v>0</v>
      </c>
      <c r="M15" s="488">
        <f t="shared" si="1"/>
        <v>3753.2963957003235</v>
      </c>
      <c r="N15" s="488">
        <f t="shared" ca="1" si="1"/>
        <v>3803.0395183016658</v>
      </c>
      <c r="O15" s="488">
        <f t="shared" si="1"/>
        <v>144.82895001525333</v>
      </c>
      <c r="P15" s="488">
        <f t="shared" si="1"/>
        <v>400.29045369203089</v>
      </c>
      <c r="Q15" s="488">
        <f t="shared" ca="1" si="1"/>
        <v>159324.12937541053</v>
      </c>
    </row>
    <row r="17" spans="1:17">
      <c r="A17" s="490" t="s">
        <v>550</v>
      </c>
      <c r="B17" s="807">
        <f ca="1">huishoudens!B10</f>
        <v>0.14594185097796922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2067.5973012311952</v>
      </c>
      <c r="C22" s="478">
        <f t="shared" ref="C22:C32" ca="1" si="3">C4*$C$17</f>
        <v>0</v>
      </c>
      <c r="D22" s="478">
        <f t="shared" ref="D22:D32" si="4">D4*$D$17</f>
        <v>7428.2397106280005</v>
      </c>
      <c r="E22" s="478">
        <f t="shared" ref="E22:E32" si="5">E4*$E$17</f>
        <v>146.41682109753827</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9642.2538329567342</v>
      </c>
    </row>
    <row r="23" spans="1:17">
      <c r="A23" s="477" t="s">
        <v>155</v>
      </c>
      <c r="B23" s="478">
        <f t="shared" ca="1" si="2"/>
        <v>1848.9487950797968</v>
      </c>
      <c r="C23" s="478">
        <f t="shared" ca="1" si="3"/>
        <v>0</v>
      </c>
      <c r="D23" s="478">
        <f t="shared" ca="1" si="4"/>
        <v>2717.8099714175964</v>
      </c>
      <c r="E23" s="478">
        <f t="shared" si="5"/>
        <v>42.666375634023211</v>
      </c>
      <c r="F23" s="478">
        <f t="shared" ca="1" si="6"/>
        <v>383.29933061681561</v>
      </c>
      <c r="G23" s="478">
        <f t="shared" si="7"/>
        <v>0</v>
      </c>
      <c r="H23" s="478">
        <f t="shared" si="8"/>
        <v>0</v>
      </c>
      <c r="I23" s="478">
        <f t="shared" si="9"/>
        <v>0</v>
      </c>
      <c r="J23" s="478">
        <f t="shared" si="10"/>
        <v>6.6082095044638026E-3</v>
      </c>
      <c r="K23" s="478">
        <f t="shared" si="11"/>
        <v>0</v>
      </c>
      <c r="L23" s="478">
        <f t="shared" ca="1" si="12"/>
        <v>0</v>
      </c>
      <c r="M23" s="478">
        <f t="shared" si="13"/>
        <v>0</v>
      </c>
      <c r="N23" s="478">
        <f t="shared" ca="1" si="14"/>
        <v>0</v>
      </c>
      <c r="O23" s="478">
        <f t="shared" si="15"/>
        <v>0</v>
      </c>
      <c r="P23" s="479">
        <f t="shared" si="16"/>
        <v>0</v>
      </c>
      <c r="Q23" s="477">
        <f t="shared" ref="Q23:Q31" ca="1" si="17">SUM(B23:P23)</f>
        <v>4992.7310809577366</v>
      </c>
    </row>
    <row r="24" spans="1:17">
      <c r="A24" s="477" t="s">
        <v>193</v>
      </c>
      <c r="B24" s="478">
        <f t="shared" ca="1" si="2"/>
        <v>58.940221877813627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58.940221877813627</v>
      </c>
    </row>
    <row r="25" spans="1:17">
      <c r="A25" s="477" t="s">
        <v>111</v>
      </c>
      <c r="B25" s="478">
        <f t="shared" ca="1" si="2"/>
        <v>20.45478105591399</v>
      </c>
      <c r="C25" s="478">
        <f t="shared" ca="1" si="3"/>
        <v>0</v>
      </c>
      <c r="D25" s="478">
        <f t="shared" si="4"/>
        <v>4.1898866583200007</v>
      </c>
      <c r="E25" s="478">
        <f t="shared" si="5"/>
        <v>0.9929560409314715</v>
      </c>
      <c r="F25" s="478">
        <f t="shared" si="6"/>
        <v>132.25326573802795</v>
      </c>
      <c r="G25" s="478">
        <f t="shared" si="7"/>
        <v>0</v>
      </c>
      <c r="H25" s="478">
        <f t="shared" si="8"/>
        <v>0</v>
      </c>
      <c r="I25" s="478">
        <f t="shared" si="9"/>
        <v>0</v>
      </c>
      <c r="J25" s="478">
        <f t="shared" si="10"/>
        <v>13.669441866844132</v>
      </c>
      <c r="K25" s="478">
        <f t="shared" si="11"/>
        <v>0</v>
      </c>
      <c r="L25" s="478">
        <f t="shared" si="12"/>
        <v>0</v>
      </c>
      <c r="M25" s="478">
        <f t="shared" si="13"/>
        <v>0</v>
      </c>
      <c r="N25" s="478">
        <f t="shared" si="14"/>
        <v>0</v>
      </c>
      <c r="O25" s="478">
        <f t="shared" si="15"/>
        <v>0</v>
      </c>
      <c r="P25" s="479">
        <f t="shared" si="16"/>
        <v>0</v>
      </c>
      <c r="Q25" s="477">
        <f t="shared" ca="1" si="17"/>
        <v>171.56033136003754</v>
      </c>
    </row>
    <row r="26" spans="1:17">
      <c r="A26" s="477" t="s">
        <v>629</v>
      </c>
      <c r="B26" s="478">
        <f t="shared" ca="1" si="2"/>
        <v>216.71343904821543</v>
      </c>
      <c r="C26" s="478">
        <f t="shared" ca="1" si="3"/>
        <v>0</v>
      </c>
      <c r="D26" s="478">
        <f t="shared" si="4"/>
        <v>606.35040829506011</v>
      </c>
      <c r="E26" s="478">
        <f t="shared" si="5"/>
        <v>49.322120970906511</v>
      </c>
      <c r="F26" s="478">
        <f t="shared" si="6"/>
        <v>182.3113402891133</v>
      </c>
      <c r="G26" s="478">
        <f t="shared" si="7"/>
        <v>0</v>
      </c>
      <c r="H26" s="478">
        <f t="shared" si="8"/>
        <v>0</v>
      </c>
      <c r="I26" s="478">
        <f t="shared" si="9"/>
        <v>0</v>
      </c>
      <c r="J26" s="478">
        <f t="shared" si="10"/>
        <v>0.96288957560894584</v>
      </c>
      <c r="K26" s="478">
        <f t="shared" si="11"/>
        <v>0</v>
      </c>
      <c r="L26" s="478">
        <f t="shared" si="12"/>
        <v>0</v>
      </c>
      <c r="M26" s="478">
        <f t="shared" si="13"/>
        <v>0</v>
      </c>
      <c r="N26" s="478">
        <f t="shared" si="14"/>
        <v>0</v>
      </c>
      <c r="O26" s="478">
        <f t="shared" si="15"/>
        <v>0</v>
      </c>
      <c r="P26" s="479">
        <f t="shared" si="16"/>
        <v>0</v>
      </c>
      <c r="Q26" s="477">
        <f t="shared" ca="1" si="17"/>
        <v>1055.6601981789042</v>
      </c>
    </row>
    <row r="27" spans="1:17" s="483" customFormat="1">
      <c r="A27" s="481" t="s">
        <v>555</v>
      </c>
      <c r="B27" s="801">
        <f t="shared" ca="1" si="2"/>
        <v>4.7949601116609681</v>
      </c>
      <c r="C27" s="482">
        <f t="shared" ca="1" si="3"/>
        <v>0</v>
      </c>
      <c r="D27" s="482">
        <f t="shared" si="4"/>
        <v>24.12248967849132</v>
      </c>
      <c r="E27" s="482">
        <f t="shared" si="5"/>
        <v>21.242643352296067</v>
      </c>
      <c r="F27" s="482">
        <f t="shared" si="6"/>
        <v>0</v>
      </c>
      <c r="G27" s="482">
        <f t="shared" si="7"/>
        <v>14498.770062926606</v>
      </c>
      <c r="H27" s="482">
        <f t="shared" si="8"/>
        <v>2228.3924000379939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16777.32255610705</v>
      </c>
    </row>
    <row r="28" spans="1:17" ht="16.5" customHeight="1">
      <c r="A28" s="477" t="s">
        <v>545</v>
      </c>
      <c r="B28" s="478">
        <f t="shared" ca="1" si="2"/>
        <v>0</v>
      </c>
      <c r="C28" s="478">
        <f t="shared" ca="1" si="3"/>
        <v>0</v>
      </c>
      <c r="D28" s="478">
        <f t="shared" si="4"/>
        <v>0</v>
      </c>
      <c r="E28" s="478">
        <f t="shared" si="5"/>
        <v>0</v>
      </c>
      <c r="F28" s="478">
        <f t="shared" si="6"/>
        <v>0</v>
      </c>
      <c r="G28" s="478">
        <f t="shared" si="7"/>
        <v>164.32974396608495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164.32974396608495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49.236207286124561</v>
      </c>
      <c r="C32" s="478">
        <f t="shared" ca="1" si="3"/>
        <v>0</v>
      </c>
      <c r="D32" s="478">
        <f t="shared" si="4"/>
        <v>191.22823324400002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240.46444053012459</v>
      </c>
    </row>
    <row r="33" spans="1:17" s="489" customFormat="1">
      <c r="A33" s="487" t="s">
        <v>549</v>
      </c>
      <c r="B33" s="488">
        <f ca="1">SUM(B22:B32)</f>
        <v>4266.6857056907193</v>
      </c>
      <c r="C33" s="488">
        <f t="shared" ref="C33:Q33" ca="1" si="19">SUM(C22:C32)</f>
        <v>0</v>
      </c>
      <c r="D33" s="488">
        <f t="shared" ca="1" si="19"/>
        <v>10971.94069992147</v>
      </c>
      <c r="E33" s="488">
        <f t="shared" si="19"/>
        <v>260.6409170956955</v>
      </c>
      <c r="F33" s="488">
        <f t="shared" ca="1" si="19"/>
        <v>697.86393664395689</v>
      </c>
      <c r="G33" s="488">
        <f t="shared" si="19"/>
        <v>14663.099806892691</v>
      </c>
      <c r="H33" s="488">
        <f t="shared" si="19"/>
        <v>2228.3924000379939</v>
      </c>
      <c r="I33" s="488">
        <f t="shared" si="19"/>
        <v>0</v>
      </c>
      <c r="J33" s="488">
        <f t="shared" si="19"/>
        <v>14.638939651957541</v>
      </c>
      <c r="K33" s="488">
        <f t="shared" si="19"/>
        <v>0</v>
      </c>
      <c r="L33" s="488">
        <f t="shared" ca="1" si="19"/>
        <v>0</v>
      </c>
      <c r="M33" s="488">
        <f t="shared" si="19"/>
        <v>0</v>
      </c>
      <c r="N33" s="488">
        <f t="shared" ca="1" si="19"/>
        <v>0</v>
      </c>
      <c r="O33" s="488">
        <f t="shared" si="19"/>
        <v>0</v>
      </c>
      <c r="P33" s="488">
        <f t="shared" si="19"/>
        <v>0</v>
      </c>
      <c r="Q33" s="488">
        <f t="shared" ca="1" si="19"/>
        <v>33103.262405934482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7896.8211224525758</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2032.427363370299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9929.2484858228745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0.14594185097796922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0.14594185097796922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2019-06-29T17:07:57Z</dcterms:modified>
</cp:coreProperties>
</file>