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B13" i="15" l="1"/>
  <c r="F6" i="17"/>
  <c r="I15" i="48"/>
  <c r="D16" i="16"/>
  <c r="E20" i="59"/>
  <c r="J30" i="48"/>
  <c r="J32"/>
  <c r="N20" i="59"/>
  <c r="F30" i="48"/>
  <c r="F32"/>
  <c r="N30"/>
  <c r="N32"/>
  <c r="O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K15"/>
  <c r="H78" i="14"/>
  <c r="H9" i="59"/>
  <c r="H10" s="1"/>
  <c r="E78" i="14"/>
  <c r="E9" i="59"/>
  <c r="E10" s="1"/>
  <c r="O78" i="14"/>
  <c r="O9" i="59"/>
  <c r="O10" s="1"/>
  <c r="I33" i="48"/>
  <c r="J27" i="14"/>
  <c r="G78"/>
  <c r="G9" i="59"/>
  <c r="G10" s="1"/>
  <c r="H90" i="14"/>
  <c r="H18" i="59"/>
  <c r="H20" s="1"/>
  <c r="K33"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G14" i="22" l="1"/>
  <c r="F90" i="14"/>
  <c r="F17" i="59"/>
  <c r="F20" s="1"/>
  <c r="F78" i="14"/>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<sst xmlns="http://schemas.openxmlformats.org/spreadsheetml/2006/main" count="2367" uniqueCount="882">
  <si>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</si>
  <si>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</si>
  <si>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</si>
  <si>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</si>
  <si>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</si>
  <si>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</si>
  <si>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</si>
  <si>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</si>
  <si>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</si>
  <si>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</si>
  <si>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</si>
  <si>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</si>
  <si>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</si>
  <si>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</si>
  <si>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</si>
  <si>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</si>
  <si>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</si>
  <si>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</si>
  <si>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</si>
  <si>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</si>
  <si>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</si>
  <si>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</si>
  <si>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</si>
  <si>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</si>
  <si>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</si>
  <si>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</si>
  <si>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</si>
  <si>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</si>
  <si>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</si>
  <si>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</si>
  <si>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</si>
  <si>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</si>
  <si>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</si>
  <si>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</si>
  <si>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</si>
  <si>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</si>
  <si>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</si>
  <si>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</si>
  <si>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</si>
  <si>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</si>
  <si>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</si>
  <si>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</si>
  <si>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</si>
  <si>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</si>
  <si>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</si>
  <si>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</si>
  <si>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</si>
  <si>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</si>
  <si>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</si>
  <si>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</si>
  <si>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</si>
  <si>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</si>
  <si>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</si>
  <si>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</si>
  <si>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</si>
  <si>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</si>
  <si>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</si>
  <si>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</si>
  <si>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</si>
  <si>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</si>
  <si>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</si>
  <si>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</si>
  <si>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</si>
  <si>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</si>
  <si>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</si>
  <si>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</si>
  <si>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</si>
  <si>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</si>
  <si>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</si>
  <si>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</si>
  <si>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</si>
  <si>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</si>
  <si>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</si>
  <si>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</si>
  <si>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</si>
  <si>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</si>
  <si>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</si>
  <si>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</si>
  <si>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</si>
  <si>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</si>
  <si>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</si>
  <si>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</si>
  <si>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</si>
  <si>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</si>
  <si>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</si>
  <si>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</si>
  <si>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</si>
  <si>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</si>
  <si>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</si>
  <si>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</si>
  <si>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</si>
  <si>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</si>
  <si>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</si>
  <si>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</si>
  <si>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</si>
  <si>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</si>
  <si>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</si>
  <si>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</si>
  <si>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</si>
  <si>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</si>
  <si>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</si>
  <si>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</si>
  <si>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</si>
  <si>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</si>
  <si>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</si>
  <si>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</si>
  <si>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</si>
  <si>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</si>
  <si>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</si>
  <si>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</si>
  <si>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</si>
  <si>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</si>
  <si>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</si>
  <si>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</si>
  <si>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</si>
  <si>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</si>
  <si>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</si>
  <si>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</si>
  <si>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</si>
  <si>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</si>
  <si>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</si>
  <si>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</si>
  <si>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</si>
  <si>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</si>
  <si>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</si>
  <si>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</si>
  <si>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</si>
  <si>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</si>
  <si>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</si>
  <si>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</si>
  <si>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</si>
  <si>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</si>
  <si>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</si>
  <si>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</si>
  <si>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</si>
  <si>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</si>
  <si>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</si>
  <si>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</si>
  <si>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</si>
  <si>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</si>
  <si>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</si>
  <si>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</si>
  <si>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</si>
  <si>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</si>
  <si>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</si>
  <si>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</si>
  <si>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</si>
  <si>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</si>
  <si>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</si>
  <si>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</si>
  <si>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</si>
  <si>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</si>
  <si>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</si>
  <si>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</si>
  <si>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</si>
  <si>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</si>
  <si>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</si>
  <si>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</si>
  <si>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</si>
  <si>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</si>
  <si>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</si>
  <si>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</si>
  <si>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</si>
  <si>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</si>
  <si>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</si>
  <si>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</si>
  <si>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</si>
  <si>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</si>
  <si>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</si>
  <si>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</si>
  <si>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</si>
  <si>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</si>
  <si>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</si>
  <si>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</si>
  <si>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</si>
  <si>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</si>
  <si>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</si>
  <si>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</si>
  <si>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</si>
  <si>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</si>
  <si>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</si>
  <si>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</si>
  <si>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</si>
  <si>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</si>
  <si>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</si>
  <si>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</si>
  <si>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</si>
  <si>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</si>
  <si>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</si>
  <si>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</si>
  <si>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</si>
  <si>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</si>
  <si>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</si>
  <si>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</si>
  <si>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</si>
  <si>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</si>
  <si>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</si>
  <si>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</si>
  <si>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</si>
  <si>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</si>
  <si>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</si>
  <si>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</si>
  <si>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</si>
  <si>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</si>
  <si>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</si>
  <si>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</si>
  <si>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</si>
  <si>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</si>
  <si>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</si>
  <si>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</si>
  <si>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</si>
  <si>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</si>
  <si>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</si>
  <si>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</si>
  <si>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</si>
  <si>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</si>
  <si>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</si>
  <si>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</si>
  <si>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</si>
  <si>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</si>
  <si>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</si>
  <si>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</si>
  <si>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</si>
  <si>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</si>
  <si>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</si>
  <si>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</si>
  <si>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</si>
  <si>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</si>
  <si>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</si>
  <si>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</si>
  <si>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</si>
  <si>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</si>
  <si>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</si>
  <si>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</si>
  <si>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</si>
  <si>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</si>
  <si>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</si>
  <si>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</si>
  <si>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</si>
  <si>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</si>
  <si>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</si>
  <si>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</si>
  <si>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</si>
  <si>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</si>
  <si>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</si>
  <si>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</si>
  <si>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</si>
  <si>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</si>
  <si>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</si>
  <si>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</si>
  <si>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</si>
  <si>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</si>
  <si>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</si>
  <si>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</si>
  <si>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</si>
  <si>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</si>
  <si>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</si>
  <si>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</si>
  <si>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</si>
  <si>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</si>
  <si>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</si>
  <si>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</si>
  <si>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</si>
  <si>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</si>
  <si>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</si>
  <si>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</si>
  <si>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</si>
  <si>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</si>
  <si>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</si>
  <si>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</si>
  <si>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</si>
  <si>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</si>
  <si>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</si>
  <si>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</si>
  <si>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</si>
  <si>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</si>
  <si>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</si>
  <si>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</si>
  <si>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</si>
  <si>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</si>
  <si>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</si>
  <si>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</si>
  <si>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</si>
  <si>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</si>
  <si>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</si>
  <si>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</si>
  <si>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</si>
  <si>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</si>
  <si>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</si>
  <si>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</si>
  <si>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</si>
  <si>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</si>
  <si>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</si>
  <si>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</si>
  <si>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</si>
  <si>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</si>
  <si>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</si>
  <si>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</si>
  <si>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</si>
  <si>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</si>
  <si>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</si>
  <si>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</si>
  <si>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</si>
  <si>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</si>
  <si>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</si>
  <si>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</si>
  <si>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</si>
  <si>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</si>
  <si>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</si>
  <si>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</si>
  <si>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</si>
  <si>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</si>
  <si>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</si>
  <si>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</si>
  <si>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</si>
  <si>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</si>
  <si>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</si>
  <si>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</si>
  <si>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</si>
  <si>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</si>
  <si>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</si>
  <si>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</si>
  <si>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</si>
  <si>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</si>
  <si>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</si>
  <si>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</si>
  <si>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</si>
  <si>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</si>
  <si>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</si>
  <si>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</si>
  <si>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</si>
  <si>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</si>
  <si>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</si>
  <si>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</si>
  <si>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</si>
  <si>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</si>
  <si>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</si>
  <si>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</si>
  <si>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</si>
  <si>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</si>
  <si>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</si>
  <si>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</si>
  <si>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</si>
  <si>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</si>
  <si>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</si>
  <si>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</si>
  <si>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</si>
  <si>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</si>
  <si>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</si>
  <si>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</si>
  <si>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</si>
  <si>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</si>
  <si>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</si>
  <si>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</si>
  <si>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</si>
  <si>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</si>
  <si>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</si>
  <si>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</si>
  <si>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</si>
  <si>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</si>
  <si>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</si>
  <si>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</si>
  <si>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</si>
  <si>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</si>
  <si>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</si>
  <si>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</si>
  <si>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</si>
  <si>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</si>
  <si>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</si>
  <si>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</si>
  <si>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</si>
  <si>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</si>
  <si>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</si>
  <si>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</si>
  <si>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</si>
  <si>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</si>
  <si>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</si>
  <si>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</si>
  <si>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</si>
  <si>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</si>
  <si>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</si>
  <si>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</si>
  <si>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</si>
  <si>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</si>
  <si>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</si>
  <si>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</si>
  <si>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</si>
  <si>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</si>
  <si>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</si>
  <si>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</si>
  <si>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</si>
  <si>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</si>
  <si>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</si>
  <si>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</si>
  <si>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</si>
  <si>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</si>
  <si>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</si>
  <si>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</si>
  <si>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</si>
  <si>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</si>
  <si>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</si>
  <si>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</si>
  <si>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</si>
  <si>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</si>
  <si>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</si>
  <si>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</si>
  <si>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</si>
  <si>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</si>
  <si>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</si>
  <si>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</si>
  <si>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</si>
  <si>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</si>
  <si>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</si>
  <si>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</si>
  <si>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</si>
  <si>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</si>
  <si>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</si>
  <si>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</si>
  <si>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</si>
  <si>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</si>
  <si>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</si>
  <si>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</si>
  <si>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</si>
  <si>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</si>
  <si>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</si>
  <si>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</si>
  <si>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</si>
  <si>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</si>
  <si>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</si>
  <si>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</si>
  <si>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</si>
  <si>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</si>
  <si>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</si>
  <si>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</si>
  <si>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</si>
  <si>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</si>
  <si>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</si>
  <si>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</si>
  <si>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</si>
  <si>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</si>
  <si>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</si>
  <si>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</si>
  <si>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</si>
  <si>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</si>
  <si>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</si>
  <si>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</si>
  <si>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</si>
  <si>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</si>
  <si>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</si>
  <si>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</si>
  <si>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</si>
  <si>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</si>
  <si>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</si>
  <si>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</si>
  <si>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</si>
  <si>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</si>
  <si>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</si>
  <si>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</si>
  <si>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</si>
  <si>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</si>
  <si>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</si>
  <si>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</si>
  <si>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</si>
  <si>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</si>
  <si>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</si>
  <si>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</si>
  <si>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</si>
  <si>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</si>
  <si>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</si>
  <si>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</si>
  <si>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</si>
  <si>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</si>
  <si>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</si>
  <si>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</si>
  <si>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</si>
  <si>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</si>
  <si>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</si>
  <si>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</si>
  <si>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</si>
  <si>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</si>
  <si>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</si>
  <si>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</si>
  <si>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</si>
  <si>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</si>
  <si>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</si>
  <si>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</si>
  <si>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</si>
  <si>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</si>
  <si>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</si>
  <si>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</si>
  <si>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</si>
  <si>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</si>
  <si>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</si>
  <si>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</si>
  <si>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</si>
  <si>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</si>
  <si>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</si>
  <si>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</si>
  <si>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</si>
  <si>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</si>
  <si>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</si>
  <si>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</si>
  <si>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</si>
  <si>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</si>
  <si>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</si>
  <si>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</si>
  <si>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</si>
  <si>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</si>
  <si>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</si>
  <si>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</si>
  <si>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</si>
  <si>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</si>
  <si>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</si>
  <si>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</si>
  <si>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</si>
  <si>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</si>
  <si>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</si>
  <si>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</si>
  <si>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</si>
  <si>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</si>
  <si>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</si>
  <si>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</si>
  <si>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</si>
  <si>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</si>
  <si>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</si>
  <si>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</si>
  <si>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</si>
  <si>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</si>
  <si>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</si>
  <si>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</si>
  <si>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</si>
  <si>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</si>
  <si>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</si>
  <si>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</si>
  <si>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</si>
  <si>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</si>
  <si>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</si>
  <si>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</si>
  <si>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</si>
  <si>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</si>
  <si>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</si>
  <si>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</si>
  <si>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</si>
  <si>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</si>
  <si>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</si>
  <si>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</si>
  <si>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</si>
  <si>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</si>
  <si>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</si>
  <si>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</si>
  <si>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</si>
  <si>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</si>
  <si>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</si>
  <si>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</si>
  <si>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</si>
  <si>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</si>
  <si>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</si>
  <si>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</si>
  <si>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</si>
  <si>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</si>
  <si>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</si>
  <si>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</si>
  <si>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</si>
  <si>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</si>
  <si>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</si>
  <si>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</si>
  <si>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</si>
  <si>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</si>
  <si>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</si>
  <si>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</si>
  <si>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</si>
  <si>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</si>
  <si>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</si>
  <si>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</si>
  <si>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</si>
  <si>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</si>
  <si>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</si>
  <si>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</si>
  <si>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</si>
  <si>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</si>
  <si>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</si>
  <si>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</si>
  <si>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</si>
  <si>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</si>
  <si>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</si>
  <si>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</si>
  <si>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</si>
  <si>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</si>
  <si>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</si>
  <si>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</si>
  <si>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</si>
  <si>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</si>
  <si>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</si>
  <si>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</si>
  <si>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</si>
  <si>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</si>
  <si>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</si>
  <si>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</si>
  <si>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</si>
  <si>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</si>
  <si>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</si>
  <si>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</si>
  <si>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</si>
  <si>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</si>
  <si>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</si>
  <si>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</si>
  <si>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</si>
  <si>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</si>
  <si>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</si>
  <si>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</si>
  <si>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</si>
  <si>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</si>
  <si>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</si>
  <si>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</si>
  <si>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</si>
  <si>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</si>
  <si>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</si>
  <si>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</si>
  <si>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</si>
  <si>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</si>
  <si>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</si>
  <si>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</si>
  <si>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</si>
  <si>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</si>
  <si>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</si>
  <si>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</si>
  <si>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</si>
  <si>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</si>
  <si>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</si>
  <si>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</si>
  <si>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</si>
  <si>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</si>
  <si>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</si>
  <si>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</si>
  <si>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</si>
  <si>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</si>
  <si>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</si>
  <si>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</si>
  <si>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</si>
  <si>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</si>
  <si>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</si>
  <si>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</si>
  <si>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</si>
  <si>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</si>
  <si>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</si>
  <si>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</si>
  <si>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</si>
  <si>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</si>
  <si>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</si>
  <si>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</si>
  <si>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</si>
  <si>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</si>
  <si>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</si>
  <si>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</si>
  <si>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</si>
  <si>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</si>
  <si>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</si>
  <si>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</si>
  <si>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</si>
  <si>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</si>
  <si>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</si>
  <si>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</si>
  <si>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</si>
  <si>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</si>
  <si>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</si>
  <si>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</si>
  <si>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</si>
  <si>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</si>
  <si>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</si>
  <si>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</si>
  <si>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</si>
  <si>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</si>
  <si>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</si>
  <si>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</si>
  <si>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</si>
  <si>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</si>
  <si>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</si>
  <si>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</si>
  <si>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</si>
  <si>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</si>
  <si>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</si>
  <si>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</si>
  <si>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</si>
  <si>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</si>
  <si>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</si>
  <si>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</si>
  <si>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</si>
  <si>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</si>
  <si>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</si>
  <si>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</si>
  <si>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</si>
  <si>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</si>
  <si>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</si>
  <si>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</si>
  <si>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</si>
  <si>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</si>
  <si>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</si>
  <si>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</si>
  <si>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</si>
  <si>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</si>
  <si>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</si>
  <si>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</si>
  <si>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</si>
  <si>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</si>
  <si>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</si>
  <si>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</si>
  <si>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</si>
  <si>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</si>
  <si>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</si>
  <si>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</si>
  <si>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</si>
  <si>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</si>
  <si>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</si>
  <si>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</si>
  <si>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</si>
  <si>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</si>
  <si>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</si>
  <si>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</si>
  <si>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</si>
  <si>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</si>
  <si>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</si>
  <si>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</si>
  <si>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</si>
  <si>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</si>
  <si>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</si>
  <si>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</si>
  <si>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</si>
  <si>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</si>
  <si>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</si>
  <si>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</si>
  <si>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</si>
  <si>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</si>
  <si>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</si>
  <si>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</si>
  <si>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</si>
  <si>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</si>
  <si>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</si>
  <si>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</si>
  <si>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</si>
  <si>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</si>
  <si>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</si>
  <si>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</si>
  <si>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</si>
  <si>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</si>
  <si>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</si>
  <si>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</si>
  <si>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</si>
  <si>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</si>
  <si>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</si>
  <si>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</si>
  <si>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</si>
  <si>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</si>
  <si>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</si>
  <si>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</si>
  <si>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</si>
  <si>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</si>
  <si>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</si>
  <si>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</si>
  <si>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</si>
  <si>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</si>
  <si>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</si>
  <si>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</si>
  <si>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</si>
  <si>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</si>
  <si>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</si>
  <si>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</si>
  <si>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</si>
  <si>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</si>
  <si>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</si>
  <si>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</si>
  <si>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</si>
  <si>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</si>
  <si>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</si>
  <si>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</si>
  <si>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</si>
  <si>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</si>
  <si>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</si>
  <si>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</si>
  <si>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</si>
  <si>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</si>
  <si>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</si>
  <si>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</si>
  <si>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</si>
  <si>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</si>
  <si>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</si>
  <si>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</si>
  <si>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</si>
  <si>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</si>
  <si>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</si>
  <si>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</si>
  <si>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</si>
  <si>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</si>
  <si>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</si>
  <si>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</si>
  <si>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</si>
  <si>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</si>
  <si>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</si>
  <si>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</si>
  <si>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</si>
  <si>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</si>
  <si>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</si>
  <si>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</si>
  <si>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</si>
  <si>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</si>
  <si>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</si>
  <si>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</si>
  <si>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</si>
  <si>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</si>
  <si>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</si>
  <si>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</si>
  <si>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</si>
  <si>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</si>
  <si>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</si>
  <si>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</si>
  <si>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</si>
  <si>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</si>
  <si>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</si>
  <si>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</si>
  <si>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</si>
  <si>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</si>
  <si>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</si>
  <si>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</si>
  <si>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</si>
  <si>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</si>
  <si>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</si>
  <si>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</si>
  <si>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</si>
  <si>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</si>
  <si>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</si>
  <si>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</si>
  <si>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</si>
  <si>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</si>
  <si>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</si>
  <si>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</si>
  <si>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</si>
  <si>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</si>
  <si>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</si>
  <si>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</si>
  <si>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</si>
  <si>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</si>
  <si>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</si>
  <si>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</si>
  <si>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</si>
  <si>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</si>
  <si>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</si>
  <si>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</si>
  <si>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</si>
  <si>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</si>
  <si>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</si>
  <si>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</si>
  <si>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</si>
  <si>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</si>
  <si>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</si>
  <si>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</si>
  <si>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</si>
  <si>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</si>
  <si>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</si>
  <si>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</si>
  <si>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</si>
  <si>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</si>
  <si>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</si>
  <si>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</si>
  <si>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</si>
  <si>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</si>
  <si>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</si>
  <si>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</si>
  <si>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</si>
  <si>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</si>
  <si>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</si>
  <si>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</si>
  <si>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</si>
  <si>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</si>
  <si>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</si>
  <si>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</si>
  <si>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11023</t>
  </si>
  <si>
    <t>KAPELLEN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</si>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</sst>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222748.0763689439</c:v>
                </c:pt>
                <c:pt idx="1">
                  <c:v>80200.898802345269</c:v>
                </c:pt>
                <c:pt idx="2">
                  <c:v>1258.375</c:v>
                </c:pt>
                <c:pt idx="3">
                  <c:v>1306.5247112351121</c:v>
                </c:pt>
                <c:pt idx="4">
                  <c:v>19024.604313965287</c:v>
                </c:pt>
                <c:pt idx="5">
                  <c:v>74727.458112881941</c:v>
                </c:pt>
                <c:pt idx="6">
                  <c:v>2232.3667228505446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49184"/>
        <c:axId val="181950720"/>
      </c:barChart>
      <c:catAx>
        <c:axId val="181949184"/>
        <c:scaling>
          <c:orientation val="minMax"/>
        </c:scaling>
        <c:axPos val="b"/>
        <c:numFmt formatCode="General" sourceLinked="0"/>
        <c:tickLblPos val="nextTo"/>
        <c:crossAx val="181950720"/>
        <c:crosses val="autoZero"/>
        <c:auto val="1"/>
        <c:lblAlgn val="ctr"/>
        <c:lblOffset val="100"/>
      </c:catAx>
      <c:valAx>
        <c:axId val="181950720"/>
        <c:scaling>
          <c:orientation val="minMax"/>
        </c:scaling>
        <c:axPos val="l"/>
        <c:majorGridlines/>
        <c:numFmt formatCode="#,##0" sourceLinked="1"/>
        <c:tickLblPos val="nextTo"/>
        <c:crossAx val="1819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222748.0763689439</c:v>
                </c:pt>
                <c:pt idx="1">
                  <c:v>80200.898802345269</c:v>
                </c:pt>
                <c:pt idx="2">
                  <c:v>1258.375</c:v>
                </c:pt>
                <c:pt idx="3">
                  <c:v>1306.5247112351121</c:v>
                </c:pt>
                <c:pt idx="4">
                  <c:v>19024.604313965287</c:v>
                </c:pt>
                <c:pt idx="5">
                  <c:v>74727.458112881941</c:v>
                </c:pt>
                <c:pt idx="6">
                  <c:v>2232.3667228505446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42400.960166316334</c:v>
                </c:pt>
                <c:pt idx="1">
                  <c:v>16179.957755433636</c:v>
                </c:pt>
                <c:pt idx="2">
                  <c:v>259.64060801283023</c:v>
                </c:pt>
                <c:pt idx="3">
                  <c:v>318.8317639966038</c:v>
                </c:pt>
                <c:pt idx="4">
                  <c:v>4087.3546048319258</c:v>
                </c:pt>
                <c:pt idx="5">
                  <c:v>18547.015682054647</c:v>
                </c:pt>
                <c:pt idx="6">
                  <c:v>564.65815241393648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32800"/>
        <c:axId val="182367360"/>
      </c:barChart>
      <c:catAx>
        <c:axId val="182332800"/>
        <c:scaling>
          <c:orientation val="minMax"/>
        </c:scaling>
        <c:axPos val="b"/>
        <c:numFmt formatCode="General" sourceLinked="0"/>
        <c:tickLblPos val="nextTo"/>
        <c:crossAx val="182367360"/>
        <c:crosses val="autoZero"/>
        <c:auto val="1"/>
        <c:lblAlgn val="ctr"/>
        <c:lblOffset val="100"/>
      </c:catAx>
      <c:valAx>
        <c:axId val="182367360"/>
        <c:scaling>
          <c:orientation val="minMax"/>
        </c:scaling>
        <c:axPos val="l"/>
        <c:majorGridlines/>
        <c:numFmt formatCode="#,##0" sourceLinked="1"/>
        <c:tickLblPos val="nextTo"/>
        <c:crossAx val="1823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42400.960166316334</c:v>
                </c:pt>
                <c:pt idx="1">
                  <c:v>16179.957755433636</c:v>
                </c:pt>
                <c:pt idx="2">
                  <c:v>259.64060801283023</c:v>
                </c:pt>
                <c:pt idx="3">
                  <c:v>318.8317639966038</c:v>
                </c:pt>
                <c:pt idx="4">
                  <c:v>4087.3546048319258</c:v>
                </c:pt>
                <c:pt idx="5">
                  <c:v>18547.015682054647</c:v>
                </c:pt>
                <c:pt idx="6">
                  <c:v>564.65815241393648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0.20633007490837807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0.20633007490837807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11091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465.57</v>
      </c>
    </row>
    <row r="15" spans="1:6">
      <c r="A15" s="348" t="s">
        <v>183</v>
      </c>
      <c r="B15" s="334">
        <v>2</v>
      </c>
    </row>
    <row r="16" spans="1:6">
      <c r="A16" s="348" t="s">
        <v>6</v>
      </c>
      <c r="B16" s="334">
        <v>117</v>
      </c>
    </row>
    <row r="17" spans="1:6">
      <c r="A17" s="348" t="s">
        <v>7</v>
      </c>
      <c r="B17" s="334">
        <v>114</v>
      </c>
    </row>
    <row r="18" spans="1:6">
      <c r="A18" s="348" t="s">
        <v>8</v>
      </c>
      <c r="B18" s="334">
        <v>177</v>
      </c>
    </row>
    <row r="19" spans="1:6">
      <c r="A19" s="348" t="s">
        <v>9</v>
      </c>
      <c r="B19" s="334">
        <v>180</v>
      </c>
    </row>
    <row r="20" spans="1:6">
      <c r="A20" s="348" t="s">
        <v>10</v>
      </c>
      <c r="B20" s="334">
        <v>94</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3</v>
      </c>
    </row>
    <row r="28" spans="1:6" s="356" customFormat="1">
      <c r="A28" s="355" t="s">
        <v>18</v>
      </c>
      <c r="B28" s="355">
        <v>30</v>
      </c>
    </row>
    <row r="29" spans="1:6">
      <c r="A29" s="355" t="s">
        <v>713</v>
      </c>
      <c r="B29" s="355">
        <v>155</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51533.563000000002</v>
      </c>
      <c r="E38" s="334">
        <v>2</v>
      </c>
      <c r="F38" s="334">
        <v>12937</v>
      </c>
    </row>
    <row r="39" spans="1:6">
      <c r="A39" s="348" t="s">
        <v>29</v>
      </c>
      <c r="B39" s="348" t="s">
        <v>30</v>
      </c>
      <c r="C39" s="334">
        <v>8871</v>
      </c>
      <c r="D39" s="334">
        <v>171989607</v>
      </c>
      <c r="E39" s="334">
        <v>11094</v>
      </c>
      <c r="F39" s="334">
        <v>47209986.535999998</v>
      </c>
    </row>
    <row r="40" spans="1:6">
      <c r="A40" s="348" t="s">
        <v>29</v>
      </c>
      <c r="B40" s="348" t="s">
        <v>28</v>
      </c>
      <c r="C40" s="334">
        <v>1</v>
      </c>
      <c r="D40" s="334">
        <v>158414.946</v>
      </c>
      <c r="E40" s="334">
        <v>1</v>
      </c>
      <c r="F40" s="334">
        <v>7281</v>
      </c>
    </row>
    <row r="41" spans="1:6">
      <c r="A41" s="348" t="s">
        <v>31</v>
      </c>
      <c r="B41" s="348" t="s">
        <v>32</v>
      </c>
      <c r="C41" s="334">
        <v>132</v>
      </c>
      <c r="D41" s="334">
        <v>4314337.2800000003</v>
      </c>
      <c r="E41" s="334">
        <v>222</v>
      </c>
      <c r="F41" s="334">
        <v>4819793.7539999997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23</v>
      </c>
      <c r="F44" s="334">
        <v>445743.31699999998</v>
      </c>
    </row>
    <row r="45" spans="1:6">
      <c r="A45" s="348" t="s">
        <v>31</v>
      </c>
      <c r="B45" s="348" t="s">
        <v>36</v>
      </c>
      <c r="C45" s="334">
        <v>3</v>
      </c>
      <c r="D45" s="334">
        <v>93112.464999999997</v>
      </c>
      <c r="E45" s="334">
        <v>6</v>
      </c>
      <c r="F45" s="334">
        <v>86849</v>
      </c>
    </row>
    <row r="46" spans="1:6">
      <c r="A46" s="348" t="s">
        <v>31</v>
      </c>
      <c r="B46" s="348" t="s">
        <v>37</v>
      </c>
      <c r="C46" s="334">
        <v>0</v>
      </c>
      <c r="D46" s="334">
        <v>0</v>
      </c>
      <c r="E46" s="334">
        <v>0</v>
      </c>
      <c r="F46" s="334">
        <v>0</v>
      </c>
    </row>
    <row r="47" spans="1:6">
      <c r="A47" s="348" t="s">
        <v>31</v>
      </c>
      <c r="B47" s="348" t="s">
        <v>38</v>
      </c>
      <c r="C47" s="334">
        <v>4</v>
      </c>
      <c r="D47" s="334">
        <v>199014.245</v>
      </c>
      <c r="E47" s="334">
        <v>3</v>
      </c>
      <c r="F47" s="334">
        <v>29806.705999999998</v>
      </c>
    </row>
    <row r="48" spans="1:6">
      <c r="A48" s="348" t="s">
        <v>31</v>
      </c>
      <c r="B48" s="348" t="s">
        <v>28</v>
      </c>
      <c r="C48" s="334">
        <v>27</v>
      </c>
      <c r="D48" s="334">
        <v>1449538.118</v>
      </c>
      <c r="E48" s="334">
        <v>24</v>
      </c>
      <c r="F48" s="334">
        <v>279639.98499999999</v>
      </c>
    </row>
    <row r="49" spans="1:6">
      <c r="A49" s="348" t="s">
        <v>31</v>
      </c>
      <c r="B49" s="348" t="s">
        <v>39</v>
      </c>
      <c r="C49" s="334">
        <v>0</v>
      </c>
      <c r="D49" s="334">
        <v>0</v>
      </c>
      <c r="E49" s="334">
        <v>0</v>
      </c>
      <c r="F49" s="334">
        <v>0</v>
      </c>
    </row>
    <row r="50" spans="1:6">
      <c r="A50" s="348" t="s">
        <v>31</v>
      </c>
      <c r="B50" s="348" t="s">
        <v>40</v>
      </c>
      <c r="C50" s="334">
        <v>12</v>
      </c>
      <c r="D50" s="334">
        <v>805407.13399999996</v>
      </c>
      <c r="E50" s="334">
        <v>17</v>
      </c>
      <c r="F50" s="334">
        <v>1170139</v>
      </c>
    </row>
    <row r="51" spans="1:6">
      <c r="A51" s="348" t="s">
        <v>41</v>
      </c>
      <c r="B51" s="348" t="s">
        <v>42</v>
      </c>
      <c r="C51" s="334">
        <v>7</v>
      </c>
      <c r="D51" s="334">
        <v>194962.802</v>
      </c>
      <c r="E51" s="334">
        <v>15</v>
      </c>
      <c r="F51" s="334">
        <v>146429</v>
      </c>
    </row>
    <row r="52" spans="1:6">
      <c r="A52" s="348" t="s">
        <v>41</v>
      </c>
      <c r="B52" s="348" t="s">
        <v>28</v>
      </c>
      <c r="C52" s="334">
        <v>5</v>
      </c>
      <c r="D52" s="334">
        <v>188442.851</v>
      </c>
      <c r="E52" s="334">
        <v>6</v>
      </c>
      <c r="F52" s="334">
        <v>52027.324999999997</v>
      </c>
    </row>
    <row r="53" spans="1:6">
      <c r="A53" s="348" t="s">
        <v>43</v>
      </c>
      <c r="B53" s="348" t="s">
        <v>44</v>
      </c>
      <c r="C53" s="334">
        <v>200</v>
      </c>
      <c r="D53" s="334">
        <v>4267420.6069999998</v>
      </c>
      <c r="E53" s="334">
        <v>312</v>
      </c>
      <c r="F53" s="334">
        <v>1309022.7949999999</v>
      </c>
    </row>
    <row r="54" spans="1:6">
      <c r="A54" s="348" t="s">
        <v>45</v>
      </c>
      <c r="B54" s="348" t="s">
        <v>46</v>
      </c>
      <c r="C54" s="334">
        <v>0</v>
      </c>
      <c r="D54" s="334">
        <v>0</v>
      </c>
      <c r="E54" s="334">
        <v>2</v>
      </c>
      <c r="F54" s="334">
        <v>1258375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73</v>
      </c>
      <c r="D57" s="334">
        <v>2401057.0159999998</v>
      </c>
      <c r="E57" s="334">
        <v>112</v>
      </c>
      <c r="F57" s="334">
        <v>1971996.588</v>
      </c>
    </row>
    <row r="58" spans="1:6">
      <c r="A58" s="348" t="s">
        <v>48</v>
      </c>
      <c r="B58" s="348" t="s">
        <v>50</v>
      </c>
      <c r="C58" s="334">
        <v>76</v>
      </c>
      <c r="D58" s="334">
        <v>6801830.2220000001</v>
      </c>
      <c r="E58" s="334">
        <v>75</v>
      </c>
      <c r="F58" s="334">
        <v>2095279.048</v>
      </c>
    </row>
    <row r="59" spans="1:6">
      <c r="A59" s="348" t="s">
        <v>48</v>
      </c>
      <c r="B59" s="348" t="s">
        <v>51</v>
      </c>
      <c r="C59" s="334">
        <v>198</v>
      </c>
      <c r="D59" s="334">
        <v>9337135.4670000002</v>
      </c>
      <c r="E59" s="334">
        <v>350</v>
      </c>
      <c r="F59" s="334">
        <v>8908114.3900000006</v>
      </c>
    </row>
    <row r="60" spans="1:6">
      <c r="A60" s="348" t="s">
        <v>48</v>
      </c>
      <c r="B60" s="348" t="s">
        <v>52</v>
      </c>
      <c r="C60" s="334">
        <v>72</v>
      </c>
      <c r="D60" s="334">
        <v>4280176.4809999997</v>
      </c>
      <c r="E60" s="334">
        <v>89</v>
      </c>
      <c r="F60" s="334">
        <v>2471271.8160000001</v>
      </c>
    </row>
    <row r="61" spans="1:6">
      <c r="A61" s="348" t="s">
        <v>48</v>
      </c>
      <c r="B61" s="348" t="s">
        <v>53</v>
      </c>
      <c r="C61" s="334">
        <v>402</v>
      </c>
      <c r="D61" s="334">
        <v>19379250.210000001</v>
      </c>
      <c r="E61" s="334">
        <v>770</v>
      </c>
      <c r="F61" s="334">
        <v>8746141.6940000001</v>
      </c>
    </row>
    <row r="62" spans="1:6">
      <c r="A62" s="348" t="s">
        <v>48</v>
      </c>
      <c r="B62" s="348" t="s">
        <v>54</v>
      </c>
      <c r="C62" s="334">
        <v>19</v>
      </c>
      <c r="D62" s="334">
        <v>4722347.0049999999</v>
      </c>
      <c r="E62" s="334">
        <v>22</v>
      </c>
      <c r="F62" s="334">
        <v>821034.64899999998</v>
      </c>
    </row>
    <row r="63" spans="1:6">
      <c r="A63" s="348" t="s">
        <v>48</v>
      </c>
      <c r="B63" s="348" t="s">
        <v>28</v>
      </c>
      <c r="C63" s="334">
        <v>98</v>
      </c>
      <c r="D63" s="334">
        <v>6403492.1629999997</v>
      </c>
      <c r="E63" s="334">
        <v>93</v>
      </c>
      <c r="F63" s="334">
        <v>1976417.2209999999</v>
      </c>
    </row>
    <row r="64" spans="1:6">
      <c r="A64" s="348" t="s">
        <v>55</v>
      </c>
      <c r="B64" s="348" t="s">
        <v>56</v>
      </c>
      <c r="C64" s="334">
        <v>0</v>
      </c>
      <c r="D64" s="334">
        <v>0</v>
      </c>
      <c r="E64" s="334">
        <v>0</v>
      </c>
      <c r="F64" s="334">
        <v>0</v>
      </c>
    </row>
    <row r="65" spans="1:6">
      <c r="A65" s="348" t="s">
        <v>55</v>
      </c>
      <c r="B65" s="348" t="s">
        <v>28</v>
      </c>
      <c r="C65" s="334">
        <v>5</v>
      </c>
      <c r="D65" s="334">
        <v>155450.742</v>
      </c>
      <c r="E65" s="334">
        <v>4</v>
      </c>
      <c r="F65" s="334">
        <v>26659.71</v>
      </c>
    </row>
    <row r="66" spans="1:6">
      <c r="A66" s="348" t="s">
        <v>55</v>
      </c>
      <c r="B66" s="348" t="s">
        <v>57</v>
      </c>
      <c r="C66" s="334">
        <v>0</v>
      </c>
      <c r="D66" s="334">
        <v>0</v>
      </c>
      <c r="E66" s="334">
        <v>8</v>
      </c>
      <c r="F66" s="334">
        <v>44276</v>
      </c>
    </row>
    <row r="67" spans="1:6">
      <c r="A67" s="355" t="s">
        <v>55</v>
      </c>
      <c r="B67" s="355" t="s">
        <v>58</v>
      </c>
      <c r="C67" s="334">
        <v>0</v>
      </c>
      <c r="D67" s="334">
        <v>0</v>
      </c>
      <c r="E67" s="334">
        <v>0</v>
      </c>
      <c r="F67" s="334">
        <v>0</v>
      </c>
    </row>
    <row r="68" spans="1:6">
      <c r="A68" s="341" t="s">
        <v>55</v>
      </c>
      <c r="B68" s="341" t="s">
        <v>59</v>
      </c>
      <c r="C68" s="334">
        <v>4</v>
      </c>
      <c r="D68" s="334">
        <v>161458.342</v>
      </c>
      <c r="E68" s="334">
        <v>11</v>
      </c>
      <c r="F68" s="334">
        <v>187491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67397454</v>
      </c>
      <c r="E73" s="476"/>
    </row>
    <row r="74" spans="1:6">
      <c r="A74" s="348" t="s">
        <v>63</v>
      </c>
      <c r="B74" s="348" t="s">
        <v>651</v>
      </c>
      <c r="C74" s="1307" t="s">
        <v>653</v>
      </c>
      <c r="D74" s="476">
        <v>4475261</v>
      </c>
      <c r="E74" s="476"/>
    </row>
    <row r="75" spans="1:6">
      <c r="A75" s="348" t="s">
        <v>64</v>
      </c>
      <c r="B75" s="348" t="s">
        <v>650</v>
      </c>
      <c r="C75" s="1307" t="s">
        <v>654</v>
      </c>
      <c r="D75" s="476">
        <v>22391236</v>
      </c>
      <c r="E75" s="476"/>
    </row>
    <row r="76" spans="1:6">
      <c r="A76" s="348" t="s">
        <v>64</v>
      </c>
      <c r="B76" s="348" t="s">
        <v>651</v>
      </c>
      <c r="C76" s="1307" t="s">
        <v>655</v>
      </c>
      <c r="D76" s="476">
        <v>675346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620180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4055.2925214582519</v>
      </c>
    </row>
    <row r="92" spans="1:6">
      <c r="A92" s="341" t="s">
        <v>68</v>
      </c>
      <c r="B92" s="342">
        <v>1780.1117147845291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6500</v>
      </c>
    </row>
    <row r="98" spans="1:6">
      <c r="A98" s="348" t="s">
        <v>71</v>
      </c>
      <c r="B98" s="334">
        <v>5</v>
      </c>
    </row>
    <row r="99" spans="1:6">
      <c r="A99" s="348" t="s">
        <v>72</v>
      </c>
      <c r="B99" s="334">
        <v>26</v>
      </c>
    </row>
    <row r="100" spans="1:6">
      <c r="A100" s="348" t="s">
        <v>73</v>
      </c>
      <c r="B100" s="334">
        <v>965</v>
      </c>
    </row>
    <row r="101" spans="1:6">
      <c r="A101" s="348" t="s">
        <v>74</v>
      </c>
      <c r="B101" s="334">
        <v>98</v>
      </c>
    </row>
    <row r="102" spans="1:6">
      <c r="A102" s="348" t="s">
        <v>75</v>
      </c>
      <c r="B102" s="334">
        <v>124</v>
      </c>
    </row>
    <row r="103" spans="1:6">
      <c r="A103" s="348" t="s">
        <v>76</v>
      </c>
      <c r="B103" s="334">
        <v>129</v>
      </c>
    </row>
    <row r="104" spans="1:6">
      <c r="A104" s="348" t="s">
        <v>77</v>
      </c>
      <c r="B104" s="334">
        <v>1907</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46</v>
      </c>
      <c r="C123" s="334">
        <v>33</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132</v>
      </c>
    </row>
    <row r="130" spans="1:6">
      <c r="A130" s="348" t="s">
        <v>294</v>
      </c>
      <c r="B130" s="334">
        <v>2</v>
      </c>
    </row>
    <row r="131" spans="1:6">
      <c r="A131" s="348" t="s">
        <v>295</v>
      </c>
      <c r="B131" s="334">
        <v>3</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87909.401592388807</v>
      </c>
      <c r="C3" s="43" t="s">
        <v>169</v>
      </c>
      <c r="D3" s="43"/>
      <c r="E3" s="154"/>
      <c r="F3" s="43"/>
      <c r="G3" s="43"/>
      <c r="H3" s="43"/>
      <c r="I3" s="43"/>
      <c r="J3" s="43"/>
      <c r="K3" s="96"/>
    </row>
    <row r="4" spans="1:11">
      <c r="A4" s="383" t="s">
        <v>170</v>
      </c>
      <c r="B4" s="49">
        <f>IF(ISERROR('SEAP template'!B78),0,'SEAP template'!B78)</f>
        <v>5835.4042362427808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0.20633007490837807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1258.375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1258.375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0.20633007490837807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259.64060801283023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47217.267535999999</v>
      </c>
      <c r="C5" s="17">
        <f>IF(ISERROR('Eigen informatie GS &amp; warmtenet'!B59),0,'Eigen informatie GS &amp; warmtenet'!B59)</f>
        <v>0</v>
      </c>
      <c r="D5" s="30">
        <f>(SUM(HH_hh_gas_kWh,HH_rest_gas_kWh)/1000)*0.902</f>
        <v>155277.51579529201</v>
      </c>
      <c r="E5" s="17">
        <f>B46*B57</f>
        <v>2008.0652787121958</v>
      </c>
      <c r="F5" s="17">
        <f>B51*B62</f>
        <v>0</v>
      </c>
      <c r="G5" s="18"/>
      <c r="H5" s="17"/>
      <c r="I5" s="17"/>
      <c r="J5" s="17">
        <f>B50*B61+C50*C61</f>
        <v>0</v>
      </c>
      <c r="K5" s="17"/>
      <c r="L5" s="17"/>
      <c r="M5" s="17"/>
      <c r="N5" s="17">
        <f>B48*B59+C48*C59</f>
        <v>13098.185186471059</v>
      </c>
      <c r="O5" s="17">
        <f>B69*B70*B71</f>
        <v>333.30498085702135</v>
      </c>
      <c r="P5" s="17">
        <f>B77*B78*B79/1000-B77*B78*B79/1000/B80</f>
        <v>758.44507015332169</v>
      </c>
    </row>
    <row r="6" spans="1:16">
      <c r="A6" s="16" t="s">
        <v>615</v>
      </c>
      <c r="B6" s="809">
        <f>kWh_PV_kleiner_dan_10kW</f>
        <v>4055.2925214582519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51272.56005745825</v>
      </c>
      <c r="C8" s="21">
        <f>C5</f>
        <v>0</v>
      </c>
      <c r="D8" s="21">
        <f>D5</f>
        <v>155277.51579529201</v>
      </c>
      <c r="E8" s="21">
        <f>E5</f>
        <v>2008.0652787121958</v>
      </c>
      <c r="F8" s="21">
        <f>F5</f>
        <v>0</v>
      </c>
      <c r="G8" s="21"/>
      <c r="H8" s="21"/>
      <c r="I8" s="21"/>
      <c r="J8" s="21">
        <f>J5</f>
        <v>0</v>
      </c>
      <c r="K8" s="21"/>
      <c r="L8" s="21">
        <f>L5</f>
        <v>0</v>
      </c>
      <c r="M8" s="21">
        <f>M5</f>
        <v>0</v>
      </c>
      <c r="N8" s="21">
        <f>N5</f>
        <v>13098.185186471059</v>
      </c>
      <c r="O8" s="21">
        <f>O5</f>
        <v>333.30498085702135</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0.20633007490837807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10579.071157399674</v>
      </c>
      <c r="C12" s="23">
        <f ca="1">C10*C8</f>
        <v>0</v>
      </c>
      <c r="D12" s="23">
        <f>D8*D10</f>
        <v>31366.05819064899</v>
      </c>
      <c r="E12" s="23">
        <f>E10*E8</f>
        <v>455.83081826766846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11091</v>
      </c>
      <c r="C28" s="36"/>
      <c r="D28" s="228"/>
    </row>
    <row r="29" spans="1:7" s="15" customFormat="1">
      <c r="A29" s="230" t="s">
        <v>838</v>
      </c>
      <c r="B29" s="37">
        <f>SUM(HH_hh_gas_aantal,HH_rest_gas_aantal)</f>
        <v>8872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8872</v>
      </c>
      <c r="C32" s="167">
        <f>IF(ISERROR(B32/SUM($B$32,$B$34,$B$35,$B$36,$B$38,$B$39)*100),0,B32/SUM($B$32,$B$34,$B$35,$B$36,$B$38,$B$39)*100)</f>
        <v>80.515473273436783</v>
      </c>
      <c r="D32" s="233"/>
      <c r="G32" s="15"/>
    </row>
    <row r="33" spans="1:7">
      <c r="A33" s="171" t="s">
        <v>71</v>
      </c>
      <c r="B33" s="34" t="s">
        <v>110</v>
      </c>
      <c r="C33" s="167"/>
      <c r="D33" s="233"/>
      <c r="G33" s="15"/>
    </row>
    <row r="34" spans="1:7">
      <c r="A34" s="171" t="s">
        <v>72</v>
      </c>
      <c r="B34" s="33">
        <f>IF((($B$28-$B$32-$B$39-$B$77-$B$38)*C20/100)&lt;0,0,($B$28-$B$32-$B$39-$B$77-$B$38)*C20/100)</f>
        <v>51.259871441689619</v>
      </c>
      <c r="C34" s="167">
        <f>IF(ISERROR(B34/SUM($B$32,$B$34,$B$35,$B$36,$B$38,$B$39)*100),0,B34/SUM($B$32,$B$34,$B$35,$B$36,$B$38,$B$39)*100)</f>
        <v>0.46519531211262022</v>
      </c>
      <c r="D34" s="233"/>
      <c r="G34" s="15"/>
    </row>
    <row r="35" spans="1:7">
      <c r="A35" s="171" t="s">
        <v>73</v>
      </c>
      <c r="B35" s="33">
        <f>IF((($B$28-$B$32-$B$39-$B$77-$B$38)*C21/100)&lt;0,0,($B$28-$B$32-$B$39-$B$77-$B$38)*C21/100)</f>
        <v>1902.5298438934801</v>
      </c>
      <c r="C35" s="167">
        <f>IF(ISERROR(B35/SUM($B$32,$B$34,$B$35,$B$36,$B$38,$B$39)*100),0,B35/SUM($B$32,$B$34,$B$35,$B$36,$B$38,$B$39)*100)</f>
        <v>17.265902930333787</v>
      </c>
      <c r="D35" s="233"/>
      <c r="G35" s="15"/>
    </row>
    <row r="36" spans="1:7">
      <c r="A36" s="171" t="s">
        <v>74</v>
      </c>
      <c r="B36" s="33">
        <f>IF((($B$28-$B$32-$B$39-$B$77-$B$38)*C22/100)&lt;0,0,($B$28-$B$32-$B$39-$B$77-$B$38)*C22/100)</f>
        <v>193.21028466483014</v>
      </c>
      <c r="C36" s="167">
        <f>IF(ISERROR(B36/SUM($B$32,$B$34,$B$35,$B$36,$B$38,$B$39)*100),0,B36/SUM($B$32,$B$34,$B$35,$B$36,$B$38,$B$39)*100)</f>
        <v>1.7534284841167997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8872</v>
      </c>
      <c r="C44" s="34" t="s">
        <v>110</v>
      </c>
      <c r="D44" s="174"/>
    </row>
    <row r="45" spans="1:7">
      <c r="A45" s="171" t="s">
        <v>71</v>
      </c>
      <c r="B45" s="33" t="str">
        <f t="shared" si="0"/>
        <v>-</v>
      </c>
      <c r="C45" s="34" t="s">
        <v>110</v>
      </c>
      <c r="D45" s="174"/>
    </row>
    <row r="46" spans="1:7">
      <c r="A46" s="171" t="s">
        <v>72</v>
      </c>
      <c r="B46" s="33">
        <f t="shared" si="0"/>
        <v>51.259871441689619</v>
      </c>
      <c r="C46" s="34" t="s">
        <v>110</v>
      </c>
      <c r="D46" s="174"/>
    </row>
    <row r="47" spans="1:7">
      <c r="A47" s="171" t="s">
        <v>73</v>
      </c>
      <c r="B47" s="33">
        <f t="shared" si="0"/>
        <v>1902.5298438934801</v>
      </c>
      <c r="C47" s="34" t="s">
        <v>110</v>
      </c>
      <c r="D47" s="174"/>
    </row>
    <row r="48" spans="1:7">
      <c r="A48" s="171" t="s">
        <v>74</v>
      </c>
      <c r="B48" s="33">
        <f t="shared" si="0"/>
        <v>193.21028466483014</v>
      </c>
      <c r="C48" s="33">
        <f>B48*10</f>
        <v>1932.1028466483015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26990.255406</v>
      </c>
      <c r="C5" s="17">
        <f>IF(ISERROR('Eigen informatie GS &amp; warmtenet'!B60),0,'Eigen informatie GS &amp; warmtenet'!B60)</f>
        <v>0</v>
      </c>
      <c r="D5" s="30">
        <f>SUM(D6:D12)</f>
        <v>48099.410284728001</v>
      </c>
      <c r="E5" s="17">
        <f>SUM(E6:E12)</f>
        <v>389.40074627755882</v>
      </c>
      <c r="F5" s="17">
        <f>SUM(F6:F12)</f>
        <v>3020.8550456642852</v>
      </c>
      <c r="G5" s="18"/>
      <c r="H5" s="17"/>
      <c r="I5" s="17"/>
      <c r="J5" s="17">
        <f>SUM(J6:J12)</f>
        <v>3.7264420832730662E-2</v>
      </c>
      <c r="K5" s="17"/>
      <c r="L5" s="17"/>
      <c r="M5" s="17"/>
      <c r="N5" s="17">
        <f>SUM(N6:N12)</f>
        <v>1480.9889804969221</v>
      </c>
      <c r="O5" s="17">
        <f>B38*B39*B40</f>
        <v>9.7945215316823084</v>
      </c>
      <c r="P5" s="17">
        <f>B46*B47*B48/1000-B46*B47*B48/1000/B49</f>
        <v>210.15655322598008</v>
      </c>
      <c r="R5" s="32"/>
    </row>
    <row r="6" spans="1:18">
      <c r="A6" s="32" t="s">
        <v>53</v>
      </c>
      <c r="B6" s="37">
        <f>B26</f>
        <v>8746.1416939999999</v>
      </c>
      <c r="C6" s="33"/>
      <c r="D6" s="37">
        <f>IF(ISERROR(TER_kantoor_gas_kWh/1000),0,TER_kantoor_gas_kWh/1000)*0.902</f>
        <v>17480.083689420004</v>
      </c>
      <c r="E6" s="33">
        <f>$C$26*'E Balans VL '!I12/100/3.6*1000000</f>
        <v>70.377397977666647</v>
      </c>
      <c r="F6" s="33">
        <f>$C$26*('E Balans VL '!L12+'E Balans VL '!N12)/100/3.6*1000000</f>
        <v>1069.3078285564734</v>
      </c>
      <c r="G6" s="34"/>
      <c r="H6" s="33"/>
      <c r="I6" s="33"/>
      <c r="J6" s="33">
        <f>$C$26*('E Balans VL '!D12+'E Balans VL '!E12)/100/3.6*1000000</f>
        <v>0</v>
      </c>
      <c r="K6" s="33"/>
      <c r="L6" s="33"/>
      <c r="M6" s="33"/>
      <c r="N6" s="33">
        <f>$C$26*'E Balans VL '!Y12/100/3.6*1000000</f>
        <v>4.7006204596632619</v>
      </c>
      <c r="O6" s="33"/>
      <c r="P6" s="33"/>
      <c r="R6" s="32"/>
    </row>
    <row r="7" spans="1:18">
      <c r="A7" s="32" t="s">
        <v>52</v>
      </c>
      <c r="B7" s="37">
        <f t="shared" ref="B7:B12" si="0">B27</f>
        <v>2471.2718159999999</v>
      </c>
      <c r="C7" s="33"/>
      <c r="D7" s="37">
        <f>IF(ISERROR(TER_horeca_gas_kWh/1000),0,TER_horeca_gas_kWh/1000)*0.902</f>
        <v>3860.7191858619994</v>
      </c>
      <c r="E7" s="33">
        <f>$C$27*'E Balans VL '!I9/100/3.6*1000000</f>
        <v>26.535390921184732</v>
      </c>
      <c r="F7" s="33">
        <f>$C$27*('E Balans VL '!L9+'E Balans VL '!N9)/100/3.6*1000000</f>
        <v>297.23407435394222</v>
      </c>
      <c r="G7" s="34"/>
      <c r="H7" s="33"/>
      <c r="I7" s="33"/>
      <c r="J7" s="33">
        <f>$C$27*('E Balans VL '!D9+'E Balans VL '!E9)/100/3.6*1000000</f>
        <v>0</v>
      </c>
      <c r="K7" s="33"/>
      <c r="L7" s="33"/>
      <c r="M7" s="33"/>
      <c r="N7" s="33">
        <f>$C$27*'E Balans VL '!Y9/100/3.6*1000000</f>
        <v>0.37049373208309871</v>
      </c>
      <c r="O7" s="33"/>
      <c r="P7" s="33"/>
      <c r="R7" s="32"/>
    </row>
    <row r="8" spans="1:18">
      <c r="A8" s="6" t="s">
        <v>51</v>
      </c>
      <c r="B8" s="37">
        <f t="shared" si="0"/>
        <v>8908.1143900000006</v>
      </c>
      <c r="C8" s="33"/>
      <c r="D8" s="37">
        <f>IF(ISERROR(TER_handel_gas_kWh/1000),0,TER_handel_gas_kWh/1000)*0.902</f>
        <v>8422.0961912340008</v>
      </c>
      <c r="E8" s="33">
        <f>$C$28*'E Balans VL '!I13/100/3.6*1000000</f>
        <v>239.0665182999544</v>
      </c>
      <c r="F8" s="33">
        <f>$C$28*('E Balans VL '!L13+'E Balans VL '!N13)/100/3.6*1000000</f>
        <v>850.10866797083725</v>
      </c>
      <c r="G8" s="34"/>
      <c r="H8" s="33"/>
      <c r="I8" s="33"/>
      <c r="J8" s="33">
        <f>$C$28*('E Balans VL '!D13+'E Balans VL '!E13)/100/3.6*1000000</f>
        <v>0</v>
      </c>
      <c r="K8" s="33"/>
      <c r="L8" s="33"/>
      <c r="M8" s="33"/>
      <c r="N8" s="33">
        <f>$C$28*'E Balans VL '!Y13/100/3.6*1000000</f>
        <v>3.5312778328905203</v>
      </c>
      <c r="O8" s="33"/>
      <c r="P8" s="33"/>
      <c r="R8" s="32"/>
    </row>
    <row r="9" spans="1:18">
      <c r="A9" s="32" t="s">
        <v>50</v>
      </c>
      <c r="B9" s="37">
        <f t="shared" si="0"/>
        <v>2095.2790479999999</v>
      </c>
      <c r="C9" s="33"/>
      <c r="D9" s="37">
        <f>IF(ISERROR(TER_gezond_gas_kWh/1000),0,TER_gezond_gas_kWh/1000)*0.902</f>
        <v>6135.2508602440003</v>
      </c>
      <c r="E9" s="33">
        <f>$C$29*'E Balans VL '!I10/100/3.6*1000000</f>
        <v>3.9272351884360215</v>
      </c>
      <c r="F9" s="33">
        <f>$C$29*('E Balans VL '!L10+'E Balans VL '!N10)/100/3.6*1000000</f>
        <v>172.25105569381171</v>
      </c>
      <c r="G9" s="34"/>
      <c r="H9" s="33"/>
      <c r="I9" s="33"/>
      <c r="J9" s="33">
        <f>$C$29*('E Balans VL '!D10+'E Balans VL '!E10)/100/3.6*1000000</f>
        <v>0</v>
      </c>
      <c r="K9" s="33"/>
      <c r="L9" s="33"/>
      <c r="M9" s="33"/>
      <c r="N9" s="33">
        <f>$C$29*'E Balans VL '!Y10/100/3.6*1000000</f>
        <v>16.302834296236021</v>
      </c>
      <c r="O9" s="33"/>
      <c r="P9" s="33"/>
      <c r="R9" s="32"/>
    </row>
    <row r="10" spans="1:18">
      <c r="A10" s="32" t="s">
        <v>49</v>
      </c>
      <c r="B10" s="37">
        <f t="shared" si="0"/>
        <v>1971.996588</v>
      </c>
      <c r="C10" s="33"/>
      <c r="D10" s="37">
        <f>IF(ISERROR(TER_ander_gas_kWh/1000),0,TER_ander_gas_kWh/1000)*0.902</f>
        <v>2165.753428432</v>
      </c>
      <c r="E10" s="33">
        <f>$C$30*'E Balans VL '!I14/100/3.6*1000000</f>
        <v>3.0398527223346798</v>
      </c>
      <c r="F10" s="33">
        <f>$C$30*('E Balans VL '!L14+'E Balans VL '!N14)/100/3.6*1000000</f>
        <v>306.15301468658856</v>
      </c>
      <c r="G10" s="34"/>
      <c r="H10" s="33"/>
      <c r="I10" s="33"/>
      <c r="J10" s="33">
        <f>$C$30*('E Balans VL '!D14+'E Balans VL '!E14)/100/3.6*1000000</f>
        <v>3.3476721797806891E-2</v>
      </c>
      <c r="K10" s="33"/>
      <c r="L10" s="33"/>
      <c r="M10" s="33"/>
      <c r="N10" s="33">
        <f>$C$30*'E Balans VL '!Y14/100/3.6*1000000</f>
        <v>1304.6097406045726</v>
      </c>
      <c r="O10" s="33"/>
      <c r="P10" s="33"/>
      <c r="R10" s="32"/>
    </row>
    <row r="11" spans="1:18">
      <c r="A11" s="32" t="s">
        <v>54</v>
      </c>
      <c r="B11" s="37">
        <f t="shared" si="0"/>
        <v>821.03464899999994</v>
      </c>
      <c r="C11" s="33"/>
      <c r="D11" s="37">
        <f>IF(ISERROR(TER_onderwijs_gas_kWh/1000),0,TER_onderwijs_gas_kWh/1000)*0.902</f>
        <v>4259.5569985100001</v>
      </c>
      <c r="E11" s="33">
        <f>$C$31*'E Balans VL '!I11/100/3.6*1000000</f>
        <v>20.9419912624864</v>
      </c>
      <c r="F11" s="33">
        <f>$C$31*('E Balans VL '!L11+'E Balans VL '!N11)/100/3.6*1000000</f>
        <v>98.737144414654068</v>
      </c>
      <c r="G11" s="34"/>
      <c r="H11" s="33"/>
      <c r="I11" s="33"/>
      <c r="J11" s="33">
        <f>$C$31*('E Balans VL '!D11+'E Balans VL '!E11)/100/3.6*1000000</f>
        <v>0</v>
      </c>
      <c r="K11" s="33"/>
      <c r="L11" s="33"/>
      <c r="M11" s="33"/>
      <c r="N11" s="33">
        <f>$C$31*'E Balans VL '!Y11/100/3.6*1000000</f>
        <v>1.8259610259579426</v>
      </c>
      <c r="O11" s="33"/>
      <c r="P11" s="33"/>
      <c r="R11" s="32"/>
    </row>
    <row r="12" spans="1:18">
      <c r="A12" s="32" t="s">
        <v>259</v>
      </c>
      <c r="B12" s="37">
        <f t="shared" si="0"/>
        <v>1976.4172209999999</v>
      </c>
      <c r="C12" s="33"/>
      <c r="D12" s="37">
        <f>IF(ISERROR(TER_rest_gas_kWh/1000),0,TER_rest_gas_kWh/1000)*0.902</f>
        <v>5775.9499310259998</v>
      </c>
      <c r="E12" s="33">
        <f>$C$32*'E Balans VL '!I8/100/3.6*1000000</f>
        <v>25.512359905495966</v>
      </c>
      <c r="F12" s="33">
        <f>$C$32*('E Balans VL '!L8+'E Balans VL '!N8)/100/3.6*1000000</f>
        <v>227.06325998797755</v>
      </c>
      <c r="G12" s="34"/>
      <c r="H12" s="33"/>
      <c r="I12" s="33"/>
      <c r="J12" s="33">
        <f>$C$32*('E Balans VL '!D8+'E Balans VL '!E8)/100/3.6*1000000</f>
        <v>3.7876990349237729E-3</v>
      </c>
      <c r="K12" s="33"/>
      <c r="L12" s="33"/>
      <c r="M12" s="33"/>
      <c r="N12" s="33">
        <f>$C$32*'E Balans VL '!Y8/100/3.6*1000000</f>
        <v>149.6480525455186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26990.255406</v>
      </c>
      <c r="C16" s="21">
        <f t="shared" ca="1" si="1"/>
        <v>0</v>
      </c>
      <c r="D16" s="21">
        <f t="shared" ca="1" si="1"/>
        <v>48099.410284728001</v>
      </c>
      <c r="E16" s="21">
        <f t="shared" si="1"/>
        <v>389.40074627755882</v>
      </c>
      <c r="F16" s="21">
        <f t="shared" ca="1" si="1"/>
        <v>3020.8550456642852</v>
      </c>
      <c r="G16" s="21">
        <f t="shared" si="1"/>
        <v>0</v>
      </c>
      <c r="H16" s="21">
        <f t="shared" si="1"/>
        <v>0</v>
      </c>
      <c r="I16" s="21">
        <f t="shared" si="1"/>
        <v>0</v>
      </c>
      <c r="J16" s="21">
        <f t="shared" si="1"/>
        <v>3.7264420832730662E-2</v>
      </c>
      <c r="K16" s="21">
        <f t="shared" si="1"/>
        <v>0</v>
      </c>
      <c r="L16" s="21">
        <f t="shared" ca="1" si="1"/>
        <v>0</v>
      </c>
      <c r="M16" s="21">
        <f t="shared" si="1"/>
        <v>0</v>
      </c>
      <c r="N16" s="21">
        <f t="shared" ca="1" si="1"/>
        <v>1480.9889804969221</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0.20633007490837807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5568.901419716236</v>
      </c>
      <c r="C20" s="23">
        <f t="shared" ref="C20:P20" ca="1" si="2">C16*C18</f>
        <v>0</v>
      </c>
      <c r="D20" s="23">
        <f t="shared" ca="1" si="2"/>
        <v>9716.0808775150563</v>
      </c>
      <c r="E20" s="23">
        <f t="shared" si="2"/>
        <v>88.393969405005862</v>
      </c>
      <c r="F20" s="23">
        <f t="shared" ca="1" si="2"/>
        <v>806.56829719236418</v>
      </c>
      <c r="G20" s="23">
        <f t="shared" si="2"/>
        <v>0</v>
      </c>
      <c r="H20" s="23">
        <f t="shared" si="2"/>
        <v>0</v>
      </c>
      <c r="I20" s="23">
        <f t="shared" si="2"/>
        <v>0</v>
      </c>
      <c r="J20" s="23">
        <f t="shared" si="2"/>
        <v>1.3191604974786653E-2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8746.1416939999999</v>
      </c>
      <c r="C26" s="39">
        <f>IF(ISERROR(B26*3.6/1000000/'E Balans VL '!Z12*100),0,B26*3.6/1000000/'E Balans VL '!Z12*100)</f>
        <v>0.18554139423743612</v>
      </c>
      <c r="D26" s="237" t="s">
        <v>716</v>
      </c>
      <c r="F26" s="6"/>
    </row>
    <row r="27" spans="1:18">
      <c r="A27" s="231" t="s">
        <v>52</v>
      </c>
      <c r="B27" s="33">
        <f>IF(ISERROR(TER_horeca_ele_kWh/1000),0,TER_horeca_ele_kWh/1000)</f>
        <v>2471.2718159999999</v>
      </c>
      <c r="C27" s="39">
        <f>IF(ISERROR(B27*3.6/1000000/'E Balans VL '!Z9*100),0,B27*3.6/1000000/'E Balans VL '!Z9*100)</f>
        <v>0.18610865952238762</v>
      </c>
      <c r="D27" s="237" t="s">
        <v>716</v>
      </c>
      <c r="F27" s="6"/>
    </row>
    <row r="28" spans="1:18">
      <c r="A28" s="171" t="s">
        <v>51</v>
      </c>
      <c r="B28" s="33">
        <f>IF(ISERROR(TER_handel_ele_kWh/1000),0,TER_handel_ele_kWh/1000)</f>
        <v>8908.1143900000006</v>
      </c>
      <c r="C28" s="39">
        <f>IF(ISERROR(B28*3.6/1000000/'E Balans VL '!Z13*100),0,B28*3.6/1000000/'E Balans VL '!Z13*100)</f>
        <v>0.25857099682974294</v>
      </c>
      <c r="D28" s="237" t="s">
        <v>716</v>
      </c>
      <c r="F28" s="6"/>
    </row>
    <row r="29" spans="1:18">
      <c r="A29" s="231" t="s">
        <v>50</v>
      </c>
      <c r="B29" s="33">
        <f>IF(ISERROR(TER_gezond_ele_kWh/1000),0,TER_gezond_ele_kWh/1000)</f>
        <v>2095.2790479999999</v>
      </c>
      <c r="C29" s="39">
        <f>IF(ISERROR(B29*3.6/1000000/'E Balans VL '!Z10*100),0,B29*3.6/1000000/'E Balans VL '!Z10*100)</f>
        <v>0.21131139071283545</v>
      </c>
      <c r="D29" s="237" t="s">
        <v>716</v>
      </c>
      <c r="F29" s="6"/>
    </row>
    <row r="30" spans="1:18">
      <c r="A30" s="231" t="s">
        <v>49</v>
      </c>
      <c r="B30" s="33">
        <f>IF(ISERROR(TER_ander_ele_kWh/1000),0,TER_ander_ele_kWh/1000)</f>
        <v>1971.996588</v>
      </c>
      <c r="C30" s="39">
        <f>IF(ISERROR(B30*3.6/1000000/'E Balans VL '!Z14*100),0,B30*3.6/1000000/'E Balans VL '!Z14*100)</f>
        <v>0.14309525542565596</v>
      </c>
      <c r="D30" s="237" t="s">
        <v>716</v>
      </c>
      <c r="F30" s="6"/>
    </row>
    <row r="31" spans="1:18">
      <c r="A31" s="231" t="s">
        <v>54</v>
      </c>
      <c r="B31" s="33">
        <f>IF(ISERROR(TER_onderwijs_ele_kWh/1000),0,TER_onderwijs_ele_kWh/1000)</f>
        <v>821.03464899999994</v>
      </c>
      <c r="C31" s="39">
        <f>IF(ISERROR(B31*3.6/1000000/'E Balans VL '!Z11*100),0,B31*3.6/1000000/'E Balans VL '!Z11*100)</f>
        <v>0.23402830905271962</v>
      </c>
      <c r="D31" s="237" t="s">
        <v>716</v>
      </c>
    </row>
    <row r="32" spans="1:18">
      <c r="A32" s="231" t="s">
        <v>259</v>
      </c>
      <c r="B32" s="33">
        <f>IF(ISERROR(TER_rest_ele_kWh/1000),0,TER_rest_ele_kWh/1000)</f>
        <v>1976.4172209999999</v>
      </c>
      <c r="C32" s="39">
        <f>IF(ISERROR(B32*3.6/1000000/'E Balans VL '!Z8*100),0,B32*3.6/1000000/'E Balans VL '!Z8*100)</f>
        <v>1.619040729709189E-2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6831.9717620000001</v>
      </c>
      <c r="C5" s="17">
        <f>IF(ISERROR('Eigen informatie GS &amp; warmtenet'!B61),0,'Eigen informatie GS &amp; warmtenet'!B61)</f>
        <v>0</v>
      </c>
      <c r="D5" s="30">
        <f>SUM(D6:D15)</f>
        <v>6188.9911362840012</v>
      </c>
      <c r="E5" s="17">
        <f>SUM(E6:E15)</f>
        <v>1358.0008895735591</v>
      </c>
      <c r="F5" s="17">
        <f>SUM(F6:F15)</f>
        <v>4184.0101257261877</v>
      </c>
      <c r="G5" s="18"/>
      <c r="H5" s="17"/>
      <c r="I5" s="17"/>
      <c r="J5" s="17">
        <f>SUM(J6:J15)</f>
        <v>6.0458880652093452</v>
      </c>
      <c r="K5" s="17"/>
      <c r="L5" s="17"/>
      <c r="M5" s="17"/>
      <c r="N5" s="17">
        <f>SUM(N6:N15)</f>
        <v>455.58451231633217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445.74331699999999</v>
      </c>
      <c r="C8" s="33"/>
      <c r="D8" s="37">
        <f>IF( ISERROR(IND_metaal_Gas_kWH/1000),0,IND_metaal_Gas_kWH/1000)*0.902</f>
        <v>0</v>
      </c>
      <c r="E8" s="33">
        <f>C30*'E Balans VL '!I18/100/3.6*1000000</f>
        <v>3.2157251802561273</v>
      </c>
      <c r="F8" s="33">
        <f>C30*'E Balans VL '!L18/100/3.6*1000000+C30*'E Balans VL '!N18/100/3.6*1000000</f>
        <v>42.159098857172381</v>
      </c>
      <c r="G8" s="34"/>
      <c r="H8" s="33"/>
      <c r="I8" s="33"/>
      <c r="J8" s="40">
        <f>C30*'E Balans VL '!D18/100/3.6*1000000+C30*'E Balans VL '!E18/100/3.6*1000000</f>
        <v>0.44833121854132441</v>
      </c>
      <c r="K8" s="33"/>
      <c r="L8" s="33"/>
      <c r="M8" s="33"/>
      <c r="N8" s="33">
        <f>C30*'E Balans VL '!Y18/100/3.6*1000000</f>
        <v>5.6353748472666654</v>
      </c>
      <c r="O8" s="33"/>
      <c r="P8" s="33"/>
      <c r="R8" s="32"/>
    </row>
    <row r="9" spans="1:18">
      <c r="A9" s="6" t="s">
        <v>32</v>
      </c>
      <c r="B9" s="37">
        <f t="shared" si="0"/>
        <v>4819.7937539999994</v>
      </c>
      <c r="C9" s="33"/>
      <c r="D9" s="37">
        <f>IF( ISERROR(IND_andere_gas_kWh/1000),0,IND_andere_gas_kWh/1000)*0.902</f>
        <v>3891.5322265600007</v>
      </c>
      <c r="E9" s="33">
        <f>C31*'E Balans VL '!I19/100/3.6*1000000</f>
        <v>1335.6292979501695</v>
      </c>
      <c r="F9" s="33">
        <f>C31*'E Balans VL '!L19/100/3.6*1000000+C31*'E Balans VL '!N19/100/3.6*1000000</f>
        <v>3994.6554789697748</v>
      </c>
      <c r="G9" s="34"/>
      <c r="H9" s="33"/>
      <c r="I9" s="33"/>
      <c r="J9" s="40">
        <f>C31*'E Balans VL '!D19/100/3.6*1000000+C31*'E Balans VL '!E19/100/3.6*1000000</f>
        <v>0</v>
      </c>
      <c r="K9" s="33"/>
      <c r="L9" s="33"/>
      <c r="M9" s="33"/>
      <c r="N9" s="33">
        <f>C31*'E Balans VL '!Y19/100/3.6*1000000</f>
        <v>349.85807408069769</v>
      </c>
      <c r="O9" s="33"/>
      <c r="P9" s="33"/>
      <c r="R9" s="32"/>
    </row>
    <row r="10" spans="1:18">
      <c r="A10" s="6" t="s">
        <v>40</v>
      </c>
      <c r="B10" s="37">
        <f t="shared" si="0"/>
        <v>1170.1389999999999</v>
      </c>
      <c r="C10" s="33"/>
      <c r="D10" s="37">
        <f>IF( ISERROR(IND_voed_gas_kWh/1000),0,IND_voed_gas_kWh/1000)*0.902</f>
        <v>726.47723486799998</v>
      </c>
      <c r="E10" s="33">
        <f>C32*'E Balans VL '!I20/100/3.6*1000000</f>
        <v>2.0715423814905289</v>
      </c>
      <c r="F10" s="33">
        <f>C32*'E Balans VL '!L20/100/3.6*1000000+C32*'E Balans VL '!N20/100/3.6*1000000</f>
        <v>63.197876848928964</v>
      </c>
      <c r="G10" s="34"/>
      <c r="H10" s="33"/>
      <c r="I10" s="33"/>
      <c r="J10" s="40">
        <f>C32*'E Balans VL '!D20/100/3.6*1000000+C32*'E Balans VL '!E20/100/3.6*1000000</f>
        <v>0</v>
      </c>
      <c r="K10" s="33"/>
      <c r="L10" s="33"/>
      <c r="M10" s="33"/>
      <c r="N10" s="33">
        <f>C32*'E Balans VL '!Y20/100/3.6*1000000</f>
        <v>67.994012362899269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86.849000000000004</v>
      </c>
      <c r="C12" s="33"/>
      <c r="D12" s="37">
        <f>IF( ISERROR(IND_min_gas_kWh/1000),0,IND_min_gas_kWh/1000)*0.902</f>
        <v>83.987443429999999</v>
      </c>
      <c r="E12" s="33">
        <f>C34*'E Balans VL '!I22/100/3.6*1000000</f>
        <v>3.8245201666653985</v>
      </c>
      <c r="F12" s="33">
        <f>C34*'E Balans VL '!L22/100/3.6*1000000+C34*'E Balans VL '!N22/100/3.6*1000000</f>
        <v>33.96146644546409</v>
      </c>
      <c r="G12" s="34"/>
      <c r="H12" s="33"/>
      <c r="I12" s="33"/>
      <c r="J12" s="40">
        <f>C34*'E Balans VL '!D22/100/3.6*1000000+C34*'E Balans VL '!E22/100/3.6*1000000</f>
        <v>2.6370442662675374E-2</v>
      </c>
      <c r="K12" s="33"/>
      <c r="L12" s="33"/>
      <c r="M12" s="33"/>
      <c r="N12" s="33">
        <f>C34*'E Balans VL '!Y22/100/3.6*1000000</f>
        <v>21.483810634107829</v>
      </c>
      <c r="O12" s="33"/>
      <c r="P12" s="33"/>
      <c r="R12" s="32"/>
    </row>
    <row r="13" spans="1:18">
      <c r="A13" s="6" t="s">
        <v>38</v>
      </c>
      <c r="B13" s="37">
        <f t="shared" si="0"/>
        <v>29.806705999999998</v>
      </c>
      <c r="C13" s="33"/>
      <c r="D13" s="37">
        <f>IF( ISERROR(IND_papier_gas_kWh/1000),0,IND_papier_gas_kWh/1000)*0.902</f>
        <v>179.51084899</v>
      </c>
      <c r="E13" s="33">
        <f>C35*'E Balans VL '!I23/100/3.6*1000000</f>
        <v>4.3855899557954769E-2</v>
      </c>
      <c r="F13" s="33">
        <f>C35*'E Balans VL '!L23/100/3.6*1000000+C35*'E Balans VL '!N23/100/3.6*1000000</f>
        <v>0.31914953771864657</v>
      </c>
      <c r="G13" s="34"/>
      <c r="H13" s="33"/>
      <c r="I13" s="33"/>
      <c r="J13" s="40">
        <f>C35*'E Balans VL '!D23/100/3.6*1000000+C35*'E Balans VL '!E23/100/3.6*1000000</f>
        <v>3.2610207836605718</v>
      </c>
      <c r="K13" s="33"/>
      <c r="L13" s="33"/>
      <c r="M13" s="33"/>
      <c r="N13" s="33">
        <f>C35*'E Balans VL '!Y23/100/3.6*1000000</f>
        <v>-0.27002321595693507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279.63998499999997</v>
      </c>
      <c r="C15" s="33"/>
      <c r="D15" s="37">
        <f>IF( ISERROR(IND_rest_gas_kWh/1000),0,IND_rest_gas_kWh/1000)*0.902</f>
        <v>1307.4833824360001</v>
      </c>
      <c r="E15" s="33">
        <f>C37*'E Balans VL '!I15/100/3.6*1000000</f>
        <v>13.215947995419661</v>
      </c>
      <c r="F15" s="33">
        <f>C37*'E Balans VL '!L15/100/3.6*1000000+C37*'E Balans VL '!N15/100/3.6*1000000</f>
        <v>49.717055067128626</v>
      </c>
      <c r="G15" s="34"/>
      <c r="H15" s="33"/>
      <c r="I15" s="33"/>
      <c r="J15" s="40">
        <f>C37*'E Balans VL '!D15/100/3.6*1000000+C37*'E Balans VL '!E15/100/3.6*1000000</f>
        <v>2.3101656203447734</v>
      </c>
      <c r="K15" s="33"/>
      <c r="L15" s="33"/>
      <c r="M15" s="33"/>
      <c r="N15" s="33">
        <f>C37*'E Balans VL '!Y15/100/3.6*1000000</f>
        <v>10.883263607317666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6831.9717620000001</v>
      </c>
      <c r="C18" s="21">
        <f>C5+C16</f>
        <v>0</v>
      </c>
      <c r="D18" s="21">
        <f>MAX((D5+D16),0)</f>
        <v>6188.9911362840012</v>
      </c>
      <c r="E18" s="21">
        <f>MAX((E5+E16),0)</f>
        <v>1358.0008895735591</v>
      </c>
      <c r="F18" s="21">
        <f>MAX((F5+F16),0)</f>
        <v>4184.0101257261877</v>
      </c>
      <c r="G18" s="21"/>
      <c r="H18" s="21"/>
      <c r="I18" s="21"/>
      <c r="J18" s="21">
        <f>MAX((J5+J16),0)</f>
        <v>6.0458880652093452</v>
      </c>
      <c r="K18" s="21"/>
      <c r="L18" s="21">
        <f>MAX((L5+L16),0)</f>
        <v>0</v>
      </c>
      <c r="M18" s="21"/>
      <c r="N18" s="21">
        <f>MAX((N5+N16),0)</f>
        <v>455.58451231633217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0.20633007490837807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1409.6412454253837</v>
      </c>
      <c r="C22" s="23">
        <f ca="1">C18*C20</f>
        <v>0</v>
      </c>
      <c r="D22" s="23">
        <f>D18*D20</f>
        <v>1250.1762095293684</v>
      </c>
      <c r="E22" s="23">
        <f>E18*E20</f>
        <v>308.26620193319792</v>
      </c>
      <c r="F22" s="23">
        <f>F18*F20</f>
        <v>1117.1307035688922</v>
      </c>
      <c r="G22" s="23"/>
      <c r="H22" s="23"/>
      <c r="I22" s="23"/>
      <c r="J22" s="23">
        <f>J18*J20</f>
        <v>2.1402443750841083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445.74331699999999</v>
      </c>
      <c r="C30" s="39">
        <f>IF(ISERROR(B30*3.6/1000000/'E Balans VL '!Z18*100),0,B30*3.6/1000000/'E Balans VL '!Z18*100)</f>
        <v>2.573206617586488E-2</v>
      </c>
      <c r="D30" s="237" t="s">
        <v>716</v>
      </c>
    </row>
    <row r="31" spans="1:18">
      <c r="A31" s="6" t="s">
        <v>32</v>
      </c>
      <c r="B31" s="37">
        <f>IF( ISERROR(IND_ander_ele_kWh/1000),0,IND_ander_ele_kWh/1000)</f>
        <v>4819.7937539999994</v>
      </c>
      <c r="C31" s="39">
        <f>IF(ISERROR(B31*3.6/1000000/'E Balans VL '!Z19*100),0,B31*3.6/1000000/'E Balans VL '!Z19*100)</f>
        <v>0.24242000306967473</v>
      </c>
      <c r="D31" s="237" t="s">
        <v>716</v>
      </c>
    </row>
    <row r="32" spans="1:18">
      <c r="A32" s="171" t="s">
        <v>40</v>
      </c>
      <c r="B32" s="37">
        <f>IF( ISERROR(IND_voed_ele_kWh/1000),0,IND_voed_ele_kWh/1000)</f>
        <v>1170.1389999999999</v>
      </c>
      <c r="C32" s="39">
        <f>IF(ISERROR(B32*3.6/1000000/'E Balans VL '!Z20*100),0,B32*3.6/1000000/'E Balans VL '!Z20*100)</f>
        <v>3.8972577275676365E-2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86.849000000000004</v>
      </c>
      <c r="C34" s="39">
        <f>IF(ISERROR(B34*3.6/1000000/'E Balans VL '!Z22*100),0,B34*3.6/1000000/'E Balans VL '!Z22*100)</f>
        <v>1.6200271942939649E-2</v>
      </c>
      <c r="D34" s="237" t="s">
        <v>716</v>
      </c>
    </row>
    <row r="35" spans="1:5">
      <c r="A35" s="171" t="s">
        <v>38</v>
      </c>
      <c r="B35" s="37">
        <f>IF( ISERROR(IND_papier_ele_kWh/1000),0,IND_papier_ele_kWh/1000)</f>
        <v>29.806705999999998</v>
      </c>
      <c r="C35" s="39">
        <f>IF(ISERROR(B35*3.6/1000000/'E Balans VL '!Z22*100),0,B35*3.6/1000000/'E Balans VL '!Z22*100)</f>
        <v>5.5599574309807926E-3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279.63998499999997</v>
      </c>
      <c r="C37" s="39">
        <f>IF(ISERROR(B37*3.6/1000000/'E Balans VL '!Z15*100),0,B37*3.6/1000000/'E Balans VL '!Z15*100)</f>
        <v>2.181956595225821E-3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198.45632500000002</v>
      </c>
      <c r="C5" s="17">
        <f>'Eigen informatie GS &amp; warmtenet'!B62</f>
        <v>0</v>
      </c>
      <c r="D5" s="30">
        <f>IF(ISERROR(SUM(LB_lb_gas_kWh,LB_rest_gas_kWh)/1000),0,SUM(LB_lb_gas_kWh,LB_rest_gas_kWh)/1000)*0.902</f>
        <v>345.83189900599996</v>
      </c>
      <c r="E5" s="17">
        <f>B17*'E Balans VL '!I25/3.6*1000000/100</f>
        <v>6.1937564604275561</v>
      </c>
      <c r="F5" s="17">
        <f>B17*('E Balans VL '!L25/3.6*1000000+'E Balans VL '!N25/3.6*1000000)/100</f>
        <v>701.36663694863239</v>
      </c>
      <c r="G5" s="18"/>
      <c r="H5" s="17"/>
      <c r="I5" s="17"/>
      <c r="J5" s="17">
        <f>('E Balans VL '!D25+'E Balans VL '!E25)/3.6*1000000*landbouw!B17/100</f>
        <v>54.676093820052216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198.45632500000002</v>
      </c>
      <c r="C8" s="21">
        <f>C5+C6</f>
        <v>0</v>
      </c>
      <c r="D8" s="21">
        <f>MAX((D5+D6),0)</f>
        <v>345.83189900599996</v>
      </c>
      <c r="E8" s="21">
        <f>MAX((E5+E6),0)</f>
        <v>6.1937564604275561</v>
      </c>
      <c r="F8" s="21">
        <f>MAX((F5+F6),0)</f>
        <v>701.36663694863239</v>
      </c>
      <c r="G8" s="21"/>
      <c r="H8" s="21"/>
      <c r="I8" s="21"/>
      <c r="J8" s="21">
        <f>MAX((J5+J6),0)</f>
        <v>54.676093820052216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0.20633007490837807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40.94750840329143</v>
      </c>
      <c r="C12" s="23">
        <f ca="1">C8*C10</f>
        <v>0</v>
      </c>
      <c r="D12" s="23">
        <f>D8*D10</f>
        <v>69.858043599211996</v>
      </c>
      <c r="E12" s="23">
        <f>E8*E10</f>
        <v>1.4059827165170553</v>
      </c>
      <c r="F12" s="23">
        <f>F8*F10</f>
        <v>187.26489206528487</v>
      </c>
      <c r="G12" s="23"/>
      <c r="H12" s="23"/>
      <c r="I12" s="23"/>
      <c r="J12" s="23">
        <f>J8*J10</f>
        <v>19.355337212298483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2.9501955380945969E-2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50.992485709223637</v>
      </c>
      <c r="C26" s="247">
        <f>B26*'GWP N2O_CH4'!B5</f>
        <v>1070.8421998936963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6.5968061414661907</v>
      </c>
      <c r="C27" s="247">
        <f>B27*'GWP N2O_CH4'!B5</f>
        <v>138.53292897079001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0.63522773649700437</v>
      </c>
      <c r="C28" s="247">
        <f>B28*'GWP N2O_CH4'!B4</f>
        <v>196.92059831407136</v>
      </c>
      <c r="D28" s="50"/>
    </row>
    <row r="29" spans="1:4">
      <c r="A29" s="41" t="s">
        <v>276</v>
      </c>
      <c r="B29" s="247">
        <f>B34*'ha_N2O bodem landbouw'!B4</f>
        <v>3.1434628224967778</v>
      </c>
      <c r="C29" s="247">
        <f>B29*'GWP N2O_CH4'!B4</f>
        <v>974.47347497400108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6.8930480019799235E-4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1.7553688894999999E-4</v>
      </c>
      <c r="C5" s="463" t="s">
        <v>210</v>
      </c>
      <c r="D5" s="448">
        <f>SUM(D6:D11)</f>
        <v>7.2753631270135199E-4</v>
      </c>
      <c r="E5" s="448">
        <f>SUM(E6:E11)</f>
        <v>5.5769943778449999E-4</v>
      </c>
      <c r="F5" s="461" t="s">
        <v>210</v>
      </c>
      <c r="G5" s="448">
        <f>SUM(G6:G11)</f>
        <v>0.19846472952575314</v>
      </c>
      <c r="H5" s="448">
        <f>SUM(H6:H11)</f>
        <v>5.4093955923821851E-2</v>
      </c>
      <c r="I5" s="463" t="s">
        <v>210</v>
      </c>
      <c r="J5" s="463" t="s">
        <v>210</v>
      </c>
      <c r="K5" s="463" t="s">
        <v>210</v>
      </c>
      <c r="L5" s="463" t="s">
        <v>210</v>
      </c>
      <c r="M5" s="448">
        <f>SUM(M6:M11)</f>
        <v>1.4999391117364117E-2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1.3176202256999999E-4</v>
      </c>
      <c r="C6" s="449"/>
      <c r="D6" s="917">
        <f>vkm_2011_GW_PW*SUMIFS(TableVerdeelsleutelVkm[CNG],TableVerdeelsleutelVkm[Voertuigtype],"Lichte voertuigen")*SUMIFS(TableECFTransport[EnergieConsumptieFactor (PJ per km)],TableECFTransport[Index],CONCATENATE($A6,"_CNG_CNG"))</f>
        <v>4.5815899582807198E-4</v>
      </c>
      <c r="E6" s="917">
        <f>vkm_2011_GW_PW*SUMIFS(TableVerdeelsleutelVkm[LPG],TableVerdeelsleutelVkm[Voertuigtype],"Lichte voertuigen")*SUMIFS(TableECFTransport[EnergieConsumptieFactor (PJ per km)],TableECFTransport[Index],CONCATENATE($A6,"_LPG_LPG"))</f>
        <v>3.6095380464239998E-4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9.8255822592649658E-2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3.4383011909062379E-2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7.9260040427244268E-3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4.2336645352691424E-2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1.0665965256727513E-5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2.4412632399271948E-3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4.3774866379999994E-5</v>
      </c>
      <c r="C8" s="449"/>
      <c r="D8" s="451">
        <f>vkm_2011_NGW_PW*SUMIFS(TableVerdeelsleutelVkm[CNG],TableVerdeelsleutelVkm[Voertuigtype],"Lichte voertuigen")*SUMIFS(TableECFTransport[EnergieConsumptieFactor (PJ per km)],TableECFTransport[Index],CONCATENATE($A8,"_CNG_CNG"))</f>
        <v>2.6937731687328001E-4</v>
      </c>
      <c r="E8" s="451">
        <f>vkm_2011_NGW_PW*SUMIFS(TableVerdeelsleutelVkm[LPG],TableVerdeelsleutelVkm[Voertuigtype],"Lichte voertuigen")*SUMIFS(TableECFTransport[EnergieConsumptieFactor (PJ per km)],TableECFTransport[Index],CONCATENATE($A8,"_LPG_LPG"))</f>
        <v>1.9674563314210001E-4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4.9698752255184012E-2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1.969833510956677E-2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4.1608213974469984E-3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8.1735093252280656E-3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1.9429399359749258E-6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4.7130243726549676E-4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48.760246930555553</v>
      </c>
      <c r="C14" s="21"/>
      <c r="D14" s="21">
        <f t="shared" ref="D14:M14" si="0">((D5)*10^9/3600)+D12</f>
        <v>202.09342019481997</v>
      </c>
      <c r="E14" s="21">
        <f t="shared" si="0"/>
        <v>154.91651049569444</v>
      </c>
      <c r="F14" s="21"/>
      <c r="G14" s="21">
        <f t="shared" si="0"/>
        <v>55129.091534931431</v>
      </c>
      <c r="H14" s="21">
        <f t="shared" si="0"/>
        <v>15026.098867728291</v>
      </c>
      <c r="I14" s="21"/>
      <c r="J14" s="21"/>
      <c r="K14" s="21"/>
      <c r="L14" s="21"/>
      <c r="M14" s="21">
        <f t="shared" si="0"/>
        <v>4166.4975326011436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0.20633007490837807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10.060705401732539</v>
      </c>
      <c r="C18" s="23"/>
      <c r="D18" s="23">
        <f t="shared" ref="D18:M18" si="1">D14*D16</f>
        <v>40.822870879353637</v>
      </c>
      <c r="E18" s="23">
        <f t="shared" si="1"/>
        <v>35.166047882522641</v>
      </c>
      <c r="F18" s="23"/>
      <c r="G18" s="23">
        <f t="shared" si="1"/>
        <v>14719.467439826692</v>
      </c>
      <c r="H18" s="23">
        <f t="shared" si="1"/>
        <v>3741.4986180643446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7.6133683471541992E-3</v>
      </c>
      <c r="H50" s="321">
        <f t="shared" si="2"/>
        <v>0</v>
      </c>
      <c r="I50" s="321">
        <f t="shared" si="2"/>
        <v>0</v>
      </c>
      <c r="J50" s="321">
        <f t="shared" si="2"/>
        <v>0</v>
      </c>
      <c r="K50" s="321">
        <f t="shared" si="2"/>
        <v>0</v>
      </c>
      <c r="L50" s="321">
        <f t="shared" si="2"/>
        <v>0</v>
      </c>
      <c r="M50" s="321">
        <f t="shared" si="2"/>
        <v>4.2315185510776219E-4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7.6133683471541992E-3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4.2315185510776219E-4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2114.8245408761663</v>
      </c>
      <c r="H54" s="21">
        <f t="shared" si="3"/>
        <v>0</v>
      </c>
      <c r="I54" s="21">
        <f t="shared" si="3"/>
        <v>0</v>
      </c>
      <c r="J54" s="21">
        <f t="shared" si="3"/>
        <v>0</v>
      </c>
      <c r="K54" s="21">
        <f t="shared" si="3"/>
        <v>0</v>
      </c>
      <c r="L54" s="21">
        <f t="shared" si="3"/>
        <v>0</v>
      </c>
      <c r="M54" s="21">
        <f t="shared" si="3"/>
        <v>117.54218197437839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0.20633007490837807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564.65815241393648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28248.630406</v>
      </c>
      <c r="D10" s="712">
        <f ca="1">tertiair!C16</f>
        <v>0</v>
      </c>
      <c r="E10" s="712">
        <f ca="1">tertiair!D16</f>
        <v>48099.410284728001</v>
      </c>
      <c r="F10" s="712">
        <f>tertiair!E16</f>
        <v>389.40074627755882</v>
      </c>
      <c r="G10" s="712">
        <f ca="1">tertiair!F16</f>
        <v>3020.8550456642852</v>
      </c>
      <c r="H10" s="712">
        <f>tertiair!G16</f>
        <v>0</v>
      </c>
      <c r="I10" s="712">
        <f>tertiair!H16</f>
        <v>0</v>
      </c>
      <c r="J10" s="712">
        <f>tertiair!I16</f>
        <v>0</v>
      </c>
      <c r="K10" s="712">
        <f>tertiair!J16</f>
        <v>3.7264420832730662E-2</v>
      </c>
      <c r="L10" s="712">
        <f>tertiair!K16</f>
        <v>0</v>
      </c>
      <c r="M10" s="712">
        <f ca="1">tertiair!L16</f>
        <v>0</v>
      </c>
      <c r="N10" s="712">
        <f>tertiair!M16</f>
        <v>0</v>
      </c>
      <c r="O10" s="712">
        <f ca="1">tertiair!N16</f>
        <v>1480.9889804969221</v>
      </c>
      <c r="P10" s="712">
        <f>tertiair!O16</f>
        <v>9.7945215316823084</v>
      </c>
      <c r="Q10" s="713">
        <f>tertiair!P16</f>
        <v>210.15655322598008</v>
      </c>
      <c r="R10" s="715">
        <f ca="1">SUM(C10:Q10)</f>
        <v>81459.273802345269</v>
      </c>
      <c r="S10" s="67"/>
    </row>
    <row r="11" spans="1:19" s="474" customFormat="1">
      <c r="A11" s="834" t="s">
        <v>224</v>
      </c>
      <c r="B11" s="839"/>
      <c r="C11" s="712">
        <f>huishoudens!B8</f>
        <v>51272.56005745825</v>
      </c>
      <c r="D11" s="712">
        <f>huishoudens!C8</f>
        <v>0</v>
      </c>
      <c r="E11" s="712">
        <f>huishoudens!D8</f>
        <v>155277.51579529201</v>
      </c>
      <c r="F11" s="712">
        <f>huishoudens!E8</f>
        <v>2008.0652787121958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13098.185186471059</v>
      </c>
      <c r="P11" s="712">
        <f>huishoudens!O8</f>
        <v>333.30498085702135</v>
      </c>
      <c r="Q11" s="713">
        <f>huishoudens!P8</f>
        <v>758.44507015332169</v>
      </c>
      <c r="R11" s="715">
        <f>SUM(C11:Q11)</f>
        <v>222748.0763689439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6831.9717620000001</v>
      </c>
      <c r="D13" s="712">
        <f>industrie!C18</f>
        <v>0</v>
      </c>
      <c r="E13" s="712">
        <f>industrie!D18</f>
        <v>6188.9911362840012</v>
      </c>
      <c r="F13" s="712">
        <f>industrie!E18</f>
        <v>1358.0008895735591</v>
      </c>
      <c r="G13" s="712">
        <f>industrie!F18</f>
        <v>4184.0101257261877</v>
      </c>
      <c r="H13" s="712">
        <f>industrie!G18</f>
        <v>0</v>
      </c>
      <c r="I13" s="712">
        <f>industrie!H18</f>
        <v>0</v>
      </c>
      <c r="J13" s="712">
        <f>industrie!I18</f>
        <v>0</v>
      </c>
      <c r="K13" s="712">
        <f>industrie!J18</f>
        <v>6.0458880652093452</v>
      </c>
      <c r="L13" s="712">
        <f>industrie!K18</f>
        <v>0</v>
      </c>
      <c r="M13" s="712">
        <f>industrie!L18</f>
        <v>0</v>
      </c>
      <c r="N13" s="712">
        <f>industrie!M18</f>
        <v>0</v>
      </c>
      <c r="O13" s="712">
        <f>industrie!N18</f>
        <v>455.58451231633217</v>
      </c>
      <c r="P13" s="712">
        <f>industrie!O18</f>
        <v>0</v>
      </c>
      <c r="Q13" s="713">
        <f>industrie!P18</f>
        <v>0</v>
      </c>
      <c r="R13" s="715">
        <f>SUM(C13:Q13)</f>
        <v>19024.604313965287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86353.162225458247</v>
      </c>
      <c r="D16" s="748">
        <f t="shared" ref="D16:R16" ca="1" si="0">SUM(D9:D15)</f>
        <v>0</v>
      </c>
      <c r="E16" s="748">
        <f t="shared" ca="1" si="0"/>
        <v>209565.91721630402</v>
      </c>
      <c r="F16" s="748">
        <f t="shared" si="0"/>
        <v>3755.4669145633138</v>
      </c>
      <c r="G16" s="748">
        <f t="shared" ca="1" si="0"/>
        <v>7204.8651713904728</v>
      </c>
      <c r="H16" s="748">
        <f t="shared" si="0"/>
        <v>0</v>
      </c>
      <c r="I16" s="748">
        <f t="shared" si="0"/>
        <v>0</v>
      </c>
      <c r="J16" s="748">
        <f t="shared" si="0"/>
        <v>0</v>
      </c>
      <c r="K16" s="748">
        <f t="shared" si="0"/>
        <v>6.083152486042076</v>
      </c>
      <c r="L16" s="748">
        <f t="shared" si="0"/>
        <v>0</v>
      </c>
      <c r="M16" s="748">
        <f t="shared" ca="1" si="0"/>
        <v>0</v>
      </c>
      <c r="N16" s="748">
        <f t="shared" si="0"/>
        <v>0</v>
      </c>
      <c r="O16" s="748">
        <f t="shared" ca="1" si="0"/>
        <v>15034.758679284314</v>
      </c>
      <c r="P16" s="748">
        <f t="shared" si="0"/>
        <v>343.09950238870368</v>
      </c>
      <c r="Q16" s="748">
        <f t="shared" si="0"/>
        <v>968.60162337930183</v>
      </c>
      <c r="R16" s="748">
        <f t="shared" ca="1" si="0"/>
        <v>323231.95448525448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2114.8245408761663</v>
      </c>
      <c r="I19" s="712">
        <f>transport!H54</f>
        <v>0</v>
      </c>
      <c r="J19" s="712">
        <f>transport!I54</f>
        <v>0</v>
      </c>
      <c r="K19" s="712">
        <f>transport!J54</f>
        <v>0</v>
      </c>
      <c r="L19" s="712">
        <f>transport!K54</f>
        <v>0</v>
      </c>
      <c r="M19" s="712">
        <f>transport!L54</f>
        <v>0</v>
      </c>
      <c r="N19" s="712">
        <f>transport!M54</f>
        <v>117.54218197437839</v>
      </c>
      <c r="O19" s="712">
        <f>transport!N54</f>
        <v>0</v>
      </c>
      <c r="P19" s="712">
        <f>transport!O54</f>
        <v>0</v>
      </c>
      <c r="Q19" s="713">
        <f>transport!P54</f>
        <v>0</v>
      </c>
      <c r="R19" s="715">
        <f>SUM(C19:Q19)</f>
        <v>2232.3667228505446</v>
      </c>
      <c r="S19" s="67"/>
    </row>
    <row r="20" spans="1:19" s="474" customFormat="1">
      <c r="A20" s="834" t="s">
        <v>306</v>
      </c>
      <c r="B20" s="839"/>
      <c r="C20" s="712">
        <f>transport!B14</f>
        <v>48.760246930555553</v>
      </c>
      <c r="D20" s="712">
        <f>transport!C14</f>
        <v>0</v>
      </c>
      <c r="E20" s="712">
        <f>transport!D14</f>
        <v>202.09342019481997</v>
      </c>
      <c r="F20" s="712">
        <f>transport!E14</f>
        <v>154.91651049569444</v>
      </c>
      <c r="G20" s="712">
        <f>transport!F14</f>
        <v>0</v>
      </c>
      <c r="H20" s="712">
        <f>transport!G14</f>
        <v>55129.091534931431</v>
      </c>
      <c r="I20" s="712">
        <f>transport!H14</f>
        <v>15026.098867728291</v>
      </c>
      <c r="J20" s="712">
        <f>transport!I14</f>
        <v>0</v>
      </c>
      <c r="K20" s="712">
        <f>transport!J14</f>
        <v>0</v>
      </c>
      <c r="L20" s="712">
        <f>transport!K14</f>
        <v>0</v>
      </c>
      <c r="M20" s="712">
        <f>transport!L14</f>
        <v>0</v>
      </c>
      <c r="N20" s="712">
        <f>transport!M14</f>
        <v>4166.4975326011436</v>
      </c>
      <c r="O20" s="712">
        <f>transport!N14</f>
        <v>0</v>
      </c>
      <c r="P20" s="712">
        <f>transport!O14</f>
        <v>0</v>
      </c>
      <c r="Q20" s="713">
        <f>transport!P14</f>
        <v>0</v>
      </c>
      <c r="R20" s="715">
        <f>SUM(C20:Q20)</f>
        <v>74727.458112881941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48.760246930555553</v>
      </c>
      <c r="D22" s="837">
        <f t="shared" ref="D22:R22" si="1">SUM(D18:D21)</f>
        <v>0</v>
      </c>
      <c r="E22" s="837">
        <f t="shared" si="1"/>
        <v>202.09342019481997</v>
      </c>
      <c r="F22" s="837">
        <f t="shared" si="1"/>
        <v>154.91651049569444</v>
      </c>
      <c r="G22" s="837">
        <f t="shared" si="1"/>
        <v>0</v>
      </c>
      <c r="H22" s="837">
        <f t="shared" si="1"/>
        <v>57243.916075807596</v>
      </c>
      <c r="I22" s="837">
        <f t="shared" si="1"/>
        <v>15026.098867728291</v>
      </c>
      <c r="J22" s="837">
        <f t="shared" si="1"/>
        <v>0</v>
      </c>
      <c r="K22" s="837">
        <f t="shared" si="1"/>
        <v>0</v>
      </c>
      <c r="L22" s="837">
        <f t="shared" si="1"/>
        <v>0</v>
      </c>
      <c r="M22" s="837">
        <f t="shared" si="1"/>
        <v>0</v>
      </c>
      <c r="N22" s="837">
        <f t="shared" si="1"/>
        <v>4284.0397145755223</v>
      </c>
      <c r="O22" s="837">
        <f t="shared" si="1"/>
        <v>0</v>
      </c>
      <c r="P22" s="837">
        <f t="shared" si="1"/>
        <v>0</v>
      </c>
      <c r="Q22" s="837">
        <f t="shared" si="1"/>
        <v>0</v>
      </c>
      <c r="R22" s="837">
        <f t="shared" si="1"/>
        <v>76959.824835732492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198.45632500000002</v>
      </c>
      <c r="D24" s="712">
        <f>+landbouw!C8</f>
        <v>0</v>
      </c>
      <c r="E24" s="712">
        <f>+landbouw!D8</f>
        <v>345.83189900599996</v>
      </c>
      <c r="F24" s="712">
        <f>+landbouw!E8</f>
        <v>6.1937564604275561</v>
      </c>
      <c r="G24" s="712">
        <f>+landbouw!F8</f>
        <v>701.36663694863239</v>
      </c>
      <c r="H24" s="712">
        <f>+landbouw!G8</f>
        <v>0</v>
      </c>
      <c r="I24" s="712">
        <f>+landbouw!H8</f>
        <v>0</v>
      </c>
      <c r="J24" s="712">
        <f>+landbouw!I8</f>
        <v>0</v>
      </c>
      <c r="K24" s="712">
        <f>+landbouw!J8</f>
        <v>54.676093820052216</v>
      </c>
      <c r="L24" s="712">
        <f>+landbouw!K8</f>
        <v>0</v>
      </c>
      <c r="M24" s="712">
        <f>+landbouw!L8</f>
        <v>0</v>
      </c>
      <c r="N24" s="712">
        <f>+landbouw!M8</f>
        <v>0</v>
      </c>
      <c r="O24" s="712">
        <f>+landbouw!N8</f>
        <v>0</v>
      </c>
      <c r="P24" s="712">
        <f>+landbouw!O8</f>
        <v>0</v>
      </c>
      <c r="Q24" s="713">
        <f>+landbouw!P8</f>
        <v>0</v>
      </c>
      <c r="R24" s="715">
        <f>SUM(C24:Q24)</f>
        <v>1306.5247112351121</v>
      </c>
      <c r="S24" s="67"/>
    </row>
    <row r="25" spans="1:19" s="474" customFormat="1" ht="15" thickBot="1">
      <c r="A25" s="856" t="s">
        <v>734</v>
      </c>
      <c r="B25" s="982"/>
      <c r="C25" s="983">
        <f>IF(Onbekend_ele_kWh="---",0,Onbekend_ele_kWh)/1000+IF(REST_rest_ele_kWh="---",0,REST_rest_ele_kWh)/1000</f>
        <v>1309.0227949999999</v>
      </c>
      <c r="D25" s="983"/>
      <c r="E25" s="983">
        <f>IF(onbekend_gas_kWh="---",0,onbekend_gas_kWh)/1000+IF(REST_rest_gas_kWh="---",0,REST_rest_gas_kWh)/1000</f>
        <v>4267.420607</v>
      </c>
      <c r="F25" s="983"/>
      <c r="G25" s="983"/>
      <c r="H25" s="983"/>
      <c r="I25" s="983"/>
      <c r="J25" s="983"/>
      <c r="K25" s="983"/>
      <c r="L25" s="983"/>
      <c r="M25" s="983"/>
      <c r="N25" s="983"/>
      <c r="O25" s="983"/>
      <c r="P25" s="983"/>
      <c r="Q25" s="984"/>
      <c r="R25" s="715">
        <f>SUM(C25:Q25)</f>
        <v>5576.4434019999999</v>
      </c>
      <c r="S25" s="67"/>
    </row>
    <row r="26" spans="1:19" s="474" customFormat="1" ht="15.75" thickBot="1">
      <c r="A26" s="720" t="s">
        <v>735</v>
      </c>
      <c r="B26" s="842"/>
      <c r="C26" s="837">
        <f>SUM(C24:C25)</f>
        <v>1507.47912</v>
      </c>
      <c r="D26" s="837">
        <f t="shared" ref="D26:R26" si="2">SUM(D24:D25)</f>
        <v>0</v>
      </c>
      <c r="E26" s="837">
        <f t="shared" si="2"/>
        <v>4613.2525060059997</v>
      </c>
      <c r="F26" s="837">
        <f t="shared" si="2"/>
        <v>6.1937564604275561</v>
      </c>
      <c r="G26" s="837">
        <f t="shared" si="2"/>
        <v>701.36663694863239</v>
      </c>
      <c r="H26" s="837">
        <f t="shared" si="2"/>
        <v>0</v>
      </c>
      <c r="I26" s="837">
        <f t="shared" si="2"/>
        <v>0</v>
      </c>
      <c r="J26" s="837">
        <f t="shared" si="2"/>
        <v>0</v>
      </c>
      <c r="K26" s="837">
        <f t="shared" si="2"/>
        <v>54.676093820052216</v>
      </c>
      <c r="L26" s="837">
        <f t="shared" si="2"/>
        <v>0</v>
      </c>
      <c r="M26" s="837">
        <f t="shared" si="2"/>
        <v>0</v>
      </c>
      <c r="N26" s="837">
        <f t="shared" si="2"/>
        <v>0</v>
      </c>
      <c r="O26" s="837">
        <f t="shared" si="2"/>
        <v>0</v>
      </c>
      <c r="P26" s="837">
        <f t="shared" si="2"/>
        <v>0</v>
      </c>
      <c r="Q26" s="837">
        <f t="shared" si="2"/>
        <v>0</v>
      </c>
      <c r="R26" s="837">
        <f t="shared" si="2"/>
        <v>6882.9681132351125</v>
      </c>
      <c r="S26" s="67"/>
    </row>
    <row r="27" spans="1:19" s="474" customFormat="1" ht="17.25" thickTop="1" thickBot="1">
      <c r="A27" s="721" t="s">
        <v>115</v>
      </c>
      <c r="B27" s="829"/>
      <c r="C27" s="722">
        <f ca="1">C22+C16+C26</f>
        <v>87909.401592388807</v>
      </c>
      <c r="D27" s="722">
        <f t="shared" ref="D27:R27" ca="1" si="3">D22+D16+D26</f>
        <v>0</v>
      </c>
      <c r="E27" s="722">
        <f t="shared" ca="1" si="3"/>
        <v>214381.26314250485</v>
      </c>
      <c r="F27" s="722">
        <f t="shared" si="3"/>
        <v>3916.5771815194362</v>
      </c>
      <c r="G27" s="722">
        <f t="shared" ca="1" si="3"/>
        <v>7906.2318083391056</v>
      </c>
      <c r="H27" s="722">
        <f t="shared" si="3"/>
        <v>57243.916075807596</v>
      </c>
      <c r="I27" s="722">
        <f t="shared" si="3"/>
        <v>15026.098867728291</v>
      </c>
      <c r="J27" s="722">
        <f t="shared" si="3"/>
        <v>0</v>
      </c>
      <c r="K27" s="722">
        <f t="shared" si="3"/>
        <v>60.75924630609429</v>
      </c>
      <c r="L27" s="722">
        <f t="shared" si="3"/>
        <v>0</v>
      </c>
      <c r="M27" s="722">
        <f t="shared" ca="1" si="3"/>
        <v>0</v>
      </c>
      <c r="N27" s="722">
        <f t="shared" si="3"/>
        <v>4284.0397145755223</v>
      </c>
      <c r="O27" s="722">
        <f t="shared" ca="1" si="3"/>
        <v>15034.758679284314</v>
      </c>
      <c r="P27" s="722">
        <f t="shared" si="3"/>
        <v>343.09950238870368</v>
      </c>
      <c r="Q27" s="722">
        <f t="shared" si="3"/>
        <v>968.60162337930183</v>
      </c>
      <c r="R27" s="722">
        <f t="shared" ca="1" si="3"/>
        <v>407074.74743422208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5828.5420277290659</v>
      </c>
      <c r="D40" s="712">
        <f ca="1">tertiair!C20</f>
        <v>0</v>
      </c>
      <c r="E40" s="712">
        <f ca="1">tertiair!D20</f>
        <v>9716.0808775150563</v>
      </c>
      <c r="F40" s="712">
        <f>tertiair!E20</f>
        <v>88.393969405005862</v>
      </c>
      <c r="G40" s="712">
        <f ca="1">tertiair!F20</f>
        <v>806.56829719236418</v>
      </c>
      <c r="H40" s="712">
        <f>tertiair!G20</f>
        <v>0</v>
      </c>
      <c r="I40" s="712">
        <f>tertiair!H20</f>
        <v>0</v>
      </c>
      <c r="J40" s="712">
        <f>tertiair!I20</f>
        <v>0</v>
      </c>
      <c r="K40" s="712">
        <f>tertiair!J20</f>
        <v>1.3191604974786653E-2</v>
      </c>
      <c r="L40" s="712">
        <f>tertiair!K20</f>
        <v>0</v>
      </c>
      <c r="M40" s="712">
        <f ca="1">tertiair!L20</f>
        <v>0</v>
      </c>
      <c r="N40" s="712">
        <f>tertiair!M20</f>
        <v>0</v>
      </c>
      <c r="O40" s="712">
        <f ca="1">tertiair!N20</f>
        <v>0</v>
      </c>
      <c r="P40" s="712">
        <f>tertiair!O20</f>
        <v>0</v>
      </c>
      <c r="Q40" s="795">
        <f>tertiair!P20</f>
        <v>0</v>
      </c>
      <c r="R40" s="875">
        <f t="shared" ca="1" si="4"/>
        <v>16439.598363446468</v>
      </c>
    </row>
    <row r="41" spans="1:18">
      <c r="A41" s="847" t="s">
        <v>224</v>
      </c>
      <c r="B41" s="854"/>
      <c r="C41" s="712">
        <f ca="1">huishoudens!B12</f>
        <v>10579.071157399674</v>
      </c>
      <c r="D41" s="712">
        <f ca="1">huishoudens!C12</f>
        <v>0</v>
      </c>
      <c r="E41" s="712">
        <f>huishoudens!D12</f>
        <v>31366.05819064899</v>
      </c>
      <c r="F41" s="712">
        <f>huishoudens!E12</f>
        <v>455.83081826766846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42400.960166316334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1409.6412454253837</v>
      </c>
      <c r="D43" s="712">
        <f ca="1">industrie!C22</f>
        <v>0</v>
      </c>
      <c r="E43" s="712">
        <f>industrie!D22</f>
        <v>1250.1762095293684</v>
      </c>
      <c r="F43" s="712">
        <f>industrie!E22</f>
        <v>308.26620193319792</v>
      </c>
      <c r="G43" s="712">
        <f>industrie!F22</f>
        <v>1117.1307035688922</v>
      </c>
      <c r="H43" s="712">
        <f>industrie!G22</f>
        <v>0</v>
      </c>
      <c r="I43" s="712">
        <f>industrie!H22</f>
        <v>0</v>
      </c>
      <c r="J43" s="712">
        <f>industrie!I22</f>
        <v>0</v>
      </c>
      <c r="K43" s="712">
        <f>industrie!J22</f>
        <v>2.1402443750841083</v>
      </c>
      <c r="L43" s="712">
        <f>industrie!K22</f>
        <v>0</v>
      </c>
      <c r="M43" s="712">
        <f>industrie!L22</f>
        <v>0</v>
      </c>
      <c r="N43" s="712">
        <f>industrie!M22</f>
        <v>0</v>
      </c>
      <c r="O43" s="712">
        <f>industrie!N22</f>
        <v>0</v>
      </c>
      <c r="P43" s="712">
        <f>industrie!O22</f>
        <v>0</v>
      </c>
      <c r="Q43" s="795">
        <f>industrie!P22</f>
        <v>0</v>
      </c>
      <c r="R43" s="874">
        <f t="shared" ca="1" si="4"/>
        <v>4087.3546048319258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17817.254430554123</v>
      </c>
      <c r="D46" s="748">
        <f t="shared" ref="D46:Q46" ca="1" si="5">SUM(D39:D45)</f>
        <v>0</v>
      </c>
      <c r="E46" s="748">
        <f t="shared" ca="1" si="5"/>
        <v>42332.315277693415</v>
      </c>
      <c r="F46" s="748">
        <f t="shared" si="5"/>
        <v>852.4909896058723</v>
      </c>
      <c r="G46" s="748">
        <f t="shared" ca="1" si="5"/>
        <v>1923.6990007612562</v>
      </c>
      <c r="H46" s="748">
        <f t="shared" si="5"/>
        <v>0</v>
      </c>
      <c r="I46" s="748">
        <f t="shared" si="5"/>
        <v>0</v>
      </c>
      <c r="J46" s="748">
        <f t="shared" si="5"/>
        <v>0</v>
      </c>
      <c r="K46" s="748">
        <f t="shared" si="5"/>
        <v>2.1534359800588949</v>
      </c>
      <c r="L46" s="748">
        <f t="shared" si="5"/>
        <v>0</v>
      </c>
      <c r="M46" s="748">
        <f t="shared" ca="1" si="5"/>
        <v>0</v>
      </c>
      <c r="N46" s="748">
        <f t="shared" si="5"/>
        <v>0</v>
      </c>
      <c r="O46" s="748">
        <f t="shared" ca="1" si="5"/>
        <v>0</v>
      </c>
      <c r="P46" s="748">
        <f t="shared" si="5"/>
        <v>0</v>
      </c>
      <c r="Q46" s="748">
        <f t="shared" si="5"/>
        <v>0</v>
      </c>
      <c r="R46" s="748">
        <f ca="1">SUM(R39:R45)</f>
        <v>62927.913134594724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564.65815241393648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564.65815241393648</v>
      </c>
    </row>
    <row r="50" spans="1:18">
      <c r="A50" s="850" t="s">
        <v>306</v>
      </c>
      <c r="B50" s="860"/>
      <c r="C50" s="718">
        <f ca="1">transport!B18</f>
        <v>10.060705401732539</v>
      </c>
      <c r="D50" s="718">
        <f>transport!C18</f>
        <v>0</v>
      </c>
      <c r="E50" s="718">
        <f>transport!D18</f>
        <v>40.822870879353637</v>
      </c>
      <c r="F50" s="718">
        <f>transport!E18</f>
        <v>35.166047882522641</v>
      </c>
      <c r="G50" s="718">
        <f>transport!F18</f>
        <v>0</v>
      </c>
      <c r="H50" s="718">
        <f>transport!G18</f>
        <v>14719.467439826692</v>
      </c>
      <c r="I50" s="718">
        <f>transport!H18</f>
        <v>3741.4986180643446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18547.015682054647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10.060705401732539</v>
      </c>
      <c r="D52" s="748">
        <f t="shared" ref="D52:Q52" ca="1" si="6">SUM(D48:D51)</f>
        <v>0</v>
      </c>
      <c r="E52" s="748">
        <f t="shared" si="6"/>
        <v>40.822870879353637</v>
      </c>
      <c r="F52" s="748">
        <f t="shared" si="6"/>
        <v>35.166047882522641</v>
      </c>
      <c r="G52" s="748">
        <f t="shared" si="6"/>
        <v>0</v>
      </c>
      <c r="H52" s="748">
        <f t="shared" si="6"/>
        <v>15284.125592240629</v>
      </c>
      <c r="I52" s="748">
        <f t="shared" si="6"/>
        <v>3741.4986180643446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19111.673834468584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40.94750840329143</v>
      </c>
      <c r="D54" s="718">
        <f ca="1">+landbouw!C12</f>
        <v>0</v>
      </c>
      <c r="E54" s="718">
        <f>+landbouw!D12</f>
        <v>69.858043599211996</v>
      </c>
      <c r="F54" s="718">
        <f>+landbouw!E12</f>
        <v>1.4059827165170553</v>
      </c>
      <c r="G54" s="718">
        <f>+landbouw!F12</f>
        <v>187.26489206528487</v>
      </c>
      <c r="H54" s="718">
        <f>+landbouw!G12</f>
        <v>0</v>
      </c>
      <c r="I54" s="718">
        <f>+landbouw!H12</f>
        <v>0</v>
      </c>
      <c r="J54" s="718">
        <f>+landbouw!I12</f>
        <v>0</v>
      </c>
      <c r="K54" s="718">
        <f>+landbouw!J12</f>
        <v>19.355337212298483</v>
      </c>
      <c r="L54" s="718">
        <f>+landbouw!K12</f>
        <v>0</v>
      </c>
      <c r="M54" s="718">
        <f>+landbouw!L12</f>
        <v>0</v>
      </c>
      <c r="N54" s="718">
        <f>+landbouw!M12</f>
        <v>0</v>
      </c>
      <c r="O54" s="718">
        <f>+landbouw!N12</f>
        <v>0</v>
      </c>
      <c r="P54" s="718">
        <f>+landbouw!O12</f>
        <v>0</v>
      </c>
      <c r="Q54" s="719">
        <f>+landbouw!P12</f>
        <v>0</v>
      </c>
      <c r="R54" s="747">
        <f ca="1">SUM(C54:Q54)</f>
        <v>318.8317639966038</v>
      </c>
    </row>
    <row r="55" spans="1:18" ht="15" thickBot="1">
      <c r="A55" s="850" t="s">
        <v>734</v>
      </c>
      <c r="B55" s="860"/>
      <c r="C55" s="718">
        <f ca="1">C25*'EF ele_warmte'!B12</f>
        <v>270.0907713491244</v>
      </c>
      <c r="D55" s="718"/>
      <c r="E55" s="718">
        <f>E25*EF_CO2_aardgas</f>
        <v>862.01896261400009</v>
      </c>
      <c r="F55" s="718"/>
      <c r="G55" s="718"/>
      <c r="H55" s="718"/>
      <c r="I55" s="718"/>
      <c r="J55" s="718"/>
      <c r="K55" s="718"/>
      <c r="L55" s="718"/>
      <c r="M55" s="718"/>
      <c r="N55" s="718"/>
      <c r="O55" s="718"/>
      <c r="P55" s="718"/>
      <c r="Q55" s="719"/>
      <c r="R55" s="747">
        <f ca="1">SUM(C55:Q55)</f>
        <v>1132.1097339631244</v>
      </c>
    </row>
    <row r="56" spans="1:18" ht="15.75" thickBot="1">
      <c r="A56" s="848" t="s">
        <v>735</v>
      </c>
      <c r="B56" s="861"/>
      <c r="C56" s="748">
        <f ca="1">SUM(C54:C55)</f>
        <v>311.0382797524158</v>
      </c>
      <c r="D56" s="748">
        <f t="shared" ref="D56:Q56" ca="1" si="7">SUM(D54:D55)</f>
        <v>0</v>
      </c>
      <c r="E56" s="748">
        <f t="shared" si="7"/>
        <v>931.8770062132121</v>
      </c>
      <c r="F56" s="748">
        <f t="shared" si="7"/>
        <v>1.4059827165170553</v>
      </c>
      <c r="G56" s="748">
        <f t="shared" si="7"/>
        <v>187.26489206528487</v>
      </c>
      <c r="H56" s="748">
        <f t="shared" si="7"/>
        <v>0</v>
      </c>
      <c r="I56" s="748">
        <f t="shared" si="7"/>
        <v>0</v>
      </c>
      <c r="J56" s="748">
        <f t="shared" si="7"/>
        <v>0</v>
      </c>
      <c r="K56" s="748">
        <f t="shared" si="7"/>
        <v>19.355337212298483</v>
      </c>
      <c r="L56" s="748">
        <f t="shared" si="7"/>
        <v>0</v>
      </c>
      <c r="M56" s="748">
        <f t="shared" si="7"/>
        <v>0</v>
      </c>
      <c r="N56" s="748">
        <f t="shared" si="7"/>
        <v>0</v>
      </c>
      <c r="O56" s="748">
        <f t="shared" si="7"/>
        <v>0</v>
      </c>
      <c r="P56" s="748">
        <f t="shared" si="7"/>
        <v>0</v>
      </c>
      <c r="Q56" s="749">
        <f t="shared" si="7"/>
        <v>0</v>
      </c>
      <c r="R56" s="750">
        <f ca="1">SUM(R54:R55)</f>
        <v>1450.9414979597282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18138.353415708269</v>
      </c>
      <c r="D61" s="756">
        <f t="shared" ref="D61:Q61" ca="1" si="8">D46+D52+D56</f>
        <v>0</v>
      </c>
      <c r="E61" s="756">
        <f t="shared" ca="1" si="8"/>
        <v>43305.015154785979</v>
      </c>
      <c r="F61" s="756">
        <f t="shared" si="8"/>
        <v>889.06302020491205</v>
      </c>
      <c r="G61" s="756">
        <f t="shared" ca="1" si="8"/>
        <v>2110.9638928265413</v>
      </c>
      <c r="H61" s="756">
        <f t="shared" si="8"/>
        <v>15284.125592240629</v>
      </c>
      <c r="I61" s="756">
        <f t="shared" si="8"/>
        <v>3741.4986180643446</v>
      </c>
      <c r="J61" s="756">
        <f t="shared" si="8"/>
        <v>0</v>
      </c>
      <c r="K61" s="756">
        <f t="shared" si="8"/>
        <v>21.508773192357378</v>
      </c>
      <c r="L61" s="756">
        <f t="shared" si="8"/>
        <v>0</v>
      </c>
      <c r="M61" s="756">
        <f t="shared" ca="1" si="8"/>
        <v>0</v>
      </c>
      <c r="N61" s="756">
        <f t="shared" si="8"/>
        <v>0</v>
      </c>
      <c r="O61" s="756">
        <f t="shared" ca="1" si="8"/>
        <v>0</v>
      </c>
      <c r="P61" s="756">
        <f t="shared" si="8"/>
        <v>0</v>
      </c>
      <c r="Q61" s="756">
        <f t="shared" si="8"/>
        <v>0</v>
      </c>
      <c r="R61" s="756">
        <f ca="1">R46+R52+R56</f>
        <v>83490.528467023047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0.20633007490837801</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5835.4042362427808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5835.4042362427808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5835.4042362427808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5835.4042362427808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51272.56005745825</v>
      </c>
      <c r="C4" s="478">
        <f>huishoudens!C8</f>
        <v>0</v>
      </c>
      <c r="D4" s="478">
        <f>huishoudens!D8</f>
        <v>155277.51579529201</v>
      </c>
      <c r="E4" s="478">
        <f>huishoudens!E8</f>
        <v>2008.0652787121958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13098.185186471059</v>
      </c>
      <c r="O4" s="478">
        <f>huishoudens!O8</f>
        <v>333.30498085702135</v>
      </c>
      <c r="P4" s="479">
        <f>huishoudens!P8</f>
        <v>758.44507015332169</v>
      </c>
      <c r="Q4" s="480">
        <f>SUM(B4:P4)</f>
        <v>222748.0763689439</v>
      </c>
    </row>
    <row r="5" spans="1:17">
      <c r="A5" s="477" t="s">
        <v>155</v>
      </c>
      <c r="B5" s="478">
        <f ca="1">tertiair!B16</f>
        <v>26990.255406</v>
      </c>
      <c r="C5" s="478">
        <f ca="1">tertiair!C16</f>
        <v>0</v>
      </c>
      <c r="D5" s="478">
        <f ca="1">tertiair!D16</f>
        <v>48099.410284728001</v>
      </c>
      <c r="E5" s="478">
        <f>tertiair!E16</f>
        <v>389.40074627755882</v>
      </c>
      <c r="F5" s="478">
        <f ca="1">tertiair!F16</f>
        <v>3020.8550456642852</v>
      </c>
      <c r="G5" s="478">
        <f>tertiair!G16</f>
        <v>0</v>
      </c>
      <c r="H5" s="478">
        <f>tertiair!H16</f>
        <v>0</v>
      </c>
      <c r="I5" s="478">
        <f>tertiair!I16</f>
        <v>0</v>
      </c>
      <c r="J5" s="478">
        <f>tertiair!J16</f>
        <v>3.7264420832730662E-2</v>
      </c>
      <c r="K5" s="478">
        <f>tertiair!K16</f>
        <v>0</v>
      </c>
      <c r="L5" s="478">
        <f ca="1">tertiair!L16</f>
        <v>0</v>
      </c>
      <c r="M5" s="478">
        <f>tertiair!M16</f>
        <v>0</v>
      </c>
      <c r="N5" s="478">
        <f ca="1">tertiair!N16</f>
        <v>1480.9889804969221</v>
      </c>
      <c r="O5" s="478">
        <f>tertiair!O16</f>
        <v>9.7945215316823084</v>
      </c>
      <c r="P5" s="479">
        <f>tertiair!P16</f>
        <v>210.15655322598008</v>
      </c>
      <c r="Q5" s="477">
        <f t="shared" ref="Q5:Q14" ca="1" si="0">SUM(B5:P5)</f>
        <v>80200.898802345269</v>
      </c>
    </row>
    <row r="6" spans="1:17">
      <c r="A6" s="477" t="s">
        <v>193</v>
      </c>
      <c r="B6" s="478">
        <f>'openbare verlichting'!B8</f>
        <v>1258.375</v>
      </c>
      <c r="C6" s="478"/>
      <c r="D6" s="478"/>
      <c r="E6" s="478"/>
      <c r="F6" s="478"/>
      <c r="G6" s="478"/>
      <c r="H6" s="478"/>
      <c r="I6" s="478"/>
      <c r="J6" s="478"/>
      <c r="K6" s="478"/>
      <c r="L6" s="478"/>
      <c r="M6" s="478"/>
      <c r="N6" s="478"/>
      <c r="O6" s="478"/>
      <c r="P6" s="479"/>
      <c r="Q6" s="477">
        <f t="shared" si="0"/>
        <v>1258.375</v>
      </c>
    </row>
    <row r="7" spans="1:17">
      <c r="A7" s="477" t="s">
        <v>111</v>
      </c>
      <c r="B7" s="478">
        <f>landbouw!B8</f>
        <v>198.45632500000002</v>
      </c>
      <c r="C7" s="478">
        <f>landbouw!C8</f>
        <v>0</v>
      </c>
      <c r="D7" s="478">
        <f>landbouw!D8</f>
        <v>345.83189900599996</v>
      </c>
      <c r="E7" s="478">
        <f>landbouw!E8</f>
        <v>6.1937564604275561</v>
      </c>
      <c r="F7" s="478">
        <f>landbouw!F8</f>
        <v>701.36663694863239</v>
      </c>
      <c r="G7" s="478">
        <f>landbouw!G8</f>
        <v>0</v>
      </c>
      <c r="H7" s="478">
        <f>landbouw!H8</f>
        <v>0</v>
      </c>
      <c r="I7" s="478">
        <f>landbouw!I8</f>
        <v>0</v>
      </c>
      <c r="J7" s="478">
        <f>landbouw!J8</f>
        <v>54.676093820052216</v>
      </c>
      <c r="K7" s="478">
        <f>landbouw!K8</f>
        <v>0</v>
      </c>
      <c r="L7" s="478">
        <f>landbouw!L8</f>
        <v>0</v>
      </c>
      <c r="M7" s="478">
        <f>landbouw!M8</f>
        <v>0</v>
      </c>
      <c r="N7" s="478">
        <f>landbouw!N8</f>
        <v>0</v>
      </c>
      <c r="O7" s="478">
        <f>landbouw!O8</f>
        <v>0</v>
      </c>
      <c r="P7" s="479">
        <f>landbouw!P8</f>
        <v>0</v>
      </c>
      <c r="Q7" s="477">
        <f t="shared" si="0"/>
        <v>1306.5247112351121</v>
      </c>
    </row>
    <row r="8" spans="1:17">
      <c r="A8" s="477" t="s">
        <v>629</v>
      </c>
      <c r="B8" s="478">
        <f>industrie!B18</f>
        <v>6831.9717620000001</v>
      </c>
      <c r="C8" s="478">
        <f>industrie!C18</f>
        <v>0</v>
      </c>
      <c r="D8" s="478">
        <f>industrie!D18</f>
        <v>6188.9911362840012</v>
      </c>
      <c r="E8" s="478">
        <f>industrie!E18</f>
        <v>1358.0008895735591</v>
      </c>
      <c r="F8" s="478">
        <f>industrie!F18</f>
        <v>4184.0101257261877</v>
      </c>
      <c r="G8" s="478">
        <f>industrie!G18</f>
        <v>0</v>
      </c>
      <c r="H8" s="478">
        <f>industrie!H18</f>
        <v>0</v>
      </c>
      <c r="I8" s="478">
        <f>industrie!I18</f>
        <v>0</v>
      </c>
      <c r="J8" s="478">
        <f>industrie!J18</f>
        <v>6.0458880652093452</v>
      </c>
      <c r="K8" s="478">
        <f>industrie!K18</f>
        <v>0</v>
      </c>
      <c r="L8" s="478">
        <f>industrie!L18</f>
        <v>0</v>
      </c>
      <c r="M8" s="478">
        <f>industrie!M18</f>
        <v>0</v>
      </c>
      <c r="N8" s="478">
        <f>industrie!N18</f>
        <v>455.58451231633217</v>
      </c>
      <c r="O8" s="478">
        <f>industrie!O18</f>
        <v>0</v>
      </c>
      <c r="P8" s="479">
        <f>industrie!P18</f>
        <v>0</v>
      </c>
      <c r="Q8" s="477">
        <f t="shared" si="0"/>
        <v>19024.604313965287</v>
      </c>
    </row>
    <row r="9" spans="1:17" s="483" customFormat="1">
      <c r="A9" s="481" t="s">
        <v>555</v>
      </c>
      <c r="B9" s="482">
        <f>transport!B14</f>
        <v>48.760246930555553</v>
      </c>
      <c r="C9" s="482">
        <f>transport!C14</f>
        <v>0</v>
      </c>
      <c r="D9" s="482">
        <f>transport!D14</f>
        <v>202.09342019481997</v>
      </c>
      <c r="E9" s="482">
        <f>transport!E14</f>
        <v>154.91651049569444</v>
      </c>
      <c r="F9" s="482">
        <f>transport!F14</f>
        <v>0</v>
      </c>
      <c r="G9" s="482">
        <f>transport!G14</f>
        <v>55129.091534931431</v>
      </c>
      <c r="H9" s="482">
        <f>transport!H14</f>
        <v>15026.098867728291</v>
      </c>
      <c r="I9" s="482">
        <f>transport!I14</f>
        <v>0</v>
      </c>
      <c r="J9" s="482">
        <f>transport!J14</f>
        <v>0</v>
      </c>
      <c r="K9" s="482">
        <f>transport!K14</f>
        <v>0</v>
      </c>
      <c r="L9" s="482">
        <f>transport!L14</f>
        <v>0</v>
      </c>
      <c r="M9" s="482">
        <f>transport!M14</f>
        <v>4166.4975326011436</v>
      </c>
      <c r="N9" s="482">
        <f>transport!N14</f>
        <v>0</v>
      </c>
      <c r="O9" s="482">
        <f>transport!O14</f>
        <v>0</v>
      </c>
      <c r="P9" s="482">
        <f>transport!P14</f>
        <v>0</v>
      </c>
      <c r="Q9" s="481">
        <f>SUM(B9:P9)</f>
        <v>74727.458112881941</v>
      </c>
    </row>
    <row r="10" spans="1:17">
      <c r="A10" s="477" t="s">
        <v>545</v>
      </c>
      <c r="B10" s="478">
        <f>transport!B54</f>
        <v>0</v>
      </c>
      <c r="C10" s="478">
        <f>transport!C54</f>
        <v>0</v>
      </c>
      <c r="D10" s="478">
        <f>transport!D54</f>
        <v>0</v>
      </c>
      <c r="E10" s="478">
        <f>transport!E54</f>
        <v>0</v>
      </c>
      <c r="F10" s="478">
        <f>transport!F54</f>
        <v>0</v>
      </c>
      <c r="G10" s="478">
        <f>transport!G54</f>
        <v>2114.8245408761663</v>
      </c>
      <c r="H10" s="478">
        <f>transport!H54</f>
        <v>0</v>
      </c>
      <c r="I10" s="478">
        <f>transport!I54</f>
        <v>0</v>
      </c>
      <c r="J10" s="478">
        <f>transport!J54</f>
        <v>0</v>
      </c>
      <c r="K10" s="478">
        <f>transport!K54</f>
        <v>0</v>
      </c>
      <c r="L10" s="478">
        <f>transport!L54</f>
        <v>0</v>
      </c>
      <c r="M10" s="478">
        <f>transport!M54</f>
        <v>117.54218197437839</v>
      </c>
      <c r="N10" s="478">
        <f>transport!N54</f>
        <v>0</v>
      </c>
      <c r="O10" s="478">
        <f>transport!O54</f>
        <v>0</v>
      </c>
      <c r="P10" s="479">
        <f>transport!P54</f>
        <v>0</v>
      </c>
      <c r="Q10" s="477">
        <f t="shared" si="0"/>
        <v>2232.3667228505446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1309.0227949999999</v>
      </c>
      <c r="C14" s="485"/>
      <c r="D14" s="485">
        <f>'SEAP template'!E25</f>
        <v>4267.420607</v>
      </c>
      <c r="E14" s="485"/>
      <c r="F14" s="485"/>
      <c r="G14" s="485"/>
      <c r="H14" s="485"/>
      <c r="I14" s="485"/>
      <c r="J14" s="485"/>
      <c r="K14" s="485"/>
      <c r="L14" s="485"/>
      <c r="M14" s="485"/>
      <c r="N14" s="485"/>
      <c r="O14" s="485"/>
      <c r="P14" s="486"/>
      <c r="Q14" s="477">
        <f t="shared" si="0"/>
        <v>5576.4434019999999</v>
      </c>
    </row>
    <row r="15" spans="1:17" s="489" customFormat="1">
      <c r="A15" s="487" t="s">
        <v>549</v>
      </c>
      <c r="B15" s="488">
        <f ca="1">SUM(B4:B14)</f>
        <v>87909.401592388807</v>
      </c>
      <c r="C15" s="488">
        <f t="shared" ref="C15:Q15" ca="1" si="1">SUM(C4:C14)</f>
        <v>0</v>
      </c>
      <c r="D15" s="488">
        <f t="shared" ca="1" si="1"/>
        <v>214381.26314250485</v>
      </c>
      <c r="E15" s="488">
        <f t="shared" si="1"/>
        <v>3916.5771815194362</v>
      </c>
      <c r="F15" s="488">
        <f t="shared" ca="1" si="1"/>
        <v>7906.2318083391056</v>
      </c>
      <c r="G15" s="488">
        <f t="shared" si="1"/>
        <v>57243.916075807596</v>
      </c>
      <c r="H15" s="488">
        <f t="shared" si="1"/>
        <v>15026.098867728291</v>
      </c>
      <c r="I15" s="488">
        <f t="shared" si="1"/>
        <v>0</v>
      </c>
      <c r="J15" s="488">
        <f t="shared" si="1"/>
        <v>60.75924630609429</v>
      </c>
      <c r="K15" s="488">
        <f t="shared" si="1"/>
        <v>0</v>
      </c>
      <c r="L15" s="488">
        <f t="shared" ca="1" si="1"/>
        <v>0</v>
      </c>
      <c r="M15" s="488">
        <f t="shared" si="1"/>
        <v>4284.0397145755223</v>
      </c>
      <c r="N15" s="488">
        <f t="shared" ca="1" si="1"/>
        <v>15034.758679284314</v>
      </c>
      <c r="O15" s="488">
        <f t="shared" si="1"/>
        <v>343.09950238870368</v>
      </c>
      <c r="P15" s="488">
        <f t="shared" si="1"/>
        <v>968.60162337930183</v>
      </c>
      <c r="Q15" s="488">
        <f t="shared" ca="1" si="1"/>
        <v>407074.74743422208</v>
      </c>
    </row>
    <row r="17" spans="1:17">
      <c r="A17" s="490" t="s">
        <v>550</v>
      </c>
      <c r="B17" s="807">
        <f ca="1">huishoudens!B10</f>
        <v>0.20633007490837807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10579.071157399674</v>
      </c>
      <c r="C22" s="478">
        <f t="shared" ref="C22:C32" ca="1" si="3">C4*$C$17</f>
        <v>0</v>
      </c>
      <c r="D22" s="478">
        <f t="shared" ref="D22:D32" si="4">D4*$D$17</f>
        <v>31366.05819064899</v>
      </c>
      <c r="E22" s="478">
        <f t="shared" ref="E22:E32" si="5">E4*$E$17</f>
        <v>455.83081826766846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42400.960166316334</v>
      </c>
    </row>
    <row r="23" spans="1:17">
      <c r="A23" s="477" t="s">
        <v>155</v>
      </c>
      <c r="B23" s="478">
        <f t="shared" ca="1" si="2"/>
        <v>5568.901419716236</v>
      </c>
      <c r="C23" s="478">
        <f t="shared" ca="1" si="3"/>
        <v>0</v>
      </c>
      <c r="D23" s="478">
        <f t="shared" ca="1" si="4"/>
        <v>9716.0808775150563</v>
      </c>
      <c r="E23" s="478">
        <f t="shared" si="5"/>
        <v>88.393969405005862</v>
      </c>
      <c r="F23" s="478">
        <f t="shared" ca="1" si="6"/>
        <v>806.56829719236418</v>
      </c>
      <c r="G23" s="478">
        <f t="shared" si="7"/>
        <v>0</v>
      </c>
      <c r="H23" s="478">
        <f t="shared" si="8"/>
        <v>0</v>
      </c>
      <c r="I23" s="478">
        <f t="shared" si="9"/>
        <v>0</v>
      </c>
      <c r="J23" s="478">
        <f t="shared" si="10"/>
        <v>1.3191604974786653E-2</v>
      </c>
      <c r="K23" s="478">
        <f t="shared" si="11"/>
        <v>0</v>
      </c>
      <c r="L23" s="478">
        <f t="shared" ca="1" si="12"/>
        <v>0</v>
      </c>
      <c r="M23" s="478">
        <f t="shared" si="13"/>
        <v>0</v>
      </c>
      <c r="N23" s="478">
        <f t="shared" ca="1" si="14"/>
        <v>0</v>
      </c>
      <c r="O23" s="478">
        <f t="shared" si="15"/>
        <v>0</v>
      </c>
      <c r="P23" s="479">
        <f t="shared" si="16"/>
        <v>0</v>
      </c>
      <c r="Q23" s="477">
        <f t="shared" ref="Q23:Q31" ca="1" si="17">SUM(B23:P23)</f>
        <v>16179.957755433636</v>
      </c>
    </row>
    <row r="24" spans="1:17">
      <c r="A24" s="477" t="s">
        <v>193</v>
      </c>
      <c r="B24" s="478">
        <f t="shared" ca="1" si="2"/>
        <v>259.64060801283023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259.64060801283023</v>
      </c>
    </row>
    <row r="25" spans="1:17">
      <c r="A25" s="477" t="s">
        <v>111</v>
      </c>
      <c r="B25" s="478">
        <f t="shared" ca="1" si="2"/>
        <v>40.94750840329143</v>
      </c>
      <c r="C25" s="478">
        <f t="shared" ca="1" si="3"/>
        <v>0</v>
      </c>
      <c r="D25" s="478">
        <f t="shared" si="4"/>
        <v>69.858043599211996</v>
      </c>
      <c r="E25" s="478">
        <f t="shared" si="5"/>
        <v>1.4059827165170553</v>
      </c>
      <c r="F25" s="478">
        <f t="shared" si="6"/>
        <v>187.26489206528487</v>
      </c>
      <c r="G25" s="478">
        <f t="shared" si="7"/>
        <v>0</v>
      </c>
      <c r="H25" s="478">
        <f t="shared" si="8"/>
        <v>0</v>
      </c>
      <c r="I25" s="478">
        <f t="shared" si="9"/>
        <v>0</v>
      </c>
      <c r="J25" s="478">
        <f t="shared" si="10"/>
        <v>19.355337212298483</v>
      </c>
      <c r="K25" s="478">
        <f t="shared" si="11"/>
        <v>0</v>
      </c>
      <c r="L25" s="478">
        <f t="shared" si="12"/>
        <v>0</v>
      </c>
      <c r="M25" s="478">
        <f t="shared" si="13"/>
        <v>0</v>
      </c>
      <c r="N25" s="478">
        <f t="shared" si="14"/>
        <v>0</v>
      </c>
      <c r="O25" s="478">
        <f t="shared" si="15"/>
        <v>0</v>
      </c>
      <c r="P25" s="479">
        <f t="shared" si="16"/>
        <v>0</v>
      </c>
      <c r="Q25" s="477">
        <f t="shared" ca="1" si="17"/>
        <v>318.8317639966038</v>
      </c>
    </row>
    <row r="26" spans="1:17">
      <c r="A26" s="477" t="s">
        <v>629</v>
      </c>
      <c r="B26" s="478">
        <f t="shared" ca="1" si="2"/>
        <v>1409.6412454253837</v>
      </c>
      <c r="C26" s="478">
        <f t="shared" ca="1" si="3"/>
        <v>0</v>
      </c>
      <c r="D26" s="478">
        <f t="shared" si="4"/>
        <v>1250.1762095293684</v>
      </c>
      <c r="E26" s="478">
        <f t="shared" si="5"/>
        <v>308.26620193319792</v>
      </c>
      <c r="F26" s="478">
        <f t="shared" si="6"/>
        <v>1117.1307035688922</v>
      </c>
      <c r="G26" s="478">
        <f t="shared" si="7"/>
        <v>0</v>
      </c>
      <c r="H26" s="478">
        <f t="shared" si="8"/>
        <v>0</v>
      </c>
      <c r="I26" s="478">
        <f t="shared" si="9"/>
        <v>0</v>
      </c>
      <c r="J26" s="478">
        <f t="shared" si="10"/>
        <v>2.1402443750841083</v>
      </c>
      <c r="K26" s="478">
        <f t="shared" si="11"/>
        <v>0</v>
      </c>
      <c r="L26" s="478">
        <f t="shared" si="12"/>
        <v>0</v>
      </c>
      <c r="M26" s="478">
        <f t="shared" si="13"/>
        <v>0</v>
      </c>
      <c r="N26" s="478">
        <f t="shared" si="14"/>
        <v>0</v>
      </c>
      <c r="O26" s="478">
        <f t="shared" si="15"/>
        <v>0</v>
      </c>
      <c r="P26" s="479">
        <f t="shared" si="16"/>
        <v>0</v>
      </c>
      <c r="Q26" s="477">
        <f t="shared" ca="1" si="17"/>
        <v>4087.3546048319258</v>
      </c>
    </row>
    <row r="27" spans="1:17" s="483" customFormat="1">
      <c r="A27" s="481" t="s">
        <v>555</v>
      </c>
      <c r="B27" s="801">
        <f t="shared" ca="1" si="2"/>
        <v>10.060705401732539</v>
      </c>
      <c r="C27" s="482">
        <f t="shared" ca="1" si="3"/>
        <v>0</v>
      </c>
      <c r="D27" s="482">
        <f t="shared" si="4"/>
        <v>40.822870879353637</v>
      </c>
      <c r="E27" s="482">
        <f t="shared" si="5"/>
        <v>35.166047882522641</v>
      </c>
      <c r="F27" s="482">
        <f t="shared" si="6"/>
        <v>0</v>
      </c>
      <c r="G27" s="482">
        <f t="shared" si="7"/>
        <v>14719.467439826692</v>
      </c>
      <c r="H27" s="482">
        <f t="shared" si="8"/>
        <v>3741.4986180643446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18547.015682054647</v>
      </c>
    </row>
    <row r="28" spans="1:17" ht="16.5" customHeight="1">
      <c r="A28" s="477" t="s">
        <v>545</v>
      </c>
      <c r="B28" s="478">
        <f t="shared" ca="1" si="2"/>
        <v>0</v>
      </c>
      <c r="C28" s="478">
        <f t="shared" ca="1" si="3"/>
        <v>0</v>
      </c>
      <c r="D28" s="478">
        <f t="shared" si="4"/>
        <v>0</v>
      </c>
      <c r="E28" s="478">
        <f t="shared" si="5"/>
        <v>0</v>
      </c>
      <c r="F28" s="478">
        <f t="shared" si="6"/>
        <v>0</v>
      </c>
      <c r="G28" s="478">
        <f t="shared" si="7"/>
        <v>564.65815241393648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564.65815241393648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270.0907713491244</v>
      </c>
      <c r="C32" s="478">
        <f t="shared" ca="1" si="3"/>
        <v>0</v>
      </c>
      <c r="D32" s="478">
        <f t="shared" si="4"/>
        <v>862.01896261400009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1132.1097339631244</v>
      </c>
    </row>
    <row r="33" spans="1:17" s="489" customFormat="1">
      <c r="A33" s="487" t="s">
        <v>549</v>
      </c>
      <c r="B33" s="488">
        <f ca="1">SUM(B22:B32)</f>
        <v>18138.353415708272</v>
      </c>
      <c r="C33" s="488">
        <f t="shared" ref="C33:Q33" ca="1" si="19">SUM(C22:C32)</f>
        <v>0</v>
      </c>
      <c r="D33" s="488">
        <f t="shared" ca="1" si="19"/>
        <v>43305.015154785979</v>
      </c>
      <c r="E33" s="488">
        <f t="shared" si="19"/>
        <v>889.06302020491194</v>
      </c>
      <c r="F33" s="488">
        <f t="shared" ca="1" si="19"/>
        <v>2110.9638928265413</v>
      </c>
      <c r="G33" s="488">
        <f t="shared" si="19"/>
        <v>15284.125592240629</v>
      </c>
      <c r="H33" s="488">
        <f t="shared" si="19"/>
        <v>3741.4986180643446</v>
      </c>
      <c r="I33" s="488">
        <f t="shared" si="19"/>
        <v>0</v>
      </c>
      <c r="J33" s="488">
        <f t="shared" si="19"/>
        <v>21.508773192357378</v>
      </c>
      <c r="K33" s="488">
        <f t="shared" si="19"/>
        <v>0</v>
      </c>
      <c r="L33" s="488">
        <f t="shared" ca="1" si="19"/>
        <v>0</v>
      </c>
      <c r="M33" s="488">
        <f t="shared" si="19"/>
        <v>0</v>
      </c>
      <c r="N33" s="488">
        <f t="shared" ca="1" si="19"/>
        <v>0</v>
      </c>
      <c r="O33" s="488">
        <f t="shared" si="19"/>
        <v>0</v>
      </c>
      <c r="P33" s="488">
        <f t="shared" si="19"/>
        <v>0</v>
      </c>
      <c r="Q33" s="488">
        <f t="shared" ca="1" si="19"/>
        <v>83490.528467023032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5835.4042362427808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5835.4042362427808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0.20633007490837807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0.20633007490837807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2019-06-29T17:07:51Z</dcterms:modified>
</cp:coreProperties>
</file>