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E19"/>
  <c r="F89" i="14" s="1"/>
  <c r="F19" i="61" s="1"/>
  <c r="D19" i="18"/>
  <c r="E89" i="14" s="1"/>
  <c r="E19" i="61" s="1"/>
  <c r="C19" i="18"/>
  <c r="D89" i="14" s="1"/>
  <c r="D19" i="61" s="1"/>
  <c r="B19" i="18"/>
  <c r="N18"/>
  <c r="L88" i="14" s="1"/>
  <c r="M18" i="18"/>
  <c r="L18"/>
  <c r="L20" s="1"/>
  <c r="K18"/>
  <c r="J18"/>
  <c r="I18"/>
  <c r="H18"/>
  <c r="G18"/>
  <c r="H88" i="14" s="1"/>
  <c r="H18" i="61" s="1"/>
  <c r="F18" i="18"/>
  <c r="G88" i="14" s="1"/>
  <c r="G18" i="61" s="1"/>
  <c r="E18" i="18"/>
  <c r="D18"/>
  <c r="D20" s="1"/>
  <c r="C18"/>
  <c r="B18"/>
  <c r="L9"/>
  <c r="L10" s="1"/>
  <c r="K9"/>
  <c r="N77" i="14" s="1"/>
  <c r="G9" i="18"/>
  <c r="F9"/>
  <c r="F10" s="1"/>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U61"/>
  <c r="T61"/>
  <c r="S61"/>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K10"/>
  <c r="G10"/>
  <c r="E77" i="14"/>
  <c r="E9" i="61" s="1"/>
  <c r="B8" i="18"/>
  <c r="B6"/>
  <c r="B5"/>
  <c r="B4"/>
  <c r="N6" i="17"/>
  <c r="C6"/>
  <c r="B19" i="6"/>
  <c r="B18"/>
  <c r="B5"/>
  <c r="B6"/>
  <c r="C64" i="14" s="1"/>
  <c r="D14" i="48"/>
  <c r="B14"/>
  <c r="Q14" s="1"/>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Q22" s="1"/>
  <c r="P19"/>
  <c r="P22" s="1"/>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C25"/>
  <c r="H26"/>
  <c r="L22"/>
  <c r="G22"/>
  <c r="R12"/>
  <c r="D5" i="17"/>
  <c r="N78" i="14" l="1"/>
  <c r="N9" i="61"/>
  <c r="L78" i="14"/>
  <c r="L8" i="61"/>
  <c r="L10" s="1"/>
  <c r="K78" i="14"/>
  <c r="K8" i="61"/>
  <c r="K10" s="1"/>
  <c r="L90" i="14"/>
  <c r="L18" i="61"/>
  <c r="L20"/>
  <c r="K20"/>
  <c r="Q11" i="48"/>
  <c r="O25"/>
  <c r="N10" i="61"/>
  <c r="O32" i="48"/>
  <c r="C98" i="18"/>
  <c r="D101" s="1"/>
  <c r="D13" i="15"/>
  <c r="O77" i="14"/>
  <c r="O9" i="61" s="1"/>
  <c r="O10" s="1"/>
  <c r="E88" i="14"/>
  <c r="O30" i="48"/>
  <c r="N20" i="61"/>
  <c r="K90" i="14"/>
  <c r="K22"/>
  <c r="P27" i="48"/>
  <c r="B10" i="18"/>
  <c r="M77" i="14"/>
  <c r="M9" i="61" s="1"/>
  <c r="H9" i="18"/>
  <c r="O9" s="1"/>
  <c r="B17"/>
  <c r="B20" s="1"/>
  <c r="F13" i="15"/>
  <c r="O22" i="14"/>
  <c r="G77"/>
  <c r="G9" i="61" s="1"/>
  <c r="G10" s="1"/>
  <c r="H20"/>
  <c r="P25" i="48"/>
  <c r="I77" i="14"/>
  <c r="I9" i="61" s="1"/>
  <c r="L13" i="15"/>
  <c r="B13"/>
  <c r="H90" i="14"/>
  <c r="N13" i="15"/>
  <c r="F77" i="14"/>
  <c r="F9" i="61" s="1"/>
  <c r="F101" i="18"/>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0" l="1"/>
  <c r="O18" i="61"/>
  <c r="O20" s="1"/>
  <c r="E90" i="14"/>
  <c r="E18" i="61"/>
  <c r="E20" s="1"/>
  <c r="B101" i="18"/>
  <c r="C8" s="1"/>
  <c r="C10" s="1"/>
  <c r="I101"/>
  <c r="H8" s="1"/>
  <c r="H10" s="1"/>
  <c r="E101"/>
  <c r="E8" s="1"/>
  <c r="F76" i="14" s="1"/>
  <c r="G101" i="18"/>
  <c r="I8" s="1"/>
  <c r="H78" i="14"/>
  <c r="H9" i="61"/>
  <c r="H10" s="1"/>
  <c r="O78" i="14"/>
  <c r="H101" i="18"/>
  <c r="B88" i="14"/>
  <c r="B18" i="61" s="1"/>
  <c r="B77" i="14"/>
  <c r="B9" i="61" s="1"/>
  <c r="Q77" i="14"/>
  <c r="P9" i="61" s="1"/>
  <c r="J17" i="18"/>
  <c r="H20"/>
  <c r="M87" i="14"/>
  <c r="J8" i="18"/>
  <c r="M76" i="14"/>
  <c r="E20" i="18"/>
  <c r="F87" i="14"/>
  <c r="C77"/>
  <c r="C9" i="61" s="1"/>
  <c r="C20" i="18"/>
  <c r="D87" i="14"/>
  <c r="D17" i="61" s="1"/>
  <c r="D20" s="1"/>
  <c r="D76" i="14"/>
  <c r="D8" i="61" s="1"/>
  <c r="D10" s="1"/>
  <c r="C88" i="14"/>
  <c r="C18" i="61" s="1"/>
  <c r="E10" i="18"/>
  <c r="I17"/>
  <c r="I10"/>
  <c r="I76" i="14"/>
  <c r="I8" i="61" s="1"/>
  <c r="I10" s="1"/>
  <c r="Q88" i="14"/>
  <c r="P18" i="61" s="1"/>
  <c r="AC15" i="5"/>
  <c r="F78" i="14" l="1"/>
  <c r="F8" i="61"/>
  <c r="F10" s="1"/>
  <c r="M90" i="14"/>
  <c r="M17" i="61"/>
  <c r="M20" s="1"/>
  <c r="M78" i="14"/>
  <c r="M8" i="61"/>
  <c r="M10" s="1"/>
  <c r="F90" i="14"/>
  <c r="F17" i="61"/>
  <c r="F20" s="1"/>
  <c r="O8" i="18"/>
  <c r="O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4"/>
  <c r="H30"/>
  <c r="H28"/>
  <c r="H26"/>
  <c r="H22"/>
  <c r="H25"/>
  <c r="H23"/>
  <c r="D11" i="14"/>
  <c r="C4" i="48"/>
  <c r="G23"/>
  <c r="G32"/>
  <c r="G22"/>
  <c r="G30"/>
  <c r="G29"/>
  <c r="G26"/>
  <c r="G24"/>
  <c r="G25"/>
  <c r="B4"/>
  <c r="C11" i="14"/>
  <c r="F24" i="48"/>
  <c r="F29"/>
  <c r="F30"/>
  <c r="F32"/>
  <c r="F31"/>
  <c r="F27"/>
  <c r="F28"/>
  <c r="N30"/>
  <c r="N32"/>
  <c r="N24"/>
  <c r="N31"/>
  <c r="N27"/>
  <c r="N29"/>
  <c r="N28"/>
  <c r="B10"/>
  <c r="C19" i="14"/>
  <c r="E24" i="48"/>
  <c r="E30"/>
  <c r="E28"/>
  <c r="E32"/>
  <c r="E31"/>
  <c r="E29"/>
  <c r="M29"/>
  <c r="M25"/>
  <c r="M24"/>
  <c r="M30"/>
  <c r="M32"/>
  <c r="M26"/>
  <c r="M22"/>
  <c r="M23"/>
  <c r="K5"/>
  <c r="L10" i="14"/>
  <c r="L16" s="1"/>
  <c r="L27" s="1"/>
  <c r="D30" i="48"/>
  <c r="D28"/>
  <c r="D32"/>
  <c r="D24"/>
  <c r="D29"/>
  <c r="D31"/>
  <c r="L29"/>
  <c r="L32"/>
  <c r="L24"/>
  <c r="L31"/>
  <c r="L28"/>
  <c r="L22"/>
  <c r="L27"/>
  <c r="L30"/>
  <c r="P5"/>
  <c r="P23" s="1"/>
  <c r="Q10" i="14"/>
  <c r="K32" i="48"/>
  <c r="K24"/>
  <c r="K27"/>
  <c r="K28"/>
  <c r="K31"/>
  <c r="K29"/>
  <c r="K22"/>
  <c r="K25"/>
  <c r="K30"/>
  <c r="K26"/>
  <c r="B7"/>
  <c r="C24" i="14"/>
  <c r="C26" s="1"/>
  <c r="J30" i="48"/>
  <c r="J32"/>
  <c r="J24"/>
  <c r="J31"/>
  <c r="J29"/>
  <c r="J27"/>
  <c r="J28"/>
  <c r="P4"/>
  <c r="Q11" i="14"/>
  <c r="O4" i="48"/>
  <c r="P11" i="14"/>
  <c r="I25" i="48"/>
  <c r="I22"/>
  <c r="I32"/>
  <c r="I26"/>
  <c r="I29"/>
  <c r="I28"/>
  <c r="I30"/>
  <c r="I27"/>
  <c r="I24"/>
  <c r="I3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O22" i="48"/>
  <c r="D9"/>
  <c r="D27" s="1"/>
  <c r="E20" i="14"/>
  <c r="E22" s="1"/>
  <c r="O5" i="48"/>
  <c r="O23" s="1"/>
  <c r="P10" i="14"/>
  <c r="K23" i="48"/>
  <c r="K15"/>
  <c r="B9"/>
  <c r="C20" i="14"/>
  <c r="C22" s="1"/>
  <c r="J7" i="48"/>
  <c r="J25" s="1"/>
  <c r="K24" i="14"/>
  <c r="K26" s="1"/>
  <c r="G11"/>
  <c r="F4" i="48"/>
  <c r="F22" s="1"/>
  <c r="J10" i="14"/>
  <c r="J16" s="1"/>
  <c r="J27" s="1"/>
  <c r="J63" s="1"/>
  <c r="I5" i="48"/>
  <c r="K33"/>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I15"/>
  <c r="I23"/>
  <c r="I33" s="1"/>
  <c r="M10"/>
  <c r="M28" s="1"/>
  <c r="N19" i="14"/>
  <c r="N22" s="1"/>
  <c r="N27" s="1"/>
  <c r="G10" i="48"/>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22"/>
  <c r="Q4"/>
  <c r="E5"/>
  <c r="E23" s="1"/>
  <c r="F10" i="14"/>
  <c r="O26" i="48"/>
  <c r="O33" s="1"/>
  <c r="O15"/>
  <c r="G28"/>
  <c r="Q10"/>
  <c r="J22"/>
  <c r="R19" i="14"/>
  <c r="G9" i="48"/>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K13" l="1"/>
  <c r="K16" s="1"/>
  <c r="K27" s="1"/>
  <c r="K63" s="1"/>
  <c r="J8" i="48"/>
  <c r="J26" s="1"/>
  <c r="J33" s="1"/>
  <c r="E8"/>
  <c r="F13" i="14"/>
  <c r="F16" s="1"/>
  <c r="F27" s="1"/>
  <c r="F63" s="1"/>
  <c r="G27" i="48"/>
  <c r="G33" s="1"/>
  <c r="G15"/>
  <c r="H63" i="14"/>
  <c r="I63"/>
  <c r="R20"/>
  <c r="R22" s="1"/>
  <c r="K46"/>
  <c r="K61" s="1"/>
  <c r="N8" i="48"/>
  <c r="N26" s="1"/>
  <c r="O13" i="14"/>
  <c r="F8" i="48"/>
  <c r="G13" i="14"/>
  <c r="E22" i="16"/>
  <c r="F43" i="14" s="1"/>
  <c r="F46" s="1"/>
  <c r="F61" s="1"/>
  <c r="F22" i="16"/>
  <c r="G43" i="14" s="1"/>
  <c r="N22" i="16"/>
  <c r="O43" i="14" s="1"/>
  <c r="J22" i="16"/>
  <c r="K43" i="14"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<sst xmlns="http://schemas.openxmlformats.org/spreadsheetml/2006/main" count="2380" uniqueCount="878">
  <si>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</si>
  <si>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</si>
  <si>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</si>
  <si>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</si>
  <si>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</si>
  <si>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</si>
  <si>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</si>
  <si>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</si>
  <si>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</si>
  <si>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</si>
  <si>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</si>
  <si>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</si>
  <si>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</si>
  <si>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</si>
  <si>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</si>
  <si>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</si>
  <si>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</si>
  <si>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</si>
  <si>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</si>
  <si>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</si>
  <si>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</si>
  <si>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</si>
  <si>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</si>
  <si>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</si>
  <si>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</si>
  <si>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</si>
  <si>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</si>
  <si>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</si>
  <si>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</si>
  <si>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</si>
  <si>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</si>
  <si>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</si>
  <si>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</si>
  <si>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</si>
  <si>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</si>
  <si>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</si>
  <si>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</si>
  <si>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</si>
  <si>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</si>
  <si>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</si>
  <si>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</si>
  <si>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</si>
  <si>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</si>
  <si>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</si>
  <si>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</si>
  <si>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</si>
  <si>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</si>
  <si>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</si>
  <si>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</si>
  <si>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</si>
  <si>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</si>
  <si>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</si>
  <si>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</si>
  <si>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</si>
  <si>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</si>
  <si>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</si>
  <si>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</si>
  <si>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</si>
  <si>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</si>
  <si>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</si>
  <si>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</si>
  <si>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</si>
  <si>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</si>
  <si>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</si>
  <si>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</si>
  <si>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</si>
  <si>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</si>
  <si>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</si>
  <si>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</si>
  <si>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</si>
  <si>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</si>
  <si>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</si>
  <si>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</si>
  <si>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</si>
  <si>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</si>
  <si>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</si>
  <si>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</si>
  <si>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</si>
  <si>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</si>
  <si>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</si>
  <si>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</si>
  <si>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</si>
  <si>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</si>
  <si>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</si>
  <si>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</si>
  <si>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</si>
  <si>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</si>
  <si>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</si>
  <si>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</si>
  <si>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</si>
  <si>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</si>
  <si>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</si>
  <si>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</si>
  <si>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</si>
  <si>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</si>
  <si>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</si>
  <si>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</si>
  <si>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</si>
  <si>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</si>
  <si>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</si>
  <si>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</si>
  <si>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</si>
  <si>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</si>
  <si>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</si>
  <si>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</si>
  <si>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</si>
  <si>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</si>
  <si>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</si>
  <si>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</si>
  <si>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</si>
  <si>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</si>
  <si>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</si>
  <si>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</si>
  <si>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</si>
  <si>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</si>
  <si>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</si>
  <si>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</si>
  <si>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</si>
  <si>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</si>
  <si>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</si>
  <si>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</si>
  <si>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</si>
  <si>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</si>
  <si>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</si>
  <si>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</si>
  <si>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</si>
  <si>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</si>
  <si>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</si>
  <si>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</si>
  <si>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</si>
  <si>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</si>
  <si>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</si>
  <si>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</si>
  <si>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</si>
  <si>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</si>
  <si>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</si>
  <si>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</si>
  <si>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</si>
  <si>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</si>
  <si>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</si>
  <si>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</si>
  <si>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</si>
  <si>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</si>
  <si>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</si>
  <si>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</si>
  <si>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</si>
  <si>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</si>
  <si>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</si>
  <si>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</si>
  <si>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</si>
  <si>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</si>
  <si>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</si>
  <si>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</si>
  <si>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</si>
  <si>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</si>
  <si>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</si>
  <si>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</si>
  <si>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</si>
  <si>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</si>
  <si>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</si>
  <si>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</si>
  <si>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</si>
  <si>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</si>
  <si>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</si>
  <si>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</si>
  <si>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</si>
  <si>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</si>
  <si>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</si>
  <si>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</si>
  <si>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</si>
  <si>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</si>
  <si>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</si>
  <si>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</si>
  <si>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</si>
  <si>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</si>
  <si>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</si>
  <si>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</si>
  <si>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</si>
  <si>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</si>
  <si>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</si>
  <si>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</si>
  <si>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</si>
  <si>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</si>
  <si>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</si>
  <si>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</si>
  <si>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</si>
  <si>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</si>
  <si>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</si>
  <si>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</si>
  <si>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</si>
  <si>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</si>
  <si>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</si>
  <si>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</si>
  <si>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</si>
  <si>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</si>
  <si>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</si>
  <si>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</si>
  <si>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</si>
  <si>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</si>
  <si>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</si>
  <si>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</si>
  <si>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</si>
  <si>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</si>
  <si>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</si>
  <si>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</si>
  <si>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</si>
  <si>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</si>
  <si>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</si>
  <si>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</si>
  <si>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</si>
  <si>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</si>
  <si>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</si>
  <si>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</si>
  <si>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</si>
  <si>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</si>
  <si>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</si>
  <si>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</si>
  <si>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</si>
  <si>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</si>
  <si>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</si>
  <si>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</si>
  <si>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</si>
  <si>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</si>
  <si>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</si>
  <si>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</si>
  <si>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</si>
  <si>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</si>
  <si>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</si>
  <si>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</si>
  <si>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</si>
  <si>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</si>
  <si>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</si>
  <si>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</si>
  <si>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</si>
  <si>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</si>
  <si>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</si>
  <si>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</si>
  <si>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</si>
  <si>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</si>
  <si>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</si>
  <si>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</si>
  <si>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</si>
  <si>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</si>
  <si>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</si>
  <si>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</si>
  <si>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</si>
  <si>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</si>
  <si>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</si>
  <si>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</si>
  <si>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</si>
  <si>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</si>
  <si>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</si>
  <si>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</si>
  <si>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</si>
  <si>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</si>
  <si>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</si>
  <si>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</si>
  <si>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</si>
  <si>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</si>
  <si>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</si>
  <si>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</si>
  <si>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</si>
  <si>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</si>
  <si>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</si>
  <si>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</si>
  <si>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</si>
  <si>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</si>
  <si>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</si>
  <si>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</si>
  <si>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</si>
  <si>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</si>
  <si>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</si>
  <si>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</si>
  <si>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</si>
  <si>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</si>
  <si>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</si>
  <si>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</si>
  <si>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</si>
  <si>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</si>
  <si>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</si>
  <si>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</si>
  <si>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</si>
  <si>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</si>
  <si>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</si>
  <si>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</si>
  <si>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</si>
  <si>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</si>
  <si>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</si>
  <si>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</si>
  <si>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</si>
  <si>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</si>
  <si>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</si>
  <si>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</si>
  <si>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</si>
  <si>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</si>
  <si>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</si>
  <si>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</si>
  <si>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</si>
  <si>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</si>
  <si>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</si>
  <si>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</si>
  <si>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</si>
  <si>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</si>
  <si>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</si>
  <si>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</si>
  <si>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</si>
  <si>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</si>
  <si>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</si>
  <si>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</si>
  <si>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</si>
  <si>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</si>
  <si>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</si>
  <si>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</si>
  <si>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</si>
  <si>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</si>
  <si>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</si>
  <si>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</si>
  <si>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</si>
  <si>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</si>
  <si>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</si>
  <si>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</si>
  <si>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</si>
  <si>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</si>
  <si>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</si>
  <si>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</si>
  <si>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</si>
  <si>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</si>
  <si>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</si>
  <si>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</si>
  <si>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</si>
  <si>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</si>
  <si>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</si>
  <si>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</si>
  <si>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</si>
  <si>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</si>
  <si>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</si>
  <si>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</si>
  <si>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</si>
  <si>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</si>
  <si>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</si>
  <si>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</si>
  <si>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</si>
  <si>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</si>
  <si>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</si>
  <si>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</si>
  <si>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</si>
  <si>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</si>
  <si>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</si>
  <si>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</si>
  <si>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</si>
  <si>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</si>
  <si>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</si>
  <si>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</si>
  <si>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</si>
  <si>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</si>
  <si>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</si>
  <si>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</si>
  <si>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</si>
  <si>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</si>
  <si>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</si>
  <si>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</si>
  <si>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</si>
  <si>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</si>
  <si>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</si>
  <si>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</si>
  <si>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</si>
  <si>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</si>
  <si>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</si>
  <si>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</si>
  <si>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</si>
  <si>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</si>
  <si>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</si>
  <si>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</si>
  <si>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</si>
  <si>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</si>
  <si>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</si>
  <si>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</si>
  <si>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</si>
  <si>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</si>
  <si>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</si>
  <si>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</si>
  <si>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</si>
  <si>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</si>
  <si>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</si>
  <si>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</si>
  <si>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</si>
  <si>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</si>
  <si>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</si>
  <si>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</si>
  <si>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</si>
  <si>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</si>
  <si>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</si>
  <si>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</si>
  <si>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</si>
  <si>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</si>
  <si>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</si>
  <si>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</si>
  <si>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</si>
  <si>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</si>
  <si>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</si>
  <si>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</si>
  <si>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</si>
  <si>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</si>
  <si>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</si>
  <si>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</si>
  <si>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</si>
  <si>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</si>
  <si>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</si>
  <si>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</si>
  <si>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</si>
  <si>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</si>
  <si>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</si>
  <si>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</si>
  <si>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</si>
  <si>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</si>
  <si>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</si>
  <si>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</si>
  <si>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</si>
  <si>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</si>
  <si>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</si>
  <si>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</si>
  <si>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</si>
  <si>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</si>
  <si>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</si>
  <si>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</si>
  <si>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</si>
  <si>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</si>
  <si>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</si>
  <si>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</si>
  <si>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</si>
  <si>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</si>
  <si>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</si>
  <si>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</si>
  <si>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</si>
  <si>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</si>
  <si>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</si>
  <si>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</si>
  <si>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</si>
  <si>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</si>
  <si>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</si>
  <si>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</si>
  <si>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</si>
  <si>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</si>
  <si>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</si>
  <si>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</si>
  <si>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</si>
  <si>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</si>
  <si>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</si>
  <si>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</si>
  <si>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</si>
  <si>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</si>
  <si>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</si>
  <si>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</si>
  <si>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</si>
  <si>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</si>
  <si>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</si>
  <si>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</si>
  <si>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</si>
  <si>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</si>
  <si>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</si>
  <si>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</si>
  <si>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</si>
  <si>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</si>
  <si>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</si>
  <si>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</si>
  <si>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</si>
  <si>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</si>
  <si>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</si>
  <si>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</si>
  <si>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</si>
  <si>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</si>
  <si>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</si>
  <si>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</si>
  <si>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</si>
  <si>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</si>
  <si>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</si>
  <si>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</si>
  <si>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</si>
  <si>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</si>
  <si>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</si>
  <si>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</si>
  <si>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</si>
  <si>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</si>
  <si>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</si>
  <si>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</si>
  <si>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</si>
  <si>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</si>
  <si>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</si>
  <si>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</si>
  <si>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</si>
  <si>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</si>
  <si>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</si>
  <si>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</si>
  <si>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</si>
  <si>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</si>
  <si>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</si>
  <si>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</si>
  <si>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</si>
  <si>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</si>
  <si>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</si>
  <si>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</si>
  <si>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</si>
  <si>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</si>
  <si>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</si>
  <si>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</si>
  <si>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</si>
  <si>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</si>
  <si>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</si>
  <si>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</si>
  <si>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</si>
  <si>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</si>
  <si>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</si>
  <si>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</si>
  <si>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</si>
  <si>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</si>
  <si>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</si>
  <si>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</si>
  <si>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</si>
  <si>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</si>
  <si>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</si>
  <si>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</si>
  <si>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</si>
  <si>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</si>
  <si>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</si>
  <si>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</si>
  <si>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</si>
  <si>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</si>
  <si>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</si>
  <si>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</si>
  <si>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</si>
  <si>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</si>
  <si>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</si>
  <si>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</si>
  <si>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</si>
  <si>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</si>
  <si>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</si>
  <si>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</si>
  <si>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</si>
  <si>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</si>
  <si>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</si>
  <si>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</si>
  <si>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</si>
  <si>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</si>
  <si>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</si>
  <si>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</si>
  <si>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</si>
  <si>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</si>
  <si>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</si>
  <si>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</si>
  <si>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</si>
  <si>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</si>
  <si>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</si>
  <si>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</si>
  <si>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</si>
  <si>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</si>
  <si>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</si>
  <si>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</si>
  <si>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</si>
  <si>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</si>
  <si>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</si>
  <si>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</si>
  <si>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</si>
  <si>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</si>
  <si>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</si>
  <si>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</si>
  <si>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</si>
  <si>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</si>
  <si>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</si>
  <si>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</si>
  <si>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</si>
  <si>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</si>
  <si>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</si>
  <si>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</si>
  <si>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</si>
  <si>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</si>
  <si>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</si>
  <si>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</si>
  <si>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</si>
  <si>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</si>
  <si>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</si>
  <si>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</si>
  <si>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</si>
  <si>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</si>
  <si>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</si>
  <si>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</si>
  <si>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</si>
  <si>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</si>
  <si>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</si>
  <si>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</si>
  <si>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</si>
  <si>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</si>
  <si>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</si>
  <si>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</si>
  <si>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</si>
  <si>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</si>
  <si>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</si>
  <si>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</si>
  <si>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</si>
  <si>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</si>
  <si>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</si>
  <si>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</si>
  <si>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</si>
  <si>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</si>
  <si>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</si>
  <si>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</si>
  <si>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</si>
  <si>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</si>
  <si>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</si>
  <si>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</si>
  <si>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</si>
  <si>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</si>
  <si>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</si>
  <si>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</si>
  <si>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</si>
  <si>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</si>
  <si>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</si>
  <si>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</si>
  <si>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</si>
  <si>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</si>
  <si>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</si>
  <si>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</si>
  <si>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</si>
  <si>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</si>
  <si>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</si>
  <si>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</si>
  <si>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</si>
  <si>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</si>
  <si>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</si>
  <si>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</si>
  <si>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</si>
  <si>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</si>
  <si>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</si>
  <si>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</si>
  <si>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</si>
  <si>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</si>
  <si>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</si>
  <si>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</si>
  <si>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</si>
  <si>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</si>
  <si>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</si>
  <si>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</si>
  <si>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</si>
  <si>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</si>
  <si>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</si>
  <si>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</si>
  <si>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</si>
  <si>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</si>
  <si>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</si>
  <si>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</si>
  <si>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</si>
  <si>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</si>
  <si>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</si>
  <si>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</si>
  <si>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</si>
  <si>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</si>
  <si>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</si>
  <si>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</si>
  <si>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</si>
  <si>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</si>
  <si>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</si>
  <si>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</si>
  <si>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</si>
  <si>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</si>
  <si>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</si>
  <si>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</si>
  <si>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</si>
  <si>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</si>
  <si>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</si>
  <si>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</si>
  <si>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</si>
  <si>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</si>
  <si>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</si>
  <si>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</si>
  <si>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</si>
  <si>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</si>
  <si>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</si>
  <si>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</si>
  <si>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</si>
  <si>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</si>
  <si>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</si>
  <si>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</si>
  <si>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</si>
  <si>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</si>
  <si>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</si>
  <si>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</si>
  <si>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</si>
  <si>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</si>
  <si>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</si>
  <si>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</si>
  <si>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</si>
  <si>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</si>
  <si>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</si>
  <si>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</si>
  <si>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</si>
  <si>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</si>
  <si>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</si>
  <si>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</si>
  <si>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</si>
  <si>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</si>
  <si>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</si>
  <si>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</si>
  <si>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</si>
  <si>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</si>
  <si>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</si>
  <si>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</si>
  <si>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</si>
  <si>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</si>
  <si>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</si>
  <si>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</si>
  <si>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</si>
  <si>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</si>
  <si>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</si>
  <si>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</si>
  <si>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</si>
  <si>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</si>
  <si>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</si>
  <si>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</si>
  <si>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</si>
  <si>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</si>
  <si>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</si>
  <si>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</si>
  <si>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</si>
  <si>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</si>
  <si>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</si>
  <si>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</si>
  <si>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</si>
  <si>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</si>
  <si>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</si>
  <si>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</si>
  <si>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</si>
  <si>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</si>
  <si>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</si>
  <si>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</si>
  <si>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</si>
  <si>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</si>
  <si>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</si>
  <si>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</si>
  <si>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</si>
  <si>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</si>
  <si>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</si>
  <si>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</si>
  <si>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</si>
  <si>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</si>
  <si>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</si>
  <si>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</si>
  <si>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</si>
  <si>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</si>
  <si>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</si>
  <si>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</si>
  <si>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</si>
  <si>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</si>
  <si>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</si>
  <si>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</si>
  <si>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</si>
  <si>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</si>
  <si>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</si>
  <si>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</si>
  <si>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</si>
  <si>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</si>
  <si>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</si>
  <si>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</si>
  <si>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</si>
  <si>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</si>
  <si>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</si>
  <si>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</si>
  <si>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</si>
  <si>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</si>
  <si>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</si>
  <si>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</si>
  <si>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</si>
  <si>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</si>
  <si>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</si>
  <si>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</si>
  <si>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</si>
  <si>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</si>
  <si>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</si>
  <si>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</si>
  <si>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</si>
  <si>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</si>
  <si>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</si>
  <si>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</si>
  <si>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</si>
  <si>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</si>
  <si>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</si>
  <si>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</si>
  <si>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</si>
  <si>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</si>
  <si>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</si>
  <si>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</si>
  <si>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</si>
  <si>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</si>
  <si>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</si>
  <si>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</si>
  <si>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</si>
  <si>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</si>
  <si>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</si>
  <si>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</si>
  <si>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</si>
  <si>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</si>
  <si>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</si>
  <si>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</si>
  <si>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</si>
  <si>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</si>
  <si>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</si>
  <si>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</si>
  <si>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</si>
  <si>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</si>
  <si>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</si>
  <si>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</si>
  <si>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</si>
  <si>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</si>
  <si>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</si>
  <si>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</si>
  <si>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</si>
  <si>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</si>
  <si>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</si>
  <si>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</si>
  <si>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</si>
  <si>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</si>
  <si>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</si>
  <si>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</si>
  <si>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</si>
  <si>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</si>
  <si>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</si>
  <si>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</si>
  <si>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</si>
  <si>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</si>
  <si>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</si>
  <si>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</si>
  <si>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</si>
  <si>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</si>
  <si>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</si>
  <si>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</si>
  <si>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</si>
  <si>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</si>
  <si>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</si>
  <si>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</si>
  <si>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</si>
  <si>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</si>
  <si>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</si>
  <si>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</si>
  <si>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</si>
  <si>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</si>
  <si>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</si>
  <si>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</si>
  <si>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</si>
  <si>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</si>
  <si>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</si>
  <si>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</si>
  <si>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</si>
  <si>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</si>
  <si>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</si>
  <si>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</si>
  <si>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</si>
  <si>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</si>
  <si>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</si>
  <si>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</si>
  <si>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</si>
  <si>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</si>
  <si>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</si>
  <si>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</si>
  <si>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</si>
  <si>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</si>
  <si>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</si>
  <si>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</si>
  <si>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</si>
  <si>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</si>
  <si>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</si>
  <si>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</si>
  <si>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</si>
  <si>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71017</t>
  </si>
  <si>
    <t>GINGELOM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</si>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</sst>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91700.224479027645</c:v>
                </c:pt>
                <c:pt idx="1">
                  <c:v>16787.12727594396</c:v>
                </c:pt>
                <c:pt idx="2">
                  <c:v>474.916</c:v>
                </c:pt>
                <c:pt idx="3">
                  <c:v>7447.4384565090577</c:v>
                </c:pt>
                <c:pt idx="4">
                  <c:v>3562.559572230834</c:v>
                </c:pt>
                <c:pt idx="5">
                  <c:v>77710.407977981027</c:v>
                </c:pt>
                <c:pt idx="6">
                  <c:v>918.48322129184714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9939328"/>
        <c:axId val="169940864"/>
      </c:barChart>
      <c:catAx>
        <c:axId val="169939328"/>
        <c:scaling>
          <c:orientation val="minMax"/>
        </c:scaling>
        <c:axPos val="b"/>
        <c:numFmt formatCode="General" sourceLinked="0"/>
        <c:tickLblPos val="nextTo"/>
        <c:crossAx val="169940864"/>
        <c:crosses val="autoZero"/>
        <c:auto val="1"/>
        <c:lblAlgn val="ctr"/>
        <c:lblOffset val="100"/>
      </c:catAx>
      <c:valAx>
        <c:axId val="169940864"/>
        <c:scaling>
          <c:orientation val="minMax"/>
        </c:scaling>
        <c:axPos val="l"/>
        <c:majorGridlines>
          <c:spPr>
            <a:ln>
              <a:noFill/>
            </a:ln>
          </c:spPr>
        </c:majorGridlines>
        <c:numFmt formatCode="#,##0" sourceLinked="1"/>
        <c:tickLblPos val="nextTo"/>
        <c:crossAx val="16993932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91700.224479027645</c:v>
                </c:pt>
                <c:pt idx="1">
                  <c:v>16787.12727594396</c:v>
                </c:pt>
                <c:pt idx="2">
                  <c:v>474.916</c:v>
                </c:pt>
                <c:pt idx="3">
                  <c:v>7447.4384565090577</c:v>
                </c:pt>
                <c:pt idx="4">
                  <c:v>3562.559572230834</c:v>
                </c:pt>
                <c:pt idx="5">
                  <c:v>77710.407977981027</c:v>
                </c:pt>
                <c:pt idx="6">
                  <c:v>918.48322129184714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16926.162685415336</c:v>
                </c:pt>
                <c:pt idx="2">
                  <c:v>1988.301422037681</c:v>
                </c:pt>
                <c:pt idx="3">
                  <c:v>0</c:v>
                </c:pt>
                <c:pt idx="4">
                  <c:v>1629.9048515604495</c:v>
                </c:pt>
                <c:pt idx="5">
                  <c:v>452.65180551872288</c:v>
                </c:pt>
                <c:pt idx="6">
                  <c:v>19442.329148573099</c:v>
                </c:pt>
                <c:pt idx="7">
                  <c:v>232.05530328424015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0404480"/>
        <c:axId val="170406272"/>
      </c:barChart>
      <c:catAx>
        <c:axId val="170404480"/>
        <c:scaling>
          <c:orientation val="minMax"/>
        </c:scaling>
        <c:axPos val="b"/>
        <c:numFmt formatCode="General" sourceLinked="0"/>
        <c:tickLblPos val="nextTo"/>
        <c:crossAx val="170406272"/>
        <c:crosses val="autoZero"/>
        <c:auto val="1"/>
        <c:lblAlgn val="ctr"/>
        <c:lblOffset val="100"/>
      </c:catAx>
      <c:valAx>
        <c:axId val="170406272"/>
        <c:scaling>
          <c:orientation val="minMax"/>
        </c:scaling>
        <c:axPos val="l"/>
        <c:majorGridlines>
          <c:spPr>
            <a:ln>
              <a:noFill/>
            </a:ln>
          </c:spPr>
        </c:majorGridlines>
        <c:numFmt formatCode="#,##0" sourceLinked="1"/>
        <c:tickLblPos val="nextTo"/>
        <c:crossAx val="1704044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16926.162685415336</c:v>
                </c:pt>
                <c:pt idx="2">
                  <c:v>1988.301422037681</c:v>
                </c:pt>
                <c:pt idx="3">
                  <c:v>0</c:v>
                </c:pt>
                <c:pt idx="4">
                  <c:v>1629.9048515604495</c:v>
                </c:pt>
                <c:pt idx="5">
                  <c:v>452.65180551872288</c:v>
                </c:pt>
                <c:pt idx="6">
                  <c:v>19442.329148573099</c:v>
                </c:pt>
                <c:pt idx="7">
                  <c:v>232.05530328424015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3376</v>
      </c>
      <c r="C9" s="342">
        <v>3466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4543.87</v>
      </c>
    </row>
    <row r="15" spans="1:6">
      <c r="A15" s="348" t="s">
        <v>184</v>
      </c>
      <c r="B15" s="334">
        <v>1</v>
      </c>
    </row>
    <row r="16" spans="1:6">
      <c r="A16" s="348" t="s">
        <v>6</v>
      </c>
      <c r="B16" s="334">
        <v>0</v>
      </c>
    </row>
    <row r="17" spans="1:6">
      <c r="A17" s="348" t="s">
        <v>7</v>
      </c>
      <c r="B17" s="334">
        <v>62</v>
      </c>
    </row>
    <row r="18" spans="1:6">
      <c r="A18" s="348" t="s">
        <v>8</v>
      </c>
      <c r="B18" s="334">
        <v>105</v>
      </c>
    </row>
    <row r="19" spans="1:6">
      <c r="A19" s="348" t="s">
        <v>9</v>
      </c>
      <c r="B19" s="334">
        <v>246</v>
      </c>
    </row>
    <row r="20" spans="1:6">
      <c r="A20" s="348" t="s">
        <v>10</v>
      </c>
      <c r="B20" s="334">
        <v>96</v>
      </c>
    </row>
    <row r="21" spans="1:6">
      <c r="A21" s="348" t="s">
        <v>11</v>
      </c>
      <c r="B21" s="334">
        <v>674</v>
      </c>
    </row>
    <row r="22" spans="1:6">
      <c r="A22" s="348" t="s">
        <v>12</v>
      </c>
      <c r="B22" s="334">
        <v>1689</v>
      </c>
    </row>
    <row r="23" spans="1:6">
      <c r="A23" s="348" t="s">
        <v>13</v>
      </c>
      <c r="B23" s="334">
        <v>34</v>
      </c>
    </row>
    <row r="24" spans="1:6">
      <c r="A24" s="348" t="s">
        <v>14</v>
      </c>
      <c r="B24" s="334">
        <v>2</v>
      </c>
    </row>
    <row r="25" spans="1:6">
      <c r="A25" s="348" t="s">
        <v>15</v>
      </c>
      <c r="B25" s="334">
        <v>147</v>
      </c>
    </row>
    <row r="26" spans="1:6">
      <c r="A26" s="348" t="s">
        <v>16</v>
      </c>
      <c r="B26" s="334">
        <v>55</v>
      </c>
    </row>
    <row r="27" spans="1:6">
      <c r="A27" s="348" t="s">
        <v>17</v>
      </c>
      <c r="B27" s="334">
        <v>2</v>
      </c>
    </row>
    <row r="28" spans="1:6" s="356" customFormat="1">
      <c r="A28" s="355" t="s">
        <v>18</v>
      </c>
      <c r="B28" s="355">
        <v>6250</v>
      </c>
    </row>
    <row r="29" spans="1:6">
      <c r="A29" s="355" t="s">
        <v>744</v>
      </c>
      <c r="B29" s="355">
        <v>23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7416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789</v>
      </c>
      <c r="D39" s="334">
        <v>12973582.1</v>
      </c>
      <c r="E39" s="334">
        <v>3367</v>
      </c>
      <c r="F39" s="334">
        <v>12561316.800000001</v>
      </c>
    </row>
    <row r="40" spans="1:6">
      <c r="A40" s="348" t="s">
        <v>30</v>
      </c>
      <c r="B40" s="348" t="s">
        <v>29</v>
      </c>
      <c r="C40" s="334">
        <v>0</v>
      </c>
      <c r="D40" s="334">
        <v>0</v>
      </c>
      <c r="E40" s="334">
        <v>0</v>
      </c>
      <c r="F40" s="334">
        <v>0</v>
      </c>
    </row>
    <row r="41" spans="1:6">
      <c r="A41" s="348" t="s">
        <v>32</v>
      </c>
      <c r="B41" s="348" t="s">
        <v>33</v>
      </c>
      <c r="C41" s="334">
        <v>16</v>
      </c>
      <c r="D41" s="334">
        <v>661422.19999999995</v>
      </c>
      <c r="E41" s="334">
        <v>56</v>
      </c>
      <c r="F41" s="334">
        <v>1125911.05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46055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67451</v>
      </c>
      <c r="E48" s="334">
        <v>2</v>
      </c>
      <c r="F48" s="334">
        <v>7518</v>
      </c>
    </row>
    <row r="49" spans="1:6">
      <c r="A49" s="348" t="s">
        <v>32</v>
      </c>
      <c r="B49" s="348" t="s">
        <v>40</v>
      </c>
      <c r="C49" s="334">
        <v>0</v>
      </c>
      <c r="D49" s="334">
        <v>0</v>
      </c>
      <c r="E49" s="334">
        <v>3</v>
      </c>
      <c r="F49" s="334">
        <v>11551</v>
      </c>
    </row>
    <row r="50" spans="1:6">
      <c r="A50" s="348" t="s">
        <v>32</v>
      </c>
      <c r="B50" s="348" t="s">
        <v>41</v>
      </c>
      <c r="C50" s="334">
        <v>0</v>
      </c>
      <c r="D50" s="334">
        <v>0</v>
      </c>
      <c r="E50" s="334">
        <v>4</v>
      </c>
      <c r="F50" s="334">
        <v>85773</v>
      </c>
    </row>
    <row r="51" spans="1:6">
      <c r="A51" s="348" t="s">
        <v>42</v>
      </c>
      <c r="B51" s="348" t="s">
        <v>43</v>
      </c>
      <c r="C51" s="334">
        <v>6</v>
      </c>
      <c r="D51" s="334">
        <v>138588</v>
      </c>
      <c r="E51" s="334">
        <v>72</v>
      </c>
      <c r="F51" s="334">
        <v>1371186.1029999999</v>
      </c>
    </row>
    <row r="52" spans="1:6">
      <c r="A52" s="348" t="s">
        <v>42</v>
      </c>
      <c r="B52" s="348" t="s">
        <v>29</v>
      </c>
      <c r="C52" s="334">
        <v>0</v>
      </c>
      <c r="D52" s="334">
        <v>0</v>
      </c>
      <c r="E52" s="334">
        <v>0</v>
      </c>
      <c r="F52" s="334">
        <v>0</v>
      </c>
    </row>
    <row r="53" spans="1:6">
      <c r="A53" s="348" t="s">
        <v>44</v>
      </c>
      <c r="B53" s="348" t="s">
        <v>45</v>
      </c>
      <c r="C53" s="334">
        <v>14</v>
      </c>
      <c r="D53" s="334">
        <v>1075881</v>
      </c>
      <c r="E53" s="334">
        <v>51</v>
      </c>
      <c r="F53" s="334">
        <v>223438.15</v>
      </c>
    </row>
    <row r="54" spans="1:6">
      <c r="A54" s="348" t="s">
        <v>46</v>
      </c>
      <c r="B54" s="348" t="s">
        <v>47</v>
      </c>
      <c r="C54" s="334">
        <v>0</v>
      </c>
      <c r="D54" s="334">
        <v>0</v>
      </c>
      <c r="E54" s="334">
        <v>2</v>
      </c>
      <c r="F54" s="334">
        <v>474916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7911905.2429999998</v>
      </c>
      <c r="E57" s="334">
        <v>47</v>
      </c>
      <c r="F57" s="334">
        <v>1877169</v>
      </c>
    </row>
    <row r="58" spans="1:6">
      <c r="A58" s="348" t="s">
        <v>49</v>
      </c>
      <c r="B58" s="348" t="s">
        <v>51</v>
      </c>
      <c r="C58" s="334">
        <v>5</v>
      </c>
      <c r="D58" s="334">
        <v>87517</v>
      </c>
      <c r="E58" s="334">
        <v>24</v>
      </c>
      <c r="F58" s="334">
        <v>360106.82799999998</v>
      </c>
    </row>
    <row r="59" spans="1:6">
      <c r="A59" s="348" t="s">
        <v>49</v>
      </c>
      <c r="B59" s="348" t="s">
        <v>52</v>
      </c>
      <c r="C59" s="334">
        <v>7</v>
      </c>
      <c r="D59" s="334">
        <v>167935</v>
      </c>
      <c r="E59" s="334">
        <v>61</v>
      </c>
      <c r="F59" s="334">
        <v>1772881.111</v>
      </c>
    </row>
    <row r="60" spans="1:6">
      <c r="A60" s="348" t="s">
        <v>49</v>
      </c>
      <c r="B60" s="348" t="s">
        <v>53</v>
      </c>
      <c r="C60" s="334">
        <v>7</v>
      </c>
      <c r="D60" s="334">
        <v>226867</v>
      </c>
      <c r="E60" s="334">
        <v>31</v>
      </c>
      <c r="F60" s="334">
        <v>486484</v>
      </c>
    </row>
    <row r="61" spans="1:6">
      <c r="A61" s="348" t="s">
        <v>49</v>
      </c>
      <c r="B61" s="348" t="s">
        <v>54</v>
      </c>
      <c r="C61" s="334">
        <v>30</v>
      </c>
      <c r="D61" s="334">
        <v>728258.8</v>
      </c>
      <c r="E61" s="334">
        <v>101</v>
      </c>
      <c r="F61" s="334">
        <v>1025823.55</v>
      </c>
    </row>
    <row r="62" spans="1:6">
      <c r="A62" s="348" t="s">
        <v>49</v>
      </c>
      <c r="B62" s="348" t="s">
        <v>55</v>
      </c>
      <c r="C62" s="334">
        <v>0</v>
      </c>
      <c r="D62" s="334">
        <v>0</v>
      </c>
      <c r="E62" s="334">
        <v>5</v>
      </c>
      <c r="F62" s="334">
        <v>90193</v>
      </c>
    </row>
    <row r="63" spans="1:6">
      <c r="A63" s="348" t="s">
        <v>49</v>
      </c>
      <c r="B63" s="348" t="s">
        <v>29</v>
      </c>
      <c r="C63" s="334">
        <v>2</v>
      </c>
      <c r="D63" s="334">
        <v>58790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107</v>
      </c>
    </row>
    <row r="66" spans="1:6">
      <c r="A66" s="348" t="s">
        <v>56</v>
      </c>
      <c r="B66" s="348" t="s">
        <v>58</v>
      </c>
      <c r="C66" s="334">
        <v>0</v>
      </c>
      <c r="D66" s="334">
        <v>0</v>
      </c>
      <c r="E66" s="334">
        <v>7</v>
      </c>
      <c r="F66" s="334">
        <v>78355</v>
      </c>
    </row>
    <row r="67" spans="1:6">
      <c r="A67" s="355" t="s">
        <v>56</v>
      </c>
      <c r="B67" s="355" t="s">
        <v>59</v>
      </c>
      <c r="C67" s="334">
        <v>0</v>
      </c>
      <c r="D67" s="334">
        <v>0</v>
      </c>
      <c r="E67" s="334">
        <v>0</v>
      </c>
      <c r="F67" s="334">
        <v>0</v>
      </c>
    </row>
    <row r="68" spans="1:6">
      <c r="A68" s="341" t="s">
        <v>56</v>
      </c>
      <c r="B68" s="341" t="s">
        <v>60</v>
      </c>
      <c r="C68" s="334">
        <v>0</v>
      </c>
      <c r="D68" s="334">
        <v>0</v>
      </c>
      <c r="E68" s="334">
        <v>4</v>
      </c>
      <c r="F68" s="334">
        <v>22130</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36250041</v>
      </c>
      <c r="E73" s="475">
        <v>36822567.957545571</v>
      </c>
    </row>
    <row r="74" spans="1:6">
      <c r="A74" s="348" t="s">
        <v>64</v>
      </c>
      <c r="B74" s="348" t="s">
        <v>657</v>
      </c>
      <c r="C74" s="1295" t="s">
        <v>659</v>
      </c>
      <c r="D74" s="475">
        <v>2222086</v>
      </c>
      <c r="E74" s="475">
        <v>2274651.9721211689</v>
      </c>
    </row>
    <row r="75" spans="1:6">
      <c r="A75" s="348" t="s">
        <v>65</v>
      </c>
      <c r="B75" s="348" t="s">
        <v>656</v>
      </c>
      <c r="C75" s="1295" t="s">
        <v>660</v>
      </c>
      <c r="D75" s="475">
        <v>11854572</v>
      </c>
      <c r="E75" s="475">
        <v>12038951.974400703</v>
      </c>
    </row>
    <row r="76" spans="1:6">
      <c r="A76" s="348" t="s">
        <v>65</v>
      </c>
      <c r="B76" s="348" t="s">
        <v>657</v>
      </c>
      <c r="C76" s="1295" t="s">
        <v>661</v>
      </c>
      <c r="D76" s="475">
        <v>4430</v>
      </c>
      <c r="E76" s="475">
        <v>4503.7724978743508</v>
      </c>
    </row>
    <row r="77" spans="1:6">
      <c r="A77" s="348" t="s">
        <v>66</v>
      </c>
      <c r="B77" s="348" t="s">
        <v>656</v>
      </c>
      <c r="C77" s="1295" t="s">
        <v>662</v>
      </c>
      <c r="D77" s="475">
        <v>38779071</v>
      </c>
      <c r="E77" s="475">
        <v>40290259.784739763</v>
      </c>
    </row>
    <row r="78" spans="1:6">
      <c r="A78" s="341" t="s">
        <v>66</v>
      </c>
      <c r="B78" s="341" t="s">
        <v>657</v>
      </c>
      <c r="C78" s="341" t="s">
        <v>663</v>
      </c>
      <c r="D78" s="1296">
        <v>5200818</v>
      </c>
      <c r="E78" s="1296">
        <v>5070742.5881827502</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249108</v>
      </c>
      <c r="C83" s="475">
        <v>254724.8457274524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24114.273753564852</v>
      </c>
    </row>
    <row r="91" spans="1:6">
      <c r="A91" s="348" t="s">
        <v>68</v>
      </c>
      <c r="B91" s="334">
        <v>2255.3957302497206</v>
      </c>
    </row>
    <row r="92" spans="1:6">
      <c r="A92" s="341" t="s">
        <v>69</v>
      </c>
      <c r="B92" s="342">
        <v>1034.2308482347662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23</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1</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23809.898651421863</v>
      </c>
      <c r="C3" s="43" t="s">
        <v>170</v>
      </c>
      <c r="D3" s="43"/>
      <c r="E3" s="154"/>
      <c r="F3" s="43"/>
      <c r="G3" s="43"/>
      <c r="H3" s="43"/>
      <c r="I3" s="43"/>
      <c r="J3" s="43"/>
      <c r="K3" s="96"/>
    </row>
    <row r="4" spans="1:11">
      <c r="A4" s="383" t="s">
        <v>171</v>
      </c>
      <c r="B4" s="49">
        <f>IF(ISERROR('SEAP template'!B78),0,'SEAP template'!B78)</f>
        <v>27403.900332049339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474.916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12561.316800000001</v>
      </c>
      <c r="C5" s="17">
        <f>IF(ISERROR('Eigen informatie GS &amp; warmtenet'!B57),0,'Eigen informatie GS &amp; warmtenet'!B57)</f>
        <v>0</v>
      </c>
      <c r="D5" s="30">
        <f>(SUM(HH_hh_gas_kWh,HH_rest_gas_kWh)/1000)*0.902</f>
        <v>11702.1710542</v>
      </c>
      <c r="E5" s="17">
        <f>B46*B57</f>
        <v>5140.9577195519478</v>
      </c>
      <c r="F5" s="17">
        <f>B51*B62</f>
        <v>48781.298518566655</v>
      </c>
      <c r="G5" s="18"/>
      <c r="H5" s="17"/>
      <c r="I5" s="17"/>
      <c r="J5" s="17">
        <f>B50*B61+C50*C61</f>
        <v>1047.2317109360072</v>
      </c>
      <c r="K5" s="17"/>
      <c r="L5" s="17"/>
      <c r="M5" s="17"/>
      <c r="N5" s="17">
        <f>B48*B59+C48*C59</f>
        <v>9275.3496121899825</v>
      </c>
      <c r="O5" s="17">
        <f>B69*B70*B71</f>
        <v>154.77000000000001</v>
      </c>
      <c r="P5" s="17">
        <f>B77*B78*B79/1000-B77*B78*B79/1000/B80</f>
        <v>781.73333333333335</v>
      </c>
    </row>
    <row r="6" spans="1:16">
      <c r="A6" s="16" t="s">
        <v>621</v>
      </c>
      <c r="B6" s="788">
        <f>kWh_PV_kleiner_dan_10kW</f>
        <v>2255.3957302497206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14816.712530249721</v>
      </c>
      <c r="C8" s="21">
        <f>C5</f>
        <v>0</v>
      </c>
      <c r="D8" s="21">
        <f>D5</f>
        <v>11702.1710542</v>
      </c>
      <c r="E8" s="21">
        <f>E5</f>
        <v>5140.9577195519478</v>
      </c>
      <c r="F8" s="21">
        <f>F5</f>
        <v>48781.298518566655</v>
      </c>
      <c r="G8" s="21"/>
      <c r="H8" s="21"/>
      <c r="I8" s="21"/>
      <c r="J8" s="21">
        <f>J5</f>
        <v>1047.2317109360072</v>
      </c>
      <c r="K8" s="21"/>
      <c r="L8" s="21">
        <f>L5</f>
        <v>0</v>
      </c>
      <c r="M8" s="21">
        <f>M5</f>
        <v>0</v>
      </c>
      <c r="N8" s="21">
        <f>N5</f>
        <v>9275.3496121899825</v>
      </c>
      <c r="O8" s="21">
        <f>O5</f>
        <v>154.77000000000001</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2363.8385529484003</v>
      </c>
      <c r="E12" s="23">
        <f>E10*E8</f>
        <v>1166.9974023382922</v>
      </c>
      <c r="F12" s="23">
        <f>F10*F8</f>
        <v>13024.606704457297</v>
      </c>
      <c r="G12" s="23"/>
      <c r="H12" s="23"/>
      <c r="I12" s="23"/>
      <c r="J12" s="23">
        <f>J10*J8</f>
        <v>370.72002567134655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3376</v>
      </c>
      <c r="C28" s="36"/>
      <c r="D28" s="228"/>
    </row>
    <row r="29" spans="1:7" s="15" customFormat="1">
      <c r="A29" s="230" t="s">
        <v>794</v>
      </c>
      <c r="B29" s="37">
        <f>SUM(HH_hh_gas_aantal,HH_rest_gas_aantal)</f>
        <v>789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789</v>
      </c>
      <c r="C32" s="167">
        <f>IF(ISERROR(B32/SUM($B$32,$B$34,$B$35,$B$36,$B$38,$B$39)*100),0,B32/SUM($B$32,$B$34,$B$35,$B$36,$B$38,$B$39)*100)</f>
        <v>23.65817091454273</v>
      </c>
      <c r="D32" s="233"/>
      <c r="G32" s="15"/>
    </row>
    <row r="33" spans="1:7">
      <c r="A33" s="171" t="s">
        <v>72</v>
      </c>
      <c r="B33" s="34" t="s">
        <v>111</v>
      </c>
      <c r="C33" s="167"/>
      <c r="D33" s="233"/>
      <c r="G33" s="15"/>
    </row>
    <row r="34" spans="1:7">
      <c r="A34" s="171" t="s">
        <v>73</v>
      </c>
      <c r="B34" s="33">
        <f>IF((($B$28-$B$32-$B$39-$B$77-$B$38)*C20/100)&lt;0,0,($B$28-$B$32-$B$39-$B$77-$B$38)*C20/100)</f>
        <v>242.80225988700565</v>
      </c>
      <c r="C34" s="167">
        <f>IF(ISERROR(B34/SUM($B$32,$B$34,$B$35,$B$36,$B$38,$B$39)*100),0,B34/SUM($B$32,$B$34,$B$35,$B$36,$B$38,$B$39)*100)</f>
        <v>7.2804275828187599</v>
      </c>
      <c r="D34" s="233"/>
      <c r="G34" s="15"/>
    </row>
    <row r="35" spans="1:7">
      <c r="A35" s="171" t="s">
        <v>74</v>
      </c>
      <c r="B35" s="33">
        <f>IF((($B$28-$B$32-$B$39-$B$77-$B$38)*C21/100)&lt;0,0,($B$28-$B$32-$B$39-$B$77-$B$38)*C21/100)</f>
        <v>260.65536723163842</v>
      </c>
      <c r="C35" s="167">
        <f>IF(ISERROR(B35/SUM($B$32,$B$34,$B$35,$B$36,$B$38,$B$39)*100),0,B35/SUM($B$32,$B$34,$B$35,$B$36,$B$38,$B$39)*100)</f>
        <v>7.8157531403789626</v>
      </c>
      <c r="D35" s="233"/>
      <c r="G35" s="15"/>
    </row>
    <row r="36" spans="1:7">
      <c r="A36" s="171" t="s">
        <v>75</v>
      </c>
      <c r="B36" s="33">
        <f>IF((($B$28-$B$32-$B$39-$B$77-$B$38)*C22/100)&lt;0,0,($B$28-$B$32-$B$39-$B$77-$B$38)*C22/100)</f>
        <v>128.54237288135596</v>
      </c>
      <c r="C36" s="167">
        <f>IF(ISERROR(B36/SUM($B$32,$B$34,$B$35,$B$36,$B$38,$B$39)*100),0,B36/SUM($B$32,$B$34,$B$35,$B$36,$B$38,$B$39)*100)</f>
        <v>3.8543440144334618</v>
      </c>
      <c r="D36" s="233"/>
      <c r="G36" s="15"/>
    </row>
    <row r="37" spans="1:7">
      <c r="A37" s="171" t="s">
        <v>76</v>
      </c>
      <c r="B37" s="34" t="s">
        <v>111</v>
      </c>
      <c r="C37" s="167"/>
      <c r="D37" s="173"/>
      <c r="G37" s="15"/>
    </row>
    <row r="38" spans="1:7">
      <c r="A38" s="171" t="s">
        <v>77</v>
      </c>
      <c r="B38" s="33">
        <f>IF((B24-(B29-B18)*0.1)&lt;0,0,B24-(B29-B18)*0.1)</f>
        <v>29.699999999999989</v>
      </c>
      <c r="C38" s="167">
        <f>IF(ISERROR(B38/SUM($B$32,$B$34,$B$35,$B$36,$B$38,$B$39)*100),0,B38/SUM($B$32,$B$34,$B$35,$B$36,$B$38,$B$39)*100)</f>
        <v>0.8905547226386803</v>
      </c>
      <c r="D38" s="234"/>
      <c r="G38" s="15"/>
    </row>
    <row r="39" spans="1:7">
      <c r="A39" s="171" t="s">
        <v>78</v>
      </c>
      <c r="B39" s="33">
        <f>IF((B25-(B29-B18))&lt;0,0,B25-(B29-B18)*0.9)</f>
        <v>1884.3</v>
      </c>
      <c r="C39" s="167">
        <f>IF(ISERROR(B39/SUM($B$32,$B$34,$B$35,$B$36,$B$38,$B$39)*100),0,B39/SUM($B$32,$B$34,$B$35,$B$36,$B$38,$B$39)*100)</f>
        <v>56.50074962518741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789</v>
      </c>
      <c r="C44" s="34" t="s">
        <v>111</v>
      </c>
      <c r="D44" s="174"/>
    </row>
    <row r="45" spans="1:7">
      <c r="A45" s="171" t="s">
        <v>72</v>
      </c>
      <c r="B45" s="33" t="str">
        <f t="shared" si="0"/>
        <v>-</v>
      </c>
      <c r="C45" s="34" t="s">
        <v>111</v>
      </c>
      <c r="D45" s="174"/>
    </row>
    <row r="46" spans="1:7">
      <c r="A46" s="171" t="s">
        <v>73</v>
      </c>
      <c r="B46" s="33">
        <f t="shared" si="0"/>
        <v>242.80225988700565</v>
      </c>
      <c r="C46" s="34" t="s">
        <v>111</v>
      </c>
      <c r="D46" s="174"/>
    </row>
    <row r="47" spans="1:7">
      <c r="A47" s="171" t="s">
        <v>74</v>
      </c>
      <c r="B47" s="33">
        <f t="shared" si="0"/>
        <v>260.65536723163842</v>
      </c>
      <c r="C47" s="34" t="s">
        <v>111</v>
      </c>
      <c r="D47" s="174"/>
    </row>
    <row r="48" spans="1:7">
      <c r="A48" s="171" t="s">
        <v>75</v>
      </c>
      <c r="B48" s="33">
        <f t="shared" si="0"/>
        <v>128.54237288135596</v>
      </c>
      <c r="C48" s="33">
        <f>B48*10</f>
        <v>1285.4237288135596</v>
      </c>
      <c r="D48" s="234"/>
    </row>
    <row r="49" spans="1:6">
      <c r="A49" s="171" t="s">
        <v>76</v>
      </c>
      <c r="B49" s="33" t="str">
        <f t="shared" si="0"/>
        <v>-</v>
      </c>
      <c r="C49" s="34" t="s">
        <v>111</v>
      </c>
      <c r="D49" s="234"/>
    </row>
    <row r="50" spans="1:6">
      <c r="A50" s="171" t="s">
        <v>77</v>
      </c>
      <c r="B50" s="33">
        <f t="shared" si="0"/>
        <v>29.699999999999989</v>
      </c>
      <c r="C50" s="33">
        <f>B50*2</f>
        <v>59.399999999999977</v>
      </c>
      <c r="D50" s="234"/>
    </row>
    <row r="51" spans="1:6">
      <c r="A51" s="171" t="s">
        <v>78</v>
      </c>
      <c r="B51" s="33">
        <f t="shared" si="0"/>
        <v>1884.3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5612.6574890000002</v>
      </c>
      <c r="C5" s="17">
        <f>IF(ISERROR('Eigen informatie GS &amp; warmtenet'!B58),0,'Eigen informatie GS &amp; warmtenet'!B58)</f>
        <v>0</v>
      </c>
      <c r="D5" s="30">
        <f>SUM(D6:D12)</f>
        <v>8281.5082847860012</v>
      </c>
      <c r="E5" s="17">
        <f>SUM(E6:E12)</f>
        <v>74.895910354647953</v>
      </c>
      <c r="F5" s="17">
        <f>SUM(F6:F12)</f>
        <v>1117.681471098274</v>
      </c>
      <c r="G5" s="18"/>
      <c r="H5" s="17"/>
      <c r="I5" s="17"/>
      <c r="J5" s="17">
        <f>SUM(J6:J12)</f>
        <v>4.0745980690697063E-2</v>
      </c>
      <c r="K5" s="17"/>
      <c r="L5" s="17"/>
      <c r="M5" s="17"/>
      <c r="N5" s="17">
        <f>SUM(N6:N12)</f>
        <v>1603.4467080576849</v>
      </c>
      <c r="O5" s="17">
        <f>B38*B39*B40</f>
        <v>1.5633333333333335</v>
      </c>
      <c r="P5" s="17">
        <f>B46*B47*B48/1000-B46*B47*B48/1000/B49</f>
        <v>95.333333333333343</v>
      </c>
      <c r="R5" s="32"/>
    </row>
    <row r="6" spans="1:18">
      <c r="A6" s="32" t="s">
        <v>54</v>
      </c>
      <c r="B6" s="37">
        <f>B26</f>
        <v>1025.8235500000001</v>
      </c>
      <c r="C6" s="33"/>
      <c r="D6" s="37">
        <f>IF(ISERROR(TER_kantoor_gas_kWh/1000),0,TER_kantoor_gas_kWh/1000)*0.902</f>
        <v>656.88943760000006</v>
      </c>
      <c r="E6" s="33">
        <f>$C$26*'E Balans VL '!I12/100/3.6*1000000</f>
        <v>6.4295208278323914E-3</v>
      </c>
      <c r="F6" s="33">
        <f>$C$26*('E Balans VL '!L12+'E Balans VL '!N12)/100/3.6*1000000</f>
        <v>154.15261532119621</v>
      </c>
      <c r="G6" s="34"/>
      <c r="H6" s="33"/>
      <c r="I6" s="33"/>
      <c r="J6" s="33">
        <f>$C$26*('E Balans VL '!D12+'E Balans VL '!E12)/100/3.6*1000000</f>
        <v>0</v>
      </c>
      <c r="K6" s="33"/>
      <c r="L6" s="33"/>
      <c r="M6" s="33"/>
      <c r="N6" s="33">
        <f>$C$26*'E Balans VL '!Y12/100/3.6*1000000</f>
        <v>0.98104813054216999</v>
      </c>
      <c r="O6" s="33"/>
      <c r="P6" s="33"/>
      <c r="R6" s="32"/>
    </row>
    <row r="7" spans="1:18">
      <c r="A7" s="32" t="s">
        <v>53</v>
      </c>
      <c r="B7" s="37">
        <f t="shared" ref="B7:B12" si="0">B27</f>
        <v>486.48399999999998</v>
      </c>
      <c r="C7" s="33"/>
      <c r="D7" s="37">
        <f>IF(ISERROR(TER_horeca_gas_kWh/1000),0,TER_horeca_gas_kWh/1000)*0.902</f>
        <v>204.63403399999999</v>
      </c>
      <c r="E7" s="33">
        <f>$C$27*'E Balans VL '!I9/100/3.6*1000000</f>
        <v>6.966369847234601</v>
      </c>
      <c r="F7" s="33">
        <f>$C$27*('E Balans VL '!L9+'E Balans VL '!N9)/100/3.6*1000000</f>
        <v>61.604919260462118</v>
      </c>
      <c r="G7" s="34"/>
      <c r="H7" s="33"/>
      <c r="I7" s="33"/>
      <c r="J7" s="33">
        <f>$C$27*('E Balans VL '!D9+'E Balans VL '!E9)/100/3.6*1000000</f>
        <v>0</v>
      </c>
      <c r="K7" s="33"/>
      <c r="L7" s="33"/>
      <c r="M7" s="33"/>
      <c r="N7" s="33">
        <f>$C$27*'E Balans VL '!Y9/100/3.6*1000000</f>
        <v>0.13985342394852066</v>
      </c>
      <c r="O7" s="33"/>
      <c r="P7" s="33"/>
      <c r="R7" s="32"/>
    </row>
    <row r="8" spans="1:18">
      <c r="A8" s="6" t="s">
        <v>52</v>
      </c>
      <c r="B8" s="37">
        <f t="shared" si="0"/>
        <v>1772.8811110000001</v>
      </c>
      <c r="C8" s="33"/>
      <c r="D8" s="37">
        <f>IF(ISERROR(TER_handel_gas_kWh/1000),0,TER_handel_gas_kWh/1000)*0.902</f>
        <v>151.47737000000001</v>
      </c>
      <c r="E8" s="33">
        <f>$C$28*'E Balans VL '!I13/100/3.6*1000000</f>
        <v>64.302179274066006</v>
      </c>
      <c r="F8" s="33">
        <f>$C$28*('E Balans VL '!L13+'E Balans VL '!N13)/100/3.6*1000000</f>
        <v>341.47485354117362</v>
      </c>
      <c r="G8" s="34"/>
      <c r="H8" s="33"/>
      <c r="I8" s="33"/>
      <c r="J8" s="33">
        <f>$C$28*('E Balans VL '!D13+'E Balans VL '!E13)/100/3.6*1000000</f>
        <v>0</v>
      </c>
      <c r="K8" s="33"/>
      <c r="L8" s="33"/>
      <c r="M8" s="33"/>
      <c r="N8" s="33">
        <f>$C$28*'E Balans VL '!Y13/100/3.6*1000000</f>
        <v>2.4558482604858765</v>
      </c>
      <c r="O8" s="33"/>
      <c r="P8" s="33"/>
      <c r="R8" s="32"/>
    </row>
    <row r="9" spans="1:18">
      <c r="A9" s="32" t="s">
        <v>51</v>
      </c>
      <c r="B9" s="37">
        <f t="shared" si="0"/>
        <v>360.10682800000001</v>
      </c>
      <c r="C9" s="33"/>
      <c r="D9" s="37">
        <f>IF(ISERROR(TER_gezond_gas_kWh/1000),0,TER_gezond_gas_kWh/1000)*0.902</f>
        <v>78.940333999999993</v>
      </c>
      <c r="E9" s="33">
        <f>$C$29*'E Balans VL '!I10/100/3.6*1000000</f>
        <v>2.2546242845404071E-2</v>
      </c>
      <c r="F9" s="33">
        <f>$C$29*('E Balans VL '!L10+'E Balans VL '!N10)/100/3.6*1000000</f>
        <v>53.494965720273662</v>
      </c>
      <c r="G9" s="34"/>
      <c r="H9" s="33"/>
      <c r="I9" s="33"/>
      <c r="J9" s="33">
        <f>$C$29*('E Balans VL '!D10+'E Balans VL '!E10)/100/3.6*1000000</f>
        <v>0</v>
      </c>
      <c r="K9" s="33"/>
      <c r="L9" s="33"/>
      <c r="M9" s="33"/>
      <c r="N9" s="33">
        <f>$C$29*'E Balans VL '!Y10/100/3.6*1000000</f>
        <v>5.5701671628426945</v>
      </c>
      <c r="O9" s="33"/>
      <c r="P9" s="33"/>
      <c r="R9" s="32"/>
    </row>
    <row r="10" spans="1:18">
      <c r="A10" s="32" t="s">
        <v>50</v>
      </c>
      <c r="B10" s="37">
        <f t="shared" si="0"/>
        <v>1877.1690000000001</v>
      </c>
      <c r="C10" s="33"/>
      <c r="D10" s="37">
        <f>IF(ISERROR(TER_ander_gas_kWh/1000),0,TER_ander_gas_kWh/1000)*0.902</f>
        <v>7136.5385291860002</v>
      </c>
      <c r="E10" s="33">
        <f>$C$30*'E Balans VL '!I14/100/3.6*1000000</f>
        <v>2.2375183693142464</v>
      </c>
      <c r="F10" s="33">
        <f>$C$30*('E Balans VL '!L14+'E Balans VL '!N14)/100/3.6*1000000</f>
        <v>491.15086277912786</v>
      </c>
      <c r="G10" s="34"/>
      <c r="H10" s="33"/>
      <c r="I10" s="33"/>
      <c r="J10" s="33">
        <f>$C$30*('E Balans VL '!D14+'E Balans VL '!E14)/100/3.6*1000000</f>
        <v>4.0745980690697063E-2</v>
      </c>
      <c r="K10" s="33"/>
      <c r="L10" s="33"/>
      <c r="M10" s="33"/>
      <c r="N10" s="33">
        <f>$C$30*'E Balans VL '!Y14/100/3.6*1000000</f>
        <v>1594.0459811211326</v>
      </c>
      <c r="O10" s="33"/>
      <c r="P10" s="33"/>
      <c r="R10" s="32"/>
    </row>
    <row r="11" spans="1:18">
      <c r="A11" s="32" t="s">
        <v>55</v>
      </c>
      <c r="B11" s="37">
        <f t="shared" si="0"/>
        <v>90.192999999999998</v>
      </c>
      <c r="C11" s="33"/>
      <c r="D11" s="37">
        <f>IF(ISERROR(TER_onderwijs_gas_kWh/1000),0,TER_onderwijs_gas_kWh/1000)*0.902</f>
        <v>0</v>
      </c>
      <c r="E11" s="33">
        <f>$C$31*'E Balans VL '!I11/100/3.6*1000000</f>
        <v>1.3608671003598545</v>
      </c>
      <c r="F11" s="33">
        <f>$C$31*('E Balans VL '!L11+'E Balans VL '!N11)/100/3.6*1000000</f>
        <v>15.803254476040578</v>
      </c>
      <c r="G11" s="34"/>
      <c r="H11" s="33"/>
      <c r="I11" s="33"/>
      <c r="J11" s="33">
        <f>$C$31*('E Balans VL '!D11+'E Balans VL '!E11)/100/3.6*1000000</f>
        <v>0</v>
      </c>
      <c r="K11" s="33"/>
      <c r="L11" s="33"/>
      <c r="M11" s="33"/>
      <c r="N11" s="33">
        <f>$C$31*'E Balans VL '!Y11/100/3.6*1000000</f>
        <v>0.25380995873297724</v>
      </c>
      <c r="O11" s="33"/>
      <c r="P11" s="33"/>
      <c r="R11" s="32"/>
    </row>
    <row r="12" spans="1:18">
      <c r="A12" s="32" t="s">
        <v>260</v>
      </c>
      <c r="B12" s="37">
        <f t="shared" si="0"/>
        <v>0</v>
      </c>
      <c r="C12" s="33"/>
      <c r="D12" s="37">
        <f>IF(ISERROR(TER_rest_gas_kWh/1000),0,TER_rest_gas_kWh/1000)*0.902</f>
        <v>53.028579999999998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5612.6574890000002</v>
      </c>
      <c r="C16" s="21">
        <f t="shared" ca="1" si="1"/>
        <v>0</v>
      </c>
      <c r="D16" s="21">
        <f t="shared" ca="1" si="1"/>
        <v>8281.5082847860012</v>
      </c>
      <c r="E16" s="21">
        <f t="shared" si="1"/>
        <v>74.895910354647953</v>
      </c>
      <c r="F16" s="21">
        <f t="shared" ca="1" si="1"/>
        <v>1117.681471098274</v>
      </c>
      <c r="G16" s="21">
        <f t="shared" si="1"/>
        <v>0</v>
      </c>
      <c r="H16" s="21">
        <f t="shared" si="1"/>
        <v>0</v>
      </c>
      <c r="I16" s="21">
        <f t="shared" si="1"/>
        <v>0</v>
      </c>
      <c r="J16" s="21">
        <f t="shared" si="1"/>
        <v>4.0745980690697063E-2</v>
      </c>
      <c r="K16" s="21">
        <f t="shared" si="1"/>
        <v>0</v>
      </c>
      <c r="L16" s="21">
        <f t="shared" ca="1" si="1"/>
        <v>0</v>
      </c>
      <c r="M16" s="21">
        <f t="shared" si="1"/>
        <v>0</v>
      </c>
      <c r="N16" s="21">
        <f t="shared" ca="1" si="1"/>
        <v>1603.4467080576849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1672.8646735267723</v>
      </c>
      <c r="E20" s="23">
        <f t="shared" si="2"/>
        <v>17.001371650505085</v>
      </c>
      <c r="F20" s="23">
        <f t="shared" ca="1" si="2"/>
        <v>298.42095278323916</v>
      </c>
      <c r="G20" s="23">
        <f t="shared" si="2"/>
        <v>0</v>
      </c>
      <c r="H20" s="23">
        <f t="shared" si="2"/>
        <v>0</v>
      </c>
      <c r="I20" s="23">
        <f t="shared" si="2"/>
        <v>0</v>
      </c>
      <c r="J20" s="23">
        <f t="shared" si="2"/>
        <v>1.4424077164506759E-2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1025.8235500000001</v>
      </c>
      <c r="C26" s="39">
        <f>IF(ISERROR(B26*3.6/1000000/'E Balans VL '!Z12*100),0,B26*3.6/1000000/'E Balans VL '!Z12*100)</f>
        <v>2.1684284811234425E-2</v>
      </c>
      <c r="D26" s="237" t="s">
        <v>754</v>
      </c>
      <c r="F26" s="6"/>
    </row>
    <row r="27" spans="1:18">
      <c r="A27" s="231" t="s">
        <v>53</v>
      </c>
      <c r="B27" s="33">
        <f>IF(ISERROR(TER_horeca_ele_kWh/1000),0,TER_horeca_ele_kWh/1000)</f>
        <v>486.48399999999998</v>
      </c>
      <c r="C27" s="39">
        <f>IF(ISERROR(B27*3.6/1000000/'E Balans VL '!Z9*100),0,B27*3.6/1000000/'E Balans VL '!Z9*100)</f>
        <v>3.8349352398156386E-2</v>
      </c>
      <c r="D27" s="237" t="s">
        <v>754</v>
      </c>
      <c r="F27" s="6"/>
    </row>
    <row r="28" spans="1:18">
      <c r="A28" s="171" t="s">
        <v>52</v>
      </c>
      <c r="B28" s="33">
        <f>IF(ISERROR(TER_handel_ele_kWh/1000),0,TER_handel_ele_kWh/1000)</f>
        <v>1772.8811110000001</v>
      </c>
      <c r="C28" s="39">
        <f>IF(ISERROR(B28*3.6/1000000/'E Balans VL '!Z13*100),0,B28*3.6/1000000/'E Balans VL '!Z13*100)</f>
        <v>5.145617308359348E-2</v>
      </c>
      <c r="D28" s="237" t="s">
        <v>754</v>
      </c>
      <c r="F28" s="6"/>
    </row>
    <row r="29" spans="1:18">
      <c r="A29" s="231" t="s">
        <v>51</v>
      </c>
      <c r="B29" s="33">
        <f>IF(ISERROR(TER_gezond_ele_kWh/1000),0,TER_gezond_ele_kWh/1000)</f>
        <v>360.10682800000001</v>
      </c>
      <c r="C29" s="39">
        <f>IF(ISERROR(B29*3.6/1000000/'E Balans VL '!Z10*100),0,B29*3.6/1000000/'E Balans VL '!Z10*100)</f>
        <v>3.7925162098599016E-2</v>
      </c>
      <c r="D29" s="237" t="s">
        <v>754</v>
      </c>
      <c r="F29" s="6"/>
    </row>
    <row r="30" spans="1:18">
      <c r="A30" s="231" t="s">
        <v>50</v>
      </c>
      <c r="B30" s="33">
        <f>IF(ISERROR(TER_ander_ele_kWh/1000),0,TER_ander_ele_kWh/1000)</f>
        <v>1877.1690000000001</v>
      </c>
      <c r="C30" s="39">
        <f>IF(ISERROR(B30*3.6/1000000/'E Balans VL '!Z14*100),0,B30*3.6/1000000/'E Balans VL '!Z14*100)</f>
        <v>0.13846039315907865</v>
      </c>
      <c r="D30" s="237" t="s">
        <v>754</v>
      </c>
      <c r="F30" s="6"/>
    </row>
    <row r="31" spans="1:18">
      <c r="A31" s="231" t="s">
        <v>55</v>
      </c>
      <c r="B31" s="33">
        <f>IF(ISERROR(TER_onderwijs_ele_kWh/1000),0,TER_onderwijs_ele_kWh/1000)</f>
        <v>90.192999999999998</v>
      </c>
      <c r="C31" s="39">
        <f>IF(ISERROR(B31*3.6/1000000/'E Balans VL '!Z11*100),0,B31*3.6/1000000/'E Balans VL '!Z11*100)</f>
        <v>2.2399146788932411E-2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1276.8080500000001</v>
      </c>
      <c r="C5" s="17">
        <f>IF(ISERROR('Eigen informatie GS &amp; warmtenet'!B59),0,'Eigen informatie GS &amp; warmtenet'!B59)</f>
        <v>0</v>
      </c>
      <c r="D5" s="30">
        <f>SUM(D6:D15)</f>
        <v>657.44362640000008</v>
      </c>
      <c r="E5" s="17">
        <f>SUM(E6:E15)</f>
        <v>330.18002309444131</v>
      </c>
      <c r="F5" s="17">
        <f>SUM(F6:F15)</f>
        <v>917.18277184394117</v>
      </c>
      <c r="G5" s="18"/>
      <c r="H5" s="17"/>
      <c r="I5" s="17"/>
      <c r="J5" s="17">
        <f>SUM(J6:J15)</f>
        <v>2.6914297040510453E-2</v>
      </c>
      <c r="K5" s="17"/>
      <c r="L5" s="17"/>
      <c r="M5" s="17"/>
      <c r="N5" s="17">
        <f>SUM(N6:N15)</f>
        <v>380.91818659541048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46.055</v>
      </c>
      <c r="C8" s="33"/>
      <c r="D8" s="37">
        <f>IF( ISERROR(IND_metaal_Gas_kWH/1000),0,IND_metaal_Gas_kWH/1000)*0.902</f>
        <v>0</v>
      </c>
      <c r="E8" s="33">
        <f>C30*'E Balans VL '!I18/100/3.6*1000000</f>
        <v>0.42343124465799065</v>
      </c>
      <c r="F8" s="33">
        <f>C30*'E Balans VL '!L18/100/3.6*1000000+C30*'E Balans VL '!N18/100/3.6*1000000</f>
        <v>4.3184256738396973</v>
      </c>
      <c r="G8" s="34"/>
      <c r="H8" s="33"/>
      <c r="I8" s="33"/>
      <c r="J8" s="40">
        <f>C30*'E Balans VL '!D18/100/3.6*1000000+C30*'E Balans VL '!E18/100/3.6*1000000</f>
        <v>0</v>
      </c>
      <c r="K8" s="33"/>
      <c r="L8" s="33"/>
      <c r="M8" s="33"/>
      <c r="N8" s="33">
        <f>C30*'E Balans VL '!Y18/100/3.6*1000000</f>
        <v>0.65705068409253364</v>
      </c>
      <c r="O8" s="33"/>
      <c r="P8" s="33"/>
      <c r="R8" s="32"/>
    </row>
    <row r="9" spans="1:18">
      <c r="A9" s="6" t="s">
        <v>33</v>
      </c>
      <c r="B9" s="37">
        <f t="shared" si="0"/>
        <v>1125.9110500000002</v>
      </c>
      <c r="C9" s="33"/>
      <c r="D9" s="37">
        <f>IF( ISERROR(IND_andere_gas_kWh/1000),0,IND_andere_gas_kWh/1000)*0.902</f>
        <v>596.60282440000003</v>
      </c>
      <c r="E9" s="33">
        <f>C31*'E Balans VL '!I19/100/3.6*1000000</f>
        <v>329.12571881782395</v>
      </c>
      <c r="F9" s="33">
        <f>C31*'E Balans VL '!L19/100/3.6*1000000+C31*'E Balans VL '!N19/100/3.6*1000000</f>
        <v>904.75475231063297</v>
      </c>
      <c r="G9" s="34"/>
      <c r="H9" s="33"/>
      <c r="I9" s="33"/>
      <c r="J9" s="40">
        <f>C31*'E Balans VL '!D19/100/3.6*1000000+C31*'E Balans VL '!E19/100/3.6*1000000</f>
        <v>0</v>
      </c>
      <c r="K9" s="33"/>
      <c r="L9" s="33"/>
      <c r="M9" s="33"/>
      <c r="N9" s="33">
        <f>C31*'E Balans VL '!Y19/100/3.6*1000000</f>
        <v>372.01847256235408</v>
      </c>
      <c r="O9" s="33"/>
      <c r="P9" s="33"/>
      <c r="R9" s="32"/>
    </row>
    <row r="10" spans="1:18">
      <c r="A10" s="6" t="s">
        <v>41</v>
      </c>
      <c r="B10" s="37">
        <f t="shared" si="0"/>
        <v>85.772999999999996</v>
      </c>
      <c r="C10" s="33"/>
      <c r="D10" s="37">
        <f>IF( ISERROR(IND_voed_gas_kWh/1000),0,IND_voed_gas_kWh/1000)*0.902</f>
        <v>0</v>
      </c>
      <c r="E10" s="33">
        <f>C32*'E Balans VL '!I20/100/3.6*1000000</f>
        <v>0.1814541114261165</v>
      </c>
      <c r="F10" s="33">
        <f>C32*'E Balans VL '!L20/100/3.6*1000000+C32*'E Balans VL '!N20/100/3.6*1000000</f>
        <v>5.4535349545502436</v>
      </c>
      <c r="G10" s="34"/>
      <c r="H10" s="33"/>
      <c r="I10" s="33"/>
      <c r="J10" s="40">
        <f>C32*'E Balans VL '!D20/100/3.6*1000000+C32*'E Balans VL '!E20/100/3.6*1000000</f>
        <v>0</v>
      </c>
      <c r="K10" s="33"/>
      <c r="L10" s="33"/>
      <c r="M10" s="33"/>
      <c r="N10" s="33">
        <f>C32*'E Balans VL '!Y20/100/3.6*1000000</f>
        <v>5.9191834286461305</v>
      </c>
      <c r="O10" s="33"/>
      <c r="P10" s="33"/>
      <c r="R10" s="32"/>
    </row>
    <row r="11" spans="1:18">
      <c r="A11" s="6" t="s">
        <v>40</v>
      </c>
      <c r="B11" s="37">
        <f t="shared" si="0"/>
        <v>11.551</v>
      </c>
      <c r="C11" s="33"/>
      <c r="D11" s="37">
        <f>IF( ISERROR(IND_textiel_gas_kWh/1000),0,IND_textiel_gas_kWh/1000)*0.902</f>
        <v>0</v>
      </c>
      <c r="E11" s="33">
        <f>C33*'E Balans VL '!I21/100/3.6*1000000</f>
        <v>3.4305474112347994E-2</v>
      </c>
      <c r="F11" s="33">
        <f>C33*'E Balans VL '!L21/100/3.6*1000000+C33*'E Balans VL '!N21/100/3.6*1000000</f>
        <v>1.1669681225009962</v>
      </c>
      <c r="G11" s="34"/>
      <c r="H11" s="33"/>
      <c r="I11" s="33"/>
      <c r="J11" s="40">
        <f>C33*'E Balans VL '!D21/100/3.6*1000000+C33*'E Balans VL '!E21/100/3.6*1000000</f>
        <v>0</v>
      </c>
      <c r="K11" s="33"/>
      <c r="L11" s="33"/>
      <c r="M11" s="33"/>
      <c r="N11" s="33">
        <f>C33*'E Balans VL '!Y21/100/3.6*1000000</f>
        <v>0.63707451333295662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7.5179999999999998</v>
      </c>
      <c r="C15" s="33"/>
      <c r="D15" s="37">
        <f>IF( ISERROR(IND_rest_gas_kWh/1000),0,IND_rest_gas_kWh/1000)*0.902</f>
        <v>60.840801999999996</v>
      </c>
      <c r="E15" s="33">
        <f>C37*'E Balans VL '!I15/100/3.6*1000000</f>
        <v>0.41511344642093762</v>
      </c>
      <c r="F15" s="33">
        <f>C37*'E Balans VL '!L15/100/3.6*1000000+C37*'E Balans VL '!N15/100/3.6*1000000</f>
        <v>1.4890907824173334</v>
      </c>
      <c r="G15" s="34"/>
      <c r="H15" s="33"/>
      <c r="I15" s="33"/>
      <c r="J15" s="40">
        <f>C37*'E Balans VL '!D15/100/3.6*1000000+C37*'E Balans VL '!E15/100/3.6*1000000</f>
        <v>2.6914297040510453E-2</v>
      </c>
      <c r="K15" s="33"/>
      <c r="L15" s="33"/>
      <c r="M15" s="33"/>
      <c r="N15" s="33">
        <f>C37*'E Balans VL '!Y15/100/3.6*1000000</f>
        <v>1.6864054069847583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1276.8080500000001</v>
      </c>
      <c r="C18" s="21">
        <f>C5+C16</f>
        <v>0</v>
      </c>
      <c r="D18" s="21">
        <f>MAX((D5+D16),0)</f>
        <v>657.44362640000008</v>
      </c>
      <c r="E18" s="21">
        <f>MAX((E5+E16),0)</f>
        <v>330.18002309444131</v>
      </c>
      <c r="F18" s="21">
        <f>MAX((F5+F16),0)</f>
        <v>917.18277184394117</v>
      </c>
      <c r="G18" s="21"/>
      <c r="H18" s="21"/>
      <c r="I18" s="21"/>
      <c r="J18" s="21">
        <f>MAX((J5+J16),0)</f>
        <v>2.6914297040510453E-2</v>
      </c>
      <c r="K18" s="21"/>
      <c r="L18" s="21">
        <f>MAX((L5+L16),0)</f>
        <v>0</v>
      </c>
      <c r="M18" s="21"/>
      <c r="N18" s="21">
        <f>MAX((N5+N16),0)</f>
        <v>380.91818659541048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132.80361253280003</v>
      </c>
      <c r="E22" s="23">
        <f>E18*E20</f>
        <v>74.950865242438184</v>
      </c>
      <c r="F22" s="23">
        <f>F18*F20</f>
        <v>244.88780008233232</v>
      </c>
      <c r="G22" s="23"/>
      <c r="H22" s="23"/>
      <c r="I22" s="23"/>
      <c r="J22" s="23">
        <f>J18*J20</f>
        <v>9.5276611523407006E-3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46.055</v>
      </c>
      <c r="C30" s="39">
        <f>IF(ISERROR(B30*3.6/1000000/'E Balans VL '!Z18*100),0,B30*3.6/1000000/'E Balans VL '!Z18*100)</f>
        <v>2.6100549427438371E-3</v>
      </c>
      <c r="D30" s="237" t="s">
        <v>754</v>
      </c>
    </row>
    <row r="31" spans="1:18">
      <c r="A31" s="6" t="s">
        <v>33</v>
      </c>
      <c r="B31" s="37">
        <f>IF( ISERROR(IND_ander_ele_kWh/1000),0,IND_ander_ele_kWh/1000)</f>
        <v>1125.9110500000002</v>
      </c>
      <c r="C31" s="39">
        <f>IF(ISERROR(B31*3.6/1000000/'E Balans VL '!Z19*100),0,B31*3.6/1000000/'E Balans VL '!Z19*100)</f>
        <v>5.1066637015984712E-2</v>
      </c>
      <c r="D31" s="237" t="s">
        <v>754</v>
      </c>
    </row>
    <row r="32" spans="1:18">
      <c r="A32" s="171" t="s">
        <v>41</v>
      </c>
      <c r="B32" s="37">
        <f>IF( ISERROR(IND_voed_ele_kWh/1000),0,IND_voed_ele_kWh/1000)</f>
        <v>85.772999999999996</v>
      </c>
      <c r="C32" s="39">
        <f>IF(ISERROR(B32*3.6/1000000/'E Balans VL '!Z20*100),0,B32*3.6/1000000/'E Balans VL '!Z20*100)</f>
        <v>2.6533482665427998E-3</v>
      </c>
      <c r="D32" s="237" t="s">
        <v>754</v>
      </c>
    </row>
    <row r="33" spans="1:5">
      <c r="A33" s="171" t="s">
        <v>40</v>
      </c>
      <c r="B33" s="37">
        <f>IF( ISERROR(IND_textiel_ele_kWh/1000),0,IND_textiel_ele_kWh/1000)</f>
        <v>11.551</v>
      </c>
      <c r="C33" s="39">
        <f>IF(ISERROR(B33*3.6/1000000/'E Balans VL '!Z21*100),0,B33*3.6/1000000/'E Balans VL '!Z21*100)</f>
        <v>1.5061220040970633E-3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7.5179999999999998</v>
      </c>
      <c r="C37" s="39">
        <f>IF(ISERROR(B37*3.6/1000000/'E Balans VL '!Z15*100),0,B37*3.6/1000000/'E Balans VL '!Z15*100)</f>
        <v>5.9589382982101031E-5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1371.1861029999998</v>
      </c>
      <c r="C5" s="17">
        <f>'Eigen informatie GS &amp; warmtenet'!B60</f>
        <v>0</v>
      </c>
      <c r="D5" s="30">
        <f>IF(ISERROR(SUM(LB_lb_gas_kWh,LB_rest_gas_kWh)/1000),0,SUM(LB_lb_gas_kWh,LB_rest_gas_kWh)/1000)*0.902</f>
        <v>125.006376</v>
      </c>
      <c r="E5" s="17">
        <f>B17*'E Balans VL '!I25/3.6*1000000/100</f>
        <v>40.303347652923691</v>
      </c>
      <c r="F5" s="17">
        <f>B17*('E Balans VL '!L25/3.6*1000000+'E Balans VL '!N25/3.6*1000000)/100</f>
        <v>5712.2872100900677</v>
      </c>
      <c r="G5" s="18"/>
      <c r="H5" s="17"/>
      <c r="I5" s="17"/>
      <c r="J5" s="17">
        <f>('E Balans VL '!D25+'E Balans VL '!E25)/3.6*1000000*landbouw!B17/100</f>
        <v>198.65541976606659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1371.1861029999998</v>
      </c>
      <c r="C8" s="21">
        <f>C5+C6</f>
        <v>0</v>
      </c>
      <c r="D8" s="21">
        <f>MAX((D5+D6),0)</f>
        <v>125.006376</v>
      </c>
      <c r="E8" s="21">
        <f>MAX((E5+E6),0)</f>
        <v>40.303347652923691</v>
      </c>
      <c r="F8" s="21">
        <f>MAX((F5+F6),0)</f>
        <v>5712.2872100900677</v>
      </c>
      <c r="G8" s="21"/>
      <c r="H8" s="21"/>
      <c r="I8" s="21"/>
      <c r="J8" s="21">
        <f>MAX((J5+J6),0)</f>
        <v>198.65541976606659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25.251287952000002</v>
      </c>
      <c r="E12" s="23">
        <f>E8*E10</f>
        <v>9.1488599172136773</v>
      </c>
      <c r="F12" s="23">
        <f>F8*F10</f>
        <v>1525.1806850940482</v>
      </c>
      <c r="G12" s="23"/>
      <c r="H12" s="23"/>
      <c r="I12" s="23"/>
      <c r="J12" s="23">
        <f>J8*J10</f>
        <v>70.324018597187575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0.19457560998090156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30.497585919502221</v>
      </c>
      <c r="C26" s="247">
        <f>B26*'GWP N2O_CH4'!B5</f>
        <v>640.44930430954662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13.393712919939786</v>
      </c>
      <c r="C27" s="247">
        <f>B27*'GWP N2O_CH4'!B5</f>
        <v>281.26797131873548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0.53969531398710846</v>
      </c>
      <c r="C28" s="247">
        <f>B28*'GWP N2O_CH4'!B4</f>
        <v>167.30554733600363</v>
      </c>
      <c r="D28" s="50"/>
    </row>
    <row r="29" spans="1:4">
      <c r="A29" s="41" t="s">
        <v>277</v>
      </c>
      <c r="B29" s="247">
        <f>B34*'ha_N2O bodem landbouw'!B4</f>
        <v>29.56351049827742</v>
      </c>
      <c r="C29" s="247">
        <f>B29*'GWP N2O_CH4'!B4</f>
        <v>9164.6882544660002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6.7462912153173696E-3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1.2304918501971658E-4</v>
      </c>
      <c r="C5" s="463" t="s">
        <v>211</v>
      </c>
      <c r="D5" s="448">
        <f>SUM(D6:D11)</f>
        <v>4.1584036752601483E-4</v>
      </c>
      <c r="E5" s="448">
        <f>SUM(E6:E11)</f>
        <v>6.1682382479640312E-4</v>
      </c>
      <c r="F5" s="461" t="s">
        <v>211</v>
      </c>
      <c r="G5" s="448">
        <f>SUM(G6:G11)</f>
        <v>0.21668202786142537</v>
      </c>
      <c r="H5" s="448">
        <f>SUM(H6:H11)</f>
        <v>4.7848452744552357E-2</v>
      </c>
      <c r="I5" s="463" t="s">
        <v>211</v>
      </c>
      <c r="J5" s="463" t="s">
        <v>211</v>
      </c>
      <c r="K5" s="463" t="s">
        <v>211</v>
      </c>
      <c r="L5" s="463" t="s">
        <v>211</v>
      </c>
      <c r="M5" s="448">
        <f>SUM(M6:M11)</f>
        <v>1.4071274737411847E-2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5.1339190474258813E-5</v>
      </c>
      <c r="C6" s="449"/>
      <c r="D6" s="892">
        <f>vkm_2011_GW_PW*SUMIFS(TableVerdeelsleutelVkm[CNG],TableVerdeelsleutelVkm[Voertuigtype],"Lichte voertuigen")*SUMIFS(TableECFTransport[EnergieConsumptieFactor (PJ per km)],TableECFTransport[Index],CONCATENATE($A6,"_CNG_CNG"))</f>
        <v>1.5398810540770202E-4</v>
      </c>
      <c r="E6" s="892">
        <f>vkm_2011_GW_PW*SUMIFS(TableVerdeelsleutelVkm[LPG],TableVerdeelsleutelVkm[Voertuigtype],"Lichte voertuigen")*SUMIFS(TableECFTransport[EnergieConsumptieFactor (PJ per km)],TableECFTransport[Index],CONCATENATE($A6,"_LPG_LPG"))</f>
        <v>2.1036987128817373E-4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5.4392005210335923E-2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1.7514375120477522E-2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3.6944970576516627E-3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2.0852164100834441E-2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6.3553158998068236E-6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1.2185301188443306E-3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1.6789060456478248E-5</v>
      </c>
      <c r="C8" s="449"/>
      <c r="D8" s="451">
        <f>vkm_2011_NGW_PW*SUMIFS(TableVerdeelsleutelVkm[CNG],TableVerdeelsleutelVkm[Voertuigtype],"Lichte voertuigen")*SUMIFS(TableECFTransport[EnergieConsumptieFactor (PJ per km)],TableECFTransport[Index],CONCATENATE($A8,"_CNG_CNG"))</f>
        <v>8.9536279711595145E-5</v>
      </c>
      <c r="E8" s="451">
        <f>vkm_2011_NGW_PW*SUMIFS(TableVerdeelsleutelVkm[LPG],TableVerdeelsleutelVkm[Voertuigtype],"Lichte voertuigen")*SUMIFS(TableECFTransport[EnergieConsumptieFactor (PJ per km)],TableECFTransport[Index],CONCATENATE($A8,"_LPG_LPG"))</f>
        <v>1.1328166236056409E-4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2.729466364073202E-2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9.896346836128108E-3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1.8866069799109903E-3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5.3304585501847177E-5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1.5294350230152345E-8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3.1149120684621215E-6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5.4920934088979542E-5</v>
      </c>
      <c r="C10" s="449"/>
      <c r="D10" s="451">
        <f>vkm_2011_SW_PW*SUMIFS(TableVerdeelsleutelVkm[CNG],TableVerdeelsleutelVkm[Voertuigtype],"Lichte voertuigen")*SUMIFS(TableECFTransport[EnergieConsumptieFactor (PJ per km)],TableECFTransport[Index],CONCATENATE($A10,"_CNG_CNG"))</f>
        <v>1.7231598240671764E-4</v>
      </c>
      <c r="E10" s="451">
        <f>vkm_2011_SW_PW*SUMIFS(TableVerdeelsleutelVkm[LPG],TableVerdeelsleutelVkm[Voertuigtype],"Lichte voertuigen")*SUMIFS(TableECFTransport[EnergieConsumptieFactor (PJ per km)],TableECFTransport[Index],CONCATENATE($A10,"_LPG_LPG"))</f>
        <v>2.9317229114766535E-4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6.7576877349289577E-2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2.0416051417914714E-2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4.5504287180167914E-3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4.651301297473158E-2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1.5308759781974267E-5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2.7180969509196106E-3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34.180329172143495</v>
      </c>
      <c r="C14" s="21"/>
      <c r="D14" s="21">
        <f t="shared" ref="D14:M14" si="0">((D5)*10^9/3600)+D12</f>
        <v>115.5112132016708</v>
      </c>
      <c r="E14" s="21">
        <f t="shared" si="0"/>
        <v>171.33995133233421</v>
      </c>
      <c r="F14" s="21"/>
      <c r="G14" s="21">
        <f t="shared" si="0"/>
        <v>60189.45218372927</v>
      </c>
      <c r="H14" s="21">
        <f t="shared" si="0"/>
        <v>13291.236873486767</v>
      </c>
      <c r="I14" s="21"/>
      <c r="J14" s="21"/>
      <c r="K14" s="21"/>
      <c r="L14" s="21"/>
      <c r="M14" s="21">
        <f t="shared" si="0"/>
        <v>3908.6874270588464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23.333265066737503</v>
      </c>
      <c r="E18" s="23">
        <f t="shared" si="1"/>
        <v>38.89416895243987</v>
      </c>
      <c r="F18" s="23"/>
      <c r="G18" s="23">
        <f t="shared" si="1"/>
        <v>16070.583733055717</v>
      </c>
      <c r="H18" s="23">
        <f t="shared" si="1"/>
        <v>3309.5179814982048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3.1288355498998673E-3</v>
      </c>
      <c r="H50" s="321">
        <f t="shared" si="2"/>
        <v>0</v>
      </c>
      <c r="I50" s="321">
        <f t="shared" si="2"/>
        <v>0</v>
      </c>
      <c r="J50" s="321">
        <f t="shared" si="2"/>
        <v>0</v>
      </c>
      <c r="K50" s="321">
        <f t="shared" si="2"/>
        <v>0</v>
      </c>
      <c r="L50" s="321">
        <f t="shared" si="2"/>
        <v>0</v>
      </c>
      <c r="M50" s="321">
        <f t="shared" si="2"/>
        <v>1.7770404675078268E-4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3.1288355498998673E-3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1.7770404675078268E-4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869.12098608329643</v>
      </c>
      <c r="H54" s="21">
        <f t="shared" si="3"/>
        <v>0</v>
      </c>
      <c r="I54" s="21">
        <f t="shared" si="3"/>
        <v>0</v>
      </c>
      <c r="J54" s="21">
        <f t="shared" si="3"/>
        <v>0</v>
      </c>
      <c r="K54" s="21">
        <f t="shared" si="3"/>
        <v>0</v>
      </c>
      <c r="L54" s="21">
        <f t="shared" si="3"/>
        <v>0</v>
      </c>
      <c r="M54" s="21">
        <f t="shared" si="3"/>
        <v>49.362235208550743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232.05530328424015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6087.5734890000003</v>
      </c>
      <c r="D10" s="1013">
        <f ca="1">tertiair!C16</f>
        <v>0</v>
      </c>
      <c r="E10" s="1013">
        <f ca="1">tertiair!D16</f>
        <v>8281.5082847860012</v>
      </c>
      <c r="F10" s="1013">
        <f>tertiair!E16</f>
        <v>74.895910354647953</v>
      </c>
      <c r="G10" s="1013">
        <f ca="1">tertiair!F16</f>
        <v>1117.681471098274</v>
      </c>
      <c r="H10" s="1013">
        <f>tertiair!G16</f>
        <v>0</v>
      </c>
      <c r="I10" s="1013">
        <f>tertiair!H16</f>
        <v>0</v>
      </c>
      <c r="J10" s="1013">
        <f>tertiair!I16</f>
        <v>0</v>
      </c>
      <c r="K10" s="1013">
        <f>tertiair!J16</f>
        <v>4.0745980690697063E-2</v>
      </c>
      <c r="L10" s="1013">
        <f>tertiair!K16</f>
        <v>0</v>
      </c>
      <c r="M10" s="1013">
        <f ca="1">tertiair!L16</f>
        <v>0</v>
      </c>
      <c r="N10" s="1013">
        <f>tertiair!M16</f>
        <v>0</v>
      </c>
      <c r="O10" s="1013">
        <f ca="1">tertiair!N16</f>
        <v>1603.4467080576849</v>
      </c>
      <c r="P10" s="1013">
        <f>tertiair!O16</f>
        <v>1.5633333333333335</v>
      </c>
      <c r="Q10" s="1014">
        <f>tertiair!P16</f>
        <v>95.333333333333343</v>
      </c>
      <c r="R10" s="700">
        <f ca="1">SUM(C10:Q10)</f>
        <v>17262.043275943961</v>
      </c>
      <c r="S10" s="67"/>
    </row>
    <row r="11" spans="1:19" s="473" customFormat="1">
      <c r="A11" s="809" t="s">
        <v>225</v>
      </c>
      <c r="B11" s="814"/>
      <c r="C11" s="1013">
        <f>huishoudens!B8</f>
        <v>14816.712530249721</v>
      </c>
      <c r="D11" s="1013">
        <f>huishoudens!C8</f>
        <v>0</v>
      </c>
      <c r="E11" s="1013">
        <f>huishoudens!D8</f>
        <v>11702.1710542</v>
      </c>
      <c r="F11" s="1013">
        <f>huishoudens!E8</f>
        <v>5140.9577195519478</v>
      </c>
      <c r="G11" s="1013">
        <f>huishoudens!F8</f>
        <v>48781.298518566655</v>
      </c>
      <c r="H11" s="1013">
        <f>huishoudens!G8</f>
        <v>0</v>
      </c>
      <c r="I11" s="1013">
        <f>huishoudens!H8</f>
        <v>0</v>
      </c>
      <c r="J11" s="1013">
        <f>huishoudens!I8</f>
        <v>0</v>
      </c>
      <c r="K11" s="1013">
        <f>huishoudens!J8</f>
        <v>1047.2317109360072</v>
      </c>
      <c r="L11" s="1013">
        <f>huishoudens!K8</f>
        <v>0</v>
      </c>
      <c r="M11" s="1013">
        <f>huishoudens!L8</f>
        <v>0</v>
      </c>
      <c r="N11" s="1013">
        <f>huishoudens!M8</f>
        <v>0</v>
      </c>
      <c r="O11" s="1013">
        <f>huishoudens!N8</f>
        <v>9275.3496121899825</v>
      </c>
      <c r="P11" s="1013">
        <f>huishoudens!O8</f>
        <v>154.77000000000001</v>
      </c>
      <c r="Q11" s="1014">
        <f>huishoudens!P8</f>
        <v>781.73333333333335</v>
      </c>
      <c r="R11" s="700">
        <f>SUM(C11:Q11)</f>
        <v>91700.224479027645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1276.8080500000001</v>
      </c>
      <c r="D13" s="1013">
        <f>industrie!C18</f>
        <v>0</v>
      </c>
      <c r="E13" s="1013">
        <f>industrie!D18</f>
        <v>657.44362640000008</v>
      </c>
      <c r="F13" s="1013">
        <f>industrie!E18</f>
        <v>330.18002309444131</v>
      </c>
      <c r="G13" s="1013">
        <f>industrie!F18</f>
        <v>917.18277184394117</v>
      </c>
      <c r="H13" s="1013">
        <f>industrie!G18</f>
        <v>0</v>
      </c>
      <c r="I13" s="1013">
        <f>industrie!H18</f>
        <v>0</v>
      </c>
      <c r="J13" s="1013">
        <f>industrie!I18</f>
        <v>0</v>
      </c>
      <c r="K13" s="1013">
        <f>industrie!J18</f>
        <v>2.6914297040510453E-2</v>
      </c>
      <c r="L13" s="1013">
        <f>industrie!K18</f>
        <v>0</v>
      </c>
      <c r="M13" s="1013">
        <f>industrie!L18</f>
        <v>0</v>
      </c>
      <c r="N13" s="1013">
        <f>industrie!M18</f>
        <v>0</v>
      </c>
      <c r="O13" s="1013">
        <f>industrie!N18</f>
        <v>380.91818659541048</v>
      </c>
      <c r="P13" s="1013">
        <f>industrie!O18</f>
        <v>0</v>
      </c>
      <c r="Q13" s="1014">
        <f>industrie!P18</f>
        <v>0</v>
      </c>
      <c r="R13" s="700">
        <f>SUM(C13:Q13)</f>
        <v>3562.559572230834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22181.094069249721</v>
      </c>
      <c r="D16" s="732">
        <f t="shared" ref="D16:R16" ca="1" si="0">SUM(D9:D15)</f>
        <v>0</v>
      </c>
      <c r="E16" s="732">
        <f t="shared" ca="1" si="0"/>
        <v>20641.122965386003</v>
      </c>
      <c r="F16" s="732">
        <f t="shared" si="0"/>
        <v>5546.0336530010363</v>
      </c>
      <c r="G16" s="732">
        <f t="shared" ca="1" si="0"/>
        <v>50816.162761508866</v>
      </c>
      <c r="H16" s="732">
        <f t="shared" si="0"/>
        <v>0</v>
      </c>
      <c r="I16" s="732">
        <f t="shared" si="0"/>
        <v>0</v>
      </c>
      <c r="J16" s="732">
        <f t="shared" si="0"/>
        <v>0</v>
      </c>
      <c r="K16" s="732">
        <f t="shared" si="0"/>
        <v>1047.2993712137384</v>
      </c>
      <c r="L16" s="732">
        <f t="shared" si="0"/>
        <v>0</v>
      </c>
      <c r="M16" s="732">
        <f t="shared" ca="1" si="0"/>
        <v>0</v>
      </c>
      <c r="N16" s="732">
        <f t="shared" si="0"/>
        <v>0</v>
      </c>
      <c r="O16" s="732">
        <f t="shared" ca="1" si="0"/>
        <v>11259.714506843078</v>
      </c>
      <c r="P16" s="732">
        <f t="shared" si="0"/>
        <v>156.33333333333334</v>
      </c>
      <c r="Q16" s="732">
        <f t="shared" si="0"/>
        <v>877.06666666666672</v>
      </c>
      <c r="R16" s="732">
        <f t="shared" ca="1" si="0"/>
        <v>112524.82732720244</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869.12098608329643</v>
      </c>
      <c r="I19" s="1013">
        <f>transport!H54</f>
        <v>0</v>
      </c>
      <c r="J19" s="1013">
        <f>transport!I54</f>
        <v>0</v>
      </c>
      <c r="K19" s="1013">
        <f>transport!J54</f>
        <v>0</v>
      </c>
      <c r="L19" s="1013">
        <f>transport!K54</f>
        <v>0</v>
      </c>
      <c r="M19" s="1013">
        <f>transport!L54</f>
        <v>0</v>
      </c>
      <c r="N19" s="1013">
        <f>transport!M54</f>
        <v>49.362235208550743</v>
      </c>
      <c r="O19" s="1013">
        <f>transport!N54</f>
        <v>0</v>
      </c>
      <c r="P19" s="1013">
        <f>transport!O54</f>
        <v>0</v>
      </c>
      <c r="Q19" s="1014">
        <f>transport!P54</f>
        <v>0</v>
      </c>
      <c r="R19" s="700">
        <f>SUM(C19:Q19)</f>
        <v>918.48322129184714</v>
      </c>
      <c r="S19" s="67"/>
    </row>
    <row r="20" spans="1:19" s="473" customFormat="1">
      <c r="A20" s="809" t="s">
        <v>307</v>
      </c>
      <c r="B20" s="814"/>
      <c r="C20" s="1013">
        <f>transport!B14</f>
        <v>34.180329172143495</v>
      </c>
      <c r="D20" s="1013">
        <f>transport!C14</f>
        <v>0</v>
      </c>
      <c r="E20" s="1013">
        <f>transport!D14</f>
        <v>115.5112132016708</v>
      </c>
      <c r="F20" s="1013">
        <f>transport!E14</f>
        <v>171.33995133233421</v>
      </c>
      <c r="G20" s="1013">
        <f>transport!F14</f>
        <v>0</v>
      </c>
      <c r="H20" s="1013">
        <f>transport!G14</f>
        <v>60189.45218372927</v>
      </c>
      <c r="I20" s="1013">
        <f>transport!H14</f>
        <v>13291.236873486767</v>
      </c>
      <c r="J20" s="1013">
        <f>transport!I14</f>
        <v>0</v>
      </c>
      <c r="K20" s="1013">
        <f>transport!J14</f>
        <v>0</v>
      </c>
      <c r="L20" s="1013">
        <f>transport!K14</f>
        <v>0</v>
      </c>
      <c r="M20" s="1013">
        <f>transport!L14</f>
        <v>0</v>
      </c>
      <c r="N20" s="1013">
        <f>transport!M14</f>
        <v>3908.6874270588464</v>
      </c>
      <c r="O20" s="1013">
        <f>transport!N14</f>
        <v>0</v>
      </c>
      <c r="P20" s="1013">
        <f>transport!O14</f>
        <v>0</v>
      </c>
      <c r="Q20" s="1014">
        <f>transport!P14</f>
        <v>0</v>
      </c>
      <c r="R20" s="700">
        <f>SUM(C20:Q20)</f>
        <v>77710.407977981027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34.180329172143495</v>
      </c>
      <c r="D22" s="812">
        <f t="shared" ref="D22:R22" si="1">SUM(D18:D21)</f>
        <v>0</v>
      </c>
      <c r="E22" s="812">
        <f t="shared" si="1"/>
        <v>115.5112132016708</v>
      </c>
      <c r="F22" s="812">
        <f t="shared" si="1"/>
        <v>171.33995133233421</v>
      </c>
      <c r="G22" s="812">
        <f t="shared" si="1"/>
        <v>0</v>
      </c>
      <c r="H22" s="812">
        <f t="shared" si="1"/>
        <v>61058.573169812567</v>
      </c>
      <c r="I22" s="812">
        <f t="shared" si="1"/>
        <v>13291.236873486767</v>
      </c>
      <c r="J22" s="812">
        <f t="shared" si="1"/>
        <v>0</v>
      </c>
      <c r="K22" s="812">
        <f t="shared" si="1"/>
        <v>0</v>
      </c>
      <c r="L22" s="812">
        <f t="shared" si="1"/>
        <v>0</v>
      </c>
      <c r="M22" s="812">
        <f t="shared" si="1"/>
        <v>0</v>
      </c>
      <c r="N22" s="812">
        <f t="shared" si="1"/>
        <v>3958.0496622673973</v>
      </c>
      <c r="O22" s="812">
        <f t="shared" si="1"/>
        <v>0</v>
      </c>
      <c r="P22" s="812">
        <f t="shared" si="1"/>
        <v>0</v>
      </c>
      <c r="Q22" s="812">
        <f t="shared" si="1"/>
        <v>0</v>
      </c>
      <c r="R22" s="812">
        <f t="shared" si="1"/>
        <v>78628.891199272868</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1371.1861029999998</v>
      </c>
      <c r="D24" s="1013">
        <f>+landbouw!C8</f>
        <v>0</v>
      </c>
      <c r="E24" s="1013">
        <f>+landbouw!D8</f>
        <v>125.006376</v>
      </c>
      <c r="F24" s="1013">
        <f>+landbouw!E8</f>
        <v>40.303347652923691</v>
      </c>
      <c r="G24" s="1013">
        <f>+landbouw!F8</f>
        <v>5712.2872100900677</v>
      </c>
      <c r="H24" s="1013">
        <f>+landbouw!G8</f>
        <v>0</v>
      </c>
      <c r="I24" s="1013">
        <f>+landbouw!H8</f>
        <v>0</v>
      </c>
      <c r="J24" s="1013">
        <f>+landbouw!I8</f>
        <v>0</v>
      </c>
      <c r="K24" s="1013">
        <f>+landbouw!J8</f>
        <v>198.65541976606659</v>
      </c>
      <c r="L24" s="1013">
        <f>+landbouw!K8</f>
        <v>0</v>
      </c>
      <c r="M24" s="1013">
        <f>+landbouw!L8</f>
        <v>0</v>
      </c>
      <c r="N24" s="1013">
        <f>+landbouw!M8</f>
        <v>0</v>
      </c>
      <c r="O24" s="1013">
        <f>+landbouw!N8</f>
        <v>0</v>
      </c>
      <c r="P24" s="1013">
        <f>+landbouw!O8</f>
        <v>0</v>
      </c>
      <c r="Q24" s="1014">
        <f>+landbouw!P8</f>
        <v>0</v>
      </c>
      <c r="R24" s="700">
        <f>SUM(C24:Q24)</f>
        <v>7447.4384565090577</v>
      </c>
      <c r="S24" s="67"/>
    </row>
    <row r="25" spans="1:19" s="473" customFormat="1" ht="15" thickBot="1">
      <c r="A25" s="831" t="s">
        <v>836</v>
      </c>
      <c r="B25" s="1016"/>
      <c r="C25" s="1017">
        <f>IF(Onbekend_ele_kWh="---",0,Onbekend_ele_kWh)/1000+IF(REST_rest_ele_kWh="---",0,REST_rest_ele_kWh)/1000</f>
        <v>223.43815000000001</v>
      </c>
      <c r="D25" s="1017"/>
      <c r="E25" s="1017">
        <f>IF(onbekend_gas_kWh="---",0,onbekend_gas_kWh)/1000+IF(REST_rest_gas_kWh="---",0,REST_rest_gas_kWh)/1000</f>
        <v>1075.8810000000001</v>
      </c>
      <c r="F25" s="1017"/>
      <c r="G25" s="1017"/>
      <c r="H25" s="1017"/>
      <c r="I25" s="1017"/>
      <c r="J25" s="1017"/>
      <c r="K25" s="1017"/>
      <c r="L25" s="1017"/>
      <c r="M25" s="1017"/>
      <c r="N25" s="1017"/>
      <c r="O25" s="1017"/>
      <c r="P25" s="1017"/>
      <c r="Q25" s="1018"/>
      <c r="R25" s="700">
        <f>SUM(C25:Q25)</f>
        <v>1299.31915</v>
      </c>
      <c r="S25" s="67"/>
    </row>
    <row r="26" spans="1:19" s="473" customFormat="1" ht="15.75" thickBot="1">
      <c r="A26" s="705" t="s">
        <v>837</v>
      </c>
      <c r="B26" s="817"/>
      <c r="C26" s="812">
        <f>SUM(C24:C25)</f>
        <v>1594.6242529999997</v>
      </c>
      <c r="D26" s="812">
        <f t="shared" ref="D26:R26" si="2">SUM(D24:D25)</f>
        <v>0</v>
      </c>
      <c r="E26" s="812">
        <f t="shared" si="2"/>
        <v>1200.8873760000001</v>
      </c>
      <c r="F26" s="812">
        <f t="shared" si="2"/>
        <v>40.303347652923691</v>
      </c>
      <c r="G26" s="812">
        <f t="shared" si="2"/>
        <v>5712.2872100900677</v>
      </c>
      <c r="H26" s="812">
        <f t="shared" si="2"/>
        <v>0</v>
      </c>
      <c r="I26" s="812">
        <f t="shared" si="2"/>
        <v>0</v>
      </c>
      <c r="J26" s="812">
        <f t="shared" si="2"/>
        <v>0</v>
      </c>
      <c r="K26" s="812">
        <f t="shared" si="2"/>
        <v>198.65541976606659</v>
      </c>
      <c r="L26" s="812">
        <f t="shared" si="2"/>
        <v>0</v>
      </c>
      <c r="M26" s="812">
        <f t="shared" si="2"/>
        <v>0</v>
      </c>
      <c r="N26" s="812">
        <f t="shared" si="2"/>
        <v>0</v>
      </c>
      <c r="O26" s="812">
        <f t="shared" si="2"/>
        <v>0</v>
      </c>
      <c r="P26" s="812">
        <f t="shared" si="2"/>
        <v>0</v>
      </c>
      <c r="Q26" s="812">
        <f t="shared" si="2"/>
        <v>0</v>
      </c>
      <c r="R26" s="812">
        <f t="shared" si="2"/>
        <v>8746.757606509058</v>
      </c>
      <c r="S26" s="67"/>
    </row>
    <row r="27" spans="1:19" s="473" customFormat="1" ht="17.25" thickTop="1" thickBot="1">
      <c r="A27" s="706" t="s">
        <v>116</v>
      </c>
      <c r="B27" s="805"/>
      <c r="C27" s="707">
        <f ca="1">C22+C16+C26</f>
        <v>23809.898651421863</v>
      </c>
      <c r="D27" s="707">
        <f t="shared" ref="D27:R27" ca="1" si="3">D22+D16+D26</f>
        <v>0</v>
      </c>
      <c r="E27" s="707">
        <f t="shared" ca="1" si="3"/>
        <v>21957.521554587671</v>
      </c>
      <c r="F27" s="707">
        <f t="shared" si="3"/>
        <v>5757.6769519862937</v>
      </c>
      <c r="G27" s="707">
        <f t="shared" ca="1" si="3"/>
        <v>56528.449971598937</v>
      </c>
      <c r="H27" s="707">
        <f t="shared" si="3"/>
        <v>61058.573169812567</v>
      </c>
      <c r="I27" s="707">
        <f t="shared" si="3"/>
        <v>13291.236873486767</v>
      </c>
      <c r="J27" s="707">
        <f t="shared" si="3"/>
        <v>0</v>
      </c>
      <c r="K27" s="707">
        <f t="shared" si="3"/>
        <v>1245.954790979805</v>
      </c>
      <c r="L27" s="707">
        <f t="shared" si="3"/>
        <v>0</v>
      </c>
      <c r="M27" s="707">
        <f t="shared" ca="1" si="3"/>
        <v>0</v>
      </c>
      <c r="N27" s="707">
        <f t="shared" si="3"/>
        <v>3958.0496622673973</v>
      </c>
      <c r="O27" s="707">
        <f t="shared" ca="1" si="3"/>
        <v>11259.714506843078</v>
      </c>
      <c r="P27" s="707">
        <f t="shared" si="3"/>
        <v>156.33333333333334</v>
      </c>
      <c r="Q27" s="707">
        <f t="shared" si="3"/>
        <v>877.06666666666672</v>
      </c>
      <c r="R27" s="707">
        <f t="shared" ca="1" si="3"/>
        <v>199900.47613298436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0</v>
      </c>
      <c r="D40" s="1013">
        <f ca="1">tertiair!C20</f>
        <v>0</v>
      </c>
      <c r="E40" s="1013">
        <f ca="1">tertiair!D20</f>
        <v>1672.8646735267723</v>
      </c>
      <c r="F40" s="1013">
        <f>tertiair!E20</f>
        <v>17.001371650505085</v>
      </c>
      <c r="G40" s="1013">
        <f ca="1">tertiair!F20</f>
        <v>298.42095278323916</v>
      </c>
      <c r="H40" s="1013">
        <f>tertiair!G20</f>
        <v>0</v>
      </c>
      <c r="I40" s="1013">
        <f>tertiair!H20</f>
        <v>0</v>
      </c>
      <c r="J40" s="1013">
        <f>tertiair!I20</f>
        <v>0</v>
      </c>
      <c r="K40" s="1013">
        <f>tertiair!J20</f>
        <v>1.4424077164506759E-2</v>
      </c>
      <c r="L40" s="1013">
        <f>tertiair!K20</f>
        <v>0</v>
      </c>
      <c r="M40" s="1013">
        <f ca="1">tertiair!L20</f>
        <v>0</v>
      </c>
      <c r="N40" s="1013">
        <f>tertiair!M20</f>
        <v>0</v>
      </c>
      <c r="O40" s="1013">
        <f ca="1">tertiair!N20</f>
        <v>0</v>
      </c>
      <c r="P40" s="1013">
        <f>tertiair!O20</f>
        <v>0</v>
      </c>
      <c r="Q40" s="774">
        <f>tertiair!P20</f>
        <v>0</v>
      </c>
      <c r="R40" s="850">
        <f t="shared" ca="1" si="4"/>
        <v>1988.301422037681</v>
      </c>
    </row>
    <row r="41" spans="1:18">
      <c r="A41" s="822" t="s">
        <v>225</v>
      </c>
      <c r="B41" s="829"/>
      <c r="C41" s="1013">
        <f ca="1">huishoudens!B12</f>
        <v>0</v>
      </c>
      <c r="D41" s="1013">
        <f ca="1">huishoudens!C12</f>
        <v>0</v>
      </c>
      <c r="E41" s="1013">
        <f>huishoudens!D12</f>
        <v>2363.8385529484003</v>
      </c>
      <c r="F41" s="1013">
        <f>huishoudens!E12</f>
        <v>1166.9974023382922</v>
      </c>
      <c r="G41" s="1013">
        <f>huishoudens!F12</f>
        <v>13024.606704457297</v>
      </c>
      <c r="H41" s="1013">
        <f>huishoudens!G12</f>
        <v>0</v>
      </c>
      <c r="I41" s="1013">
        <f>huishoudens!H12</f>
        <v>0</v>
      </c>
      <c r="J41" s="1013">
        <f>huishoudens!I12</f>
        <v>0</v>
      </c>
      <c r="K41" s="1013">
        <f>huishoudens!J12</f>
        <v>370.72002567134655</v>
      </c>
      <c r="L41" s="1013">
        <f>huishoudens!K12</f>
        <v>0</v>
      </c>
      <c r="M41" s="1013">
        <f>huishoudens!L12</f>
        <v>0</v>
      </c>
      <c r="N41" s="1013">
        <f>huishoudens!M12</f>
        <v>0</v>
      </c>
      <c r="O41" s="1013">
        <f>huishoudens!N12</f>
        <v>0</v>
      </c>
      <c r="P41" s="1013">
        <f>huishoudens!O12</f>
        <v>0</v>
      </c>
      <c r="Q41" s="774">
        <f>huishoudens!P12</f>
        <v>0</v>
      </c>
      <c r="R41" s="850">
        <f t="shared" ca="1" si="4"/>
        <v>16926.162685415336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0</v>
      </c>
      <c r="D43" s="1013">
        <f ca="1">industrie!C22</f>
        <v>0</v>
      </c>
      <c r="E43" s="1013">
        <f>industrie!D22</f>
        <v>132.80361253280003</v>
      </c>
      <c r="F43" s="1013">
        <f>industrie!E22</f>
        <v>74.950865242438184</v>
      </c>
      <c r="G43" s="1013">
        <f>industrie!F22</f>
        <v>244.88780008233232</v>
      </c>
      <c r="H43" s="1013">
        <f>industrie!G22</f>
        <v>0</v>
      </c>
      <c r="I43" s="1013">
        <f>industrie!H22</f>
        <v>0</v>
      </c>
      <c r="J43" s="1013">
        <f>industrie!I22</f>
        <v>0</v>
      </c>
      <c r="K43" s="1013">
        <f>industrie!J22</f>
        <v>9.5276611523407006E-3</v>
      </c>
      <c r="L43" s="1013">
        <f>industrie!K22</f>
        <v>0</v>
      </c>
      <c r="M43" s="1013">
        <f>industrie!L22</f>
        <v>0</v>
      </c>
      <c r="N43" s="1013">
        <f>industrie!M22</f>
        <v>0</v>
      </c>
      <c r="O43" s="1013">
        <f>industrie!N22</f>
        <v>0</v>
      </c>
      <c r="P43" s="1013">
        <f>industrie!O22</f>
        <v>0</v>
      </c>
      <c r="Q43" s="774">
        <f>industrie!P22</f>
        <v>0</v>
      </c>
      <c r="R43" s="849">
        <f t="shared" ca="1" si="4"/>
        <v>452.65180551872288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0</v>
      </c>
      <c r="D46" s="732">
        <f t="shared" ref="D46:Q46" ca="1" si="5">SUM(D39:D45)</f>
        <v>0</v>
      </c>
      <c r="E46" s="732">
        <f t="shared" ca="1" si="5"/>
        <v>4169.5068390079723</v>
      </c>
      <c r="F46" s="732">
        <f t="shared" si="5"/>
        <v>1258.9496392312353</v>
      </c>
      <c r="G46" s="732">
        <f t="shared" ca="1" si="5"/>
        <v>13567.915457322868</v>
      </c>
      <c r="H46" s="732">
        <f t="shared" si="5"/>
        <v>0</v>
      </c>
      <c r="I46" s="732">
        <f t="shared" si="5"/>
        <v>0</v>
      </c>
      <c r="J46" s="732">
        <f t="shared" si="5"/>
        <v>0</v>
      </c>
      <c r="K46" s="732">
        <f t="shared" si="5"/>
        <v>370.74397740966339</v>
      </c>
      <c r="L46" s="732">
        <f t="shared" si="5"/>
        <v>0</v>
      </c>
      <c r="M46" s="732">
        <f t="shared" ca="1" si="5"/>
        <v>0</v>
      </c>
      <c r="N46" s="732">
        <f t="shared" si="5"/>
        <v>0</v>
      </c>
      <c r="O46" s="732">
        <f t="shared" ca="1" si="5"/>
        <v>0</v>
      </c>
      <c r="P46" s="732">
        <f t="shared" si="5"/>
        <v>0</v>
      </c>
      <c r="Q46" s="732">
        <f t="shared" si="5"/>
        <v>0</v>
      </c>
      <c r="R46" s="732">
        <f ca="1">SUM(R39:R45)</f>
        <v>19367.115912971742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232.05530328424015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232.05530328424015</v>
      </c>
    </row>
    <row r="50" spans="1:18">
      <c r="A50" s="825" t="s">
        <v>307</v>
      </c>
      <c r="B50" s="835"/>
      <c r="C50" s="703">
        <f ca="1">transport!B18</f>
        <v>0</v>
      </c>
      <c r="D50" s="703">
        <f>transport!C18</f>
        <v>0</v>
      </c>
      <c r="E50" s="703">
        <f>transport!D18</f>
        <v>23.333265066737503</v>
      </c>
      <c r="F50" s="703">
        <f>transport!E18</f>
        <v>38.89416895243987</v>
      </c>
      <c r="G50" s="703">
        <f>transport!F18</f>
        <v>0</v>
      </c>
      <c r="H50" s="703">
        <f>transport!G18</f>
        <v>16070.583733055717</v>
      </c>
      <c r="I50" s="703">
        <f>transport!H18</f>
        <v>3309.5179814982048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19442.329148573099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v>
      </c>
      <c r="D52" s="732">
        <f t="shared" ref="D52:Q52" ca="1" si="6">SUM(D48:D51)</f>
        <v>0</v>
      </c>
      <c r="E52" s="732">
        <f t="shared" si="6"/>
        <v>23.333265066737503</v>
      </c>
      <c r="F52" s="732">
        <f t="shared" si="6"/>
        <v>38.89416895243987</v>
      </c>
      <c r="G52" s="732">
        <f t="shared" si="6"/>
        <v>0</v>
      </c>
      <c r="H52" s="732">
        <f t="shared" si="6"/>
        <v>16302.639036339957</v>
      </c>
      <c r="I52" s="732">
        <f t="shared" si="6"/>
        <v>3309.5179814982048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19674.384451857339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0</v>
      </c>
      <c r="D54" s="703">
        <f ca="1">+landbouw!C12</f>
        <v>0</v>
      </c>
      <c r="E54" s="703">
        <f>+landbouw!D12</f>
        <v>25.251287952000002</v>
      </c>
      <c r="F54" s="703">
        <f>+landbouw!E12</f>
        <v>9.1488599172136773</v>
      </c>
      <c r="G54" s="703">
        <f>+landbouw!F12</f>
        <v>1525.1806850940482</v>
      </c>
      <c r="H54" s="703">
        <f>+landbouw!G12</f>
        <v>0</v>
      </c>
      <c r="I54" s="703">
        <f>+landbouw!H12</f>
        <v>0</v>
      </c>
      <c r="J54" s="703">
        <f>+landbouw!I12</f>
        <v>0</v>
      </c>
      <c r="K54" s="703">
        <f>+landbouw!J12</f>
        <v>70.324018597187575</v>
      </c>
      <c r="L54" s="703">
        <f>+landbouw!K12</f>
        <v>0</v>
      </c>
      <c r="M54" s="703">
        <f>+landbouw!L12</f>
        <v>0</v>
      </c>
      <c r="N54" s="703">
        <f>+landbouw!M12</f>
        <v>0</v>
      </c>
      <c r="O54" s="703">
        <f>+landbouw!N12</f>
        <v>0</v>
      </c>
      <c r="P54" s="703">
        <f>+landbouw!O12</f>
        <v>0</v>
      </c>
      <c r="Q54" s="704">
        <f>+landbouw!P12</f>
        <v>0</v>
      </c>
      <c r="R54" s="731">
        <f ca="1">SUM(C54:Q54)</f>
        <v>1629.9048515604495</v>
      </c>
    </row>
    <row r="55" spans="1:18" ht="15" thickBot="1">
      <c r="A55" s="825" t="s">
        <v>836</v>
      </c>
      <c r="B55" s="835"/>
      <c r="C55" s="703">
        <f ca="1">C25*'EF ele_warmte'!B12</f>
        <v>0</v>
      </c>
      <c r="D55" s="703"/>
      <c r="E55" s="703">
        <f>E25*EF_CO2_aardgas</f>
        <v>217.32796200000004</v>
      </c>
      <c r="F55" s="703"/>
      <c r="G55" s="703"/>
      <c r="H55" s="703"/>
      <c r="I55" s="703"/>
      <c r="J55" s="703"/>
      <c r="K55" s="703"/>
      <c r="L55" s="703"/>
      <c r="M55" s="703"/>
      <c r="N55" s="703"/>
      <c r="O55" s="703"/>
      <c r="P55" s="703"/>
      <c r="Q55" s="704"/>
      <c r="R55" s="731">
        <f ca="1">SUM(C55:Q55)</f>
        <v>217.32796200000004</v>
      </c>
    </row>
    <row r="56" spans="1:18" ht="15.75" thickBot="1">
      <c r="A56" s="823" t="s">
        <v>837</v>
      </c>
      <c r="B56" s="836"/>
      <c r="C56" s="732">
        <f ca="1">SUM(C54:C55)</f>
        <v>0</v>
      </c>
      <c r="D56" s="732">
        <f t="shared" ref="D56:Q56" ca="1" si="7">SUM(D54:D55)</f>
        <v>0</v>
      </c>
      <c r="E56" s="732">
        <f t="shared" si="7"/>
        <v>242.57924995200005</v>
      </c>
      <c r="F56" s="732">
        <f t="shared" si="7"/>
        <v>9.1488599172136773</v>
      </c>
      <c r="G56" s="732">
        <f t="shared" si="7"/>
        <v>1525.1806850940482</v>
      </c>
      <c r="H56" s="732">
        <f t="shared" si="7"/>
        <v>0</v>
      </c>
      <c r="I56" s="732">
        <f t="shared" si="7"/>
        <v>0</v>
      </c>
      <c r="J56" s="732">
        <f t="shared" si="7"/>
        <v>0</v>
      </c>
      <c r="K56" s="732">
        <f t="shared" si="7"/>
        <v>70.324018597187575</v>
      </c>
      <c r="L56" s="732">
        <f t="shared" si="7"/>
        <v>0</v>
      </c>
      <c r="M56" s="732">
        <f t="shared" si="7"/>
        <v>0</v>
      </c>
      <c r="N56" s="732">
        <f t="shared" si="7"/>
        <v>0</v>
      </c>
      <c r="O56" s="732">
        <f t="shared" si="7"/>
        <v>0</v>
      </c>
      <c r="P56" s="732">
        <f t="shared" si="7"/>
        <v>0</v>
      </c>
      <c r="Q56" s="733">
        <f t="shared" si="7"/>
        <v>0</v>
      </c>
      <c r="R56" s="734">
        <f ca="1">SUM(R54:R55)</f>
        <v>1847.2328135604496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0</v>
      </c>
      <c r="D61" s="740">
        <f t="shared" ref="D61:Q61" ca="1" si="8">D46+D52+D56</f>
        <v>0</v>
      </c>
      <c r="E61" s="740">
        <f t="shared" ca="1" si="8"/>
        <v>4435.4193540267097</v>
      </c>
      <c r="F61" s="740">
        <f t="shared" si="8"/>
        <v>1306.992668100889</v>
      </c>
      <c r="G61" s="740">
        <f t="shared" ca="1" si="8"/>
        <v>15093.096142416916</v>
      </c>
      <c r="H61" s="740">
        <f t="shared" si="8"/>
        <v>16302.639036339957</v>
      </c>
      <c r="I61" s="740">
        <f t="shared" si="8"/>
        <v>3309.5179814982048</v>
      </c>
      <c r="J61" s="740">
        <f t="shared" si="8"/>
        <v>0</v>
      </c>
      <c r="K61" s="740">
        <f t="shared" si="8"/>
        <v>441.06799600685099</v>
      </c>
      <c r="L61" s="740">
        <f t="shared" si="8"/>
        <v>0</v>
      </c>
      <c r="M61" s="740">
        <f t="shared" ca="1" si="8"/>
        <v>0</v>
      </c>
      <c r="N61" s="740">
        <f t="shared" si="8"/>
        <v>0</v>
      </c>
      <c r="O61" s="740">
        <f t="shared" ca="1" si="8"/>
        <v>0</v>
      </c>
      <c r="P61" s="740">
        <f t="shared" si="8"/>
        <v>0</v>
      </c>
      <c r="Q61" s="740">
        <f t="shared" si="8"/>
        <v>0</v>
      </c>
      <c r="R61" s="740">
        <f ca="1">R46+R52+R56</f>
        <v>40888.733178389528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v>
      </c>
      <c r="D63" s="781">
        <f t="shared" ca="1" si="9"/>
        <v>0</v>
      </c>
      <c r="E63" s="1024">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24114.273753564852</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3289.6265784844868</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27403.900332049339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24114.273753564852</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3289.6265784844868</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27403.900332049339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14816.712530249721</v>
      </c>
      <c r="C4" s="477">
        <f>huishoudens!C8</f>
        <v>0</v>
      </c>
      <c r="D4" s="477">
        <f>huishoudens!D8</f>
        <v>11702.1710542</v>
      </c>
      <c r="E4" s="477">
        <f>huishoudens!E8</f>
        <v>5140.9577195519478</v>
      </c>
      <c r="F4" s="477">
        <f>huishoudens!F8</f>
        <v>48781.298518566655</v>
      </c>
      <c r="G4" s="477">
        <f>huishoudens!G8</f>
        <v>0</v>
      </c>
      <c r="H4" s="477">
        <f>huishoudens!H8</f>
        <v>0</v>
      </c>
      <c r="I4" s="477">
        <f>huishoudens!I8</f>
        <v>0</v>
      </c>
      <c r="J4" s="477">
        <f>huishoudens!J8</f>
        <v>1047.2317109360072</v>
      </c>
      <c r="K4" s="477">
        <f>huishoudens!K8</f>
        <v>0</v>
      </c>
      <c r="L4" s="477">
        <f>huishoudens!L8</f>
        <v>0</v>
      </c>
      <c r="M4" s="477">
        <f>huishoudens!M8</f>
        <v>0</v>
      </c>
      <c r="N4" s="477">
        <f>huishoudens!N8</f>
        <v>9275.3496121899825</v>
      </c>
      <c r="O4" s="477">
        <f>huishoudens!O8</f>
        <v>154.77000000000001</v>
      </c>
      <c r="P4" s="478">
        <f>huishoudens!P8</f>
        <v>781.73333333333335</v>
      </c>
      <c r="Q4" s="479">
        <f>SUM(B4:P4)</f>
        <v>91700.224479027645</v>
      </c>
    </row>
    <row r="5" spans="1:17">
      <c r="A5" s="476" t="s">
        <v>156</v>
      </c>
      <c r="B5" s="477">
        <f ca="1">tertiair!B16</f>
        <v>5612.6574890000002</v>
      </c>
      <c r="C5" s="477">
        <f ca="1">tertiair!C16</f>
        <v>0</v>
      </c>
      <c r="D5" s="477">
        <f ca="1">tertiair!D16</f>
        <v>8281.5082847860012</v>
      </c>
      <c r="E5" s="477">
        <f>tertiair!E16</f>
        <v>74.895910354647953</v>
      </c>
      <c r="F5" s="477">
        <f ca="1">tertiair!F16</f>
        <v>1117.681471098274</v>
      </c>
      <c r="G5" s="477">
        <f>tertiair!G16</f>
        <v>0</v>
      </c>
      <c r="H5" s="477">
        <f>tertiair!H16</f>
        <v>0</v>
      </c>
      <c r="I5" s="477">
        <f>tertiair!I16</f>
        <v>0</v>
      </c>
      <c r="J5" s="477">
        <f>tertiair!J16</f>
        <v>4.0745980690697063E-2</v>
      </c>
      <c r="K5" s="477">
        <f>tertiair!K16</f>
        <v>0</v>
      </c>
      <c r="L5" s="477">
        <f ca="1">tertiair!L16</f>
        <v>0</v>
      </c>
      <c r="M5" s="477">
        <f>tertiair!M16</f>
        <v>0</v>
      </c>
      <c r="N5" s="477">
        <f ca="1">tertiair!N16</f>
        <v>1603.4467080576849</v>
      </c>
      <c r="O5" s="477">
        <f>tertiair!O16</f>
        <v>1.5633333333333335</v>
      </c>
      <c r="P5" s="478">
        <f>tertiair!P16</f>
        <v>95.333333333333343</v>
      </c>
      <c r="Q5" s="476">
        <f t="shared" ref="Q5:Q14" ca="1" si="0">SUM(B5:P5)</f>
        <v>16787.12727594396</v>
      </c>
    </row>
    <row r="6" spans="1:17">
      <c r="A6" s="476" t="s">
        <v>194</v>
      </c>
      <c r="B6" s="477">
        <f>'openbare verlichting'!B8</f>
        <v>474.916</v>
      </c>
      <c r="C6" s="477"/>
      <c r="D6" s="477"/>
      <c r="E6" s="477"/>
      <c r="F6" s="477"/>
      <c r="G6" s="477"/>
      <c r="H6" s="477"/>
      <c r="I6" s="477"/>
      <c r="J6" s="477"/>
      <c r="K6" s="477"/>
      <c r="L6" s="477"/>
      <c r="M6" s="477"/>
      <c r="N6" s="477"/>
      <c r="O6" s="477"/>
      <c r="P6" s="478"/>
      <c r="Q6" s="476">
        <f t="shared" si="0"/>
        <v>474.916</v>
      </c>
    </row>
    <row r="7" spans="1:17">
      <c r="A7" s="476" t="s">
        <v>112</v>
      </c>
      <c r="B7" s="477">
        <f>landbouw!B8</f>
        <v>1371.1861029999998</v>
      </c>
      <c r="C7" s="477">
        <f>landbouw!C8</f>
        <v>0</v>
      </c>
      <c r="D7" s="477">
        <f>landbouw!D8</f>
        <v>125.006376</v>
      </c>
      <c r="E7" s="477">
        <f>landbouw!E8</f>
        <v>40.303347652923691</v>
      </c>
      <c r="F7" s="477">
        <f>landbouw!F8</f>
        <v>5712.2872100900677</v>
      </c>
      <c r="G7" s="477">
        <f>landbouw!G8</f>
        <v>0</v>
      </c>
      <c r="H7" s="477">
        <f>landbouw!H8</f>
        <v>0</v>
      </c>
      <c r="I7" s="477">
        <f>landbouw!I8</f>
        <v>0</v>
      </c>
      <c r="J7" s="477">
        <f>landbouw!J8</f>
        <v>198.65541976606659</v>
      </c>
      <c r="K7" s="477">
        <f>landbouw!K8</f>
        <v>0</v>
      </c>
      <c r="L7" s="477">
        <f>landbouw!L8</f>
        <v>0</v>
      </c>
      <c r="M7" s="477">
        <f>landbouw!M8</f>
        <v>0</v>
      </c>
      <c r="N7" s="477">
        <f>landbouw!N8</f>
        <v>0</v>
      </c>
      <c r="O7" s="477">
        <f>landbouw!O8</f>
        <v>0</v>
      </c>
      <c r="P7" s="478">
        <f>landbouw!P8</f>
        <v>0</v>
      </c>
      <c r="Q7" s="476">
        <f t="shared" si="0"/>
        <v>7447.4384565090577</v>
      </c>
    </row>
    <row r="8" spans="1:17">
      <c r="A8" s="476" t="s">
        <v>635</v>
      </c>
      <c r="B8" s="477">
        <f>industrie!B18</f>
        <v>1276.8080500000001</v>
      </c>
      <c r="C8" s="477">
        <f>industrie!C18</f>
        <v>0</v>
      </c>
      <c r="D8" s="477">
        <f>industrie!D18</f>
        <v>657.44362640000008</v>
      </c>
      <c r="E8" s="477">
        <f>industrie!E18</f>
        <v>330.18002309444131</v>
      </c>
      <c r="F8" s="477">
        <f>industrie!F18</f>
        <v>917.18277184394117</v>
      </c>
      <c r="G8" s="477">
        <f>industrie!G18</f>
        <v>0</v>
      </c>
      <c r="H8" s="477">
        <f>industrie!H18</f>
        <v>0</v>
      </c>
      <c r="I8" s="477">
        <f>industrie!I18</f>
        <v>0</v>
      </c>
      <c r="J8" s="477">
        <f>industrie!J18</f>
        <v>2.6914297040510453E-2</v>
      </c>
      <c r="K8" s="477">
        <f>industrie!K18</f>
        <v>0</v>
      </c>
      <c r="L8" s="477">
        <f>industrie!L18</f>
        <v>0</v>
      </c>
      <c r="M8" s="477">
        <f>industrie!M18</f>
        <v>0</v>
      </c>
      <c r="N8" s="477">
        <f>industrie!N18</f>
        <v>380.91818659541048</v>
      </c>
      <c r="O8" s="477">
        <f>industrie!O18</f>
        <v>0</v>
      </c>
      <c r="P8" s="478">
        <f>industrie!P18</f>
        <v>0</v>
      </c>
      <c r="Q8" s="476">
        <f t="shared" si="0"/>
        <v>3562.559572230834</v>
      </c>
    </row>
    <row r="9" spans="1:17" s="482" customFormat="1">
      <c r="A9" s="480" t="s">
        <v>561</v>
      </c>
      <c r="B9" s="481">
        <f>transport!B14</f>
        <v>34.180329172143495</v>
      </c>
      <c r="C9" s="481">
        <f>transport!C14</f>
        <v>0</v>
      </c>
      <c r="D9" s="481">
        <f>transport!D14</f>
        <v>115.5112132016708</v>
      </c>
      <c r="E9" s="481">
        <f>transport!E14</f>
        <v>171.33995133233421</v>
      </c>
      <c r="F9" s="481">
        <f>transport!F14</f>
        <v>0</v>
      </c>
      <c r="G9" s="481">
        <f>transport!G14</f>
        <v>60189.45218372927</v>
      </c>
      <c r="H9" s="481">
        <f>transport!H14</f>
        <v>13291.236873486767</v>
      </c>
      <c r="I9" s="481">
        <f>transport!I14</f>
        <v>0</v>
      </c>
      <c r="J9" s="481">
        <f>transport!J14</f>
        <v>0</v>
      </c>
      <c r="K9" s="481">
        <f>transport!K14</f>
        <v>0</v>
      </c>
      <c r="L9" s="481">
        <f>transport!L14</f>
        <v>0</v>
      </c>
      <c r="M9" s="481">
        <f>transport!M14</f>
        <v>3908.6874270588464</v>
      </c>
      <c r="N9" s="481">
        <f>transport!N14</f>
        <v>0</v>
      </c>
      <c r="O9" s="481">
        <f>transport!O14</f>
        <v>0</v>
      </c>
      <c r="P9" s="481">
        <f>transport!P14</f>
        <v>0</v>
      </c>
      <c r="Q9" s="480">
        <f>SUM(B9:P9)</f>
        <v>77710.407977981027</v>
      </c>
    </row>
    <row r="10" spans="1:17">
      <c r="A10" s="476" t="s">
        <v>551</v>
      </c>
      <c r="B10" s="477">
        <f>transport!B54</f>
        <v>0</v>
      </c>
      <c r="C10" s="477">
        <f>transport!C54</f>
        <v>0</v>
      </c>
      <c r="D10" s="477">
        <f>transport!D54</f>
        <v>0</v>
      </c>
      <c r="E10" s="477">
        <f>transport!E54</f>
        <v>0</v>
      </c>
      <c r="F10" s="477">
        <f>transport!F54</f>
        <v>0</v>
      </c>
      <c r="G10" s="477">
        <f>transport!G54</f>
        <v>869.12098608329643</v>
      </c>
      <c r="H10" s="477">
        <f>transport!H54</f>
        <v>0</v>
      </c>
      <c r="I10" s="477">
        <f>transport!I54</f>
        <v>0</v>
      </c>
      <c r="J10" s="477">
        <f>transport!J54</f>
        <v>0</v>
      </c>
      <c r="K10" s="477">
        <f>transport!K54</f>
        <v>0</v>
      </c>
      <c r="L10" s="477">
        <f>transport!L54</f>
        <v>0</v>
      </c>
      <c r="M10" s="477">
        <f>transport!M54</f>
        <v>49.362235208550743</v>
      </c>
      <c r="N10" s="477">
        <f>transport!N54</f>
        <v>0</v>
      </c>
      <c r="O10" s="477">
        <f>transport!O54</f>
        <v>0</v>
      </c>
      <c r="P10" s="478">
        <f>transport!P54</f>
        <v>0</v>
      </c>
      <c r="Q10" s="476">
        <f t="shared" si="0"/>
        <v>918.48322129184714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223.43815000000001</v>
      </c>
      <c r="C14" s="484"/>
      <c r="D14" s="484">
        <f>'SEAP template'!E25</f>
        <v>1075.8810000000001</v>
      </c>
      <c r="E14" s="484"/>
      <c r="F14" s="484"/>
      <c r="G14" s="484"/>
      <c r="H14" s="484"/>
      <c r="I14" s="484"/>
      <c r="J14" s="484"/>
      <c r="K14" s="484"/>
      <c r="L14" s="484"/>
      <c r="M14" s="484"/>
      <c r="N14" s="484"/>
      <c r="O14" s="484"/>
      <c r="P14" s="485"/>
      <c r="Q14" s="476">
        <f t="shared" si="0"/>
        <v>1299.31915</v>
      </c>
    </row>
    <row r="15" spans="1:17" s="486" customFormat="1">
      <c r="A15" s="1039" t="s">
        <v>555</v>
      </c>
      <c r="B15" s="987">
        <f ca="1">SUM(B4:B14)</f>
        <v>23809.898651421867</v>
      </c>
      <c r="C15" s="987">
        <f t="shared" ref="C15:Q15" ca="1" si="1">SUM(C4:C14)</f>
        <v>0</v>
      </c>
      <c r="D15" s="987">
        <f t="shared" ca="1" si="1"/>
        <v>21957.521554587674</v>
      </c>
      <c r="E15" s="987">
        <f t="shared" si="1"/>
        <v>5757.6769519862937</v>
      </c>
      <c r="F15" s="987">
        <f t="shared" ca="1" si="1"/>
        <v>56528.44997159893</v>
      </c>
      <c r="G15" s="987">
        <f t="shared" si="1"/>
        <v>61058.573169812567</v>
      </c>
      <c r="H15" s="987">
        <f t="shared" si="1"/>
        <v>13291.236873486767</v>
      </c>
      <c r="I15" s="987">
        <f t="shared" si="1"/>
        <v>0</v>
      </c>
      <c r="J15" s="987">
        <f t="shared" si="1"/>
        <v>1245.954790979805</v>
      </c>
      <c r="K15" s="987">
        <f t="shared" si="1"/>
        <v>0</v>
      </c>
      <c r="L15" s="987">
        <f t="shared" ca="1" si="1"/>
        <v>0</v>
      </c>
      <c r="M15" s="987">
        <f t="shared" si="1"/>
        <v>3958.0496622673973</v>
      </c>
      <c r="N15" s="987">
        <f t="shared" ca="1" si="1"/>
        <v>11259.714506843078</v>
      </c>
      <c r="O15" s="987">
        <f t="shared" si="1"/>
        <v>156.33333333333334</v>
      </c>
      <c r="P15" s="987">
        <f t="shared" si="1"/>
        <v>877.06666666666672</v>
      </c>
      <c r="Q15" s="987">
        <f t="shared" ca="1" si="1"/>
        <v>199900.47613298439</v>
      </c>
    </row>
    <row r="17" spans="1:17">
      <c r="A17" s="487" t="s">
        <v>556</v>
      </c>
      <c r="B17" s="786">
        <f ca="1">huishoudens!B10</f>
        <v>0</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0</v>
      </c>
      <c r="C22" s="477">
        <f t="shared" ref="C22:C32" ca="1" si="3">C4*$C$17</f>
        <v>0</v>
      </c>
      <c r="D22" s="477">
        <f t="shared" ref="D22:D32" si="4">D4*$D$17</f>
        <v>2363.8385529484003</v>
      </c>
      <c r="E22" s="477">
        <f t="shared" ref="E22:E32" si="5">E4*$E$17</f>
        <v>1166.9974023382922</v>
      </c>
      <c r="F22" s="477">
        <f t="shared" ref="F22:F32" si="6">F4*$F$17</f>
        <v>13024.606704457297</v>
      </c>
      <c r="G22" s="477">
        <f t="shared" ref="G22:G32" si="7">G4*$G$17</f>
        <v>0</v>
      </c>
      <c r="H22" s="477">
        <f t="shared" ref="H22:H32" si="8">H4*$H$17</f>
        <v>0</v>
      </c>
      <c r="I22" s="477">
        <f t="shared" ref="I22:I32" si="9">I4*$I$17</f>
        <v>0</v>
      </c>
      <c r="J22" s="477">
        <f t="shared" ref="J22:J32" si="10">J4*$J$17</f>
        <v>370.72002567134655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16926.162685415336</v>
      </c>
    </row>
    <row r="23" spans="1:17">
      <c r="A23" s="476" t="s">
        <v>156</v>
      </c>
      <c r="B23" s="477">
        <f t="shared" ca="1" si="2"/>
        <v>0</v>
      </c>
      <c r="C23" s="477">
        <f t="shared" ca="1" si="3"/>
        <v>0</v>
      </c>
      <c r="D23" s="477">
        <f t="shared" ca="1" si="4"/>
        <v>1672.8646735267723</v>
      </c>
      <c r="E23" s="477">
        <f t="shared" si="5"/>
        <v>17.001371650505085</v>
      </c>
      <c r="F23" s="477">
        <f t="shared" ca="1" si="6"/>
        <v>298.42095278323916</v>
      </c>
      <c r="G23" s="477">
        <f t="shared" si="7"/>
        <v>0</v>
      </c>
      <c r="H23" s="477">
        <f t="shared" si="8"/>
        <v>0</v>
      </c>
      <c r="I23" s="477">
        <f t="shared" si="9"/>
        <v>0</v>
      </c>
      <c r="J23" s="477">
        <f t="shared" si="10"/>
        <v>1.4424077164506759E-2</v>
      </c>
      <c r="K23" s="477">
        <f t="shared" si="11"/>
        <v>0</v>
      </c>
      <c r="L23" s="477">
        <f t="shared" ca="1" si="12"/>
        <v>0</v>
      </c>
      <c r="M23" s="477">
        <f t="shared" si="13"/>
        <v>0</v>
      </c>
      <c r="N23" s="477">
        <f t="shared" ca="1" si="14"/>
        <v>0</v>
      </c>
      <c r="O23" s="477">
        <f t="shared" si="15"/>
        <v>0</v>
      </c>
      <c r="P23" s="478">
        <f t="shared" si="16"/>
        <v>0</v>
      </c>
      <c r="Q23" s="476">
        <f t="shared" ref="Q23:Q32" ca="1" si="17">SUM(B23:P23)</f>
        <v>1988.301422037681</v>
      </c>
    </row>
    <row r="24" spans="1:17">
      <c r="A24" s="476" t="s">
        <v>194</v>
      </c>
      <c r="B24" s="477">
        <f t="shared" ca="1" si="2"/>
        <v>0</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0</v>
      </c>
    </row>
    <row r="25" spans="1:17">
      <c r="A25" s="476" t="s">
        <v>112</v>
      </c>
      <c r="B25" s="477">
        <f t="shared" ca="1" si="2"/>
        <v>0</v>
      </c>
      <c r="C25" s="477">
        <f t="shared" ca="1" si="3"/>
        <v>0</v>
      </c>
      <c r="D25" s="477">
        <f t="shared" si="4"/>
        <v>25.251287952000002</v>
      </c>
      <c r="E25" s="477">
        <f t="shared" si="5"/>
        <v>9.1488599172136773</v>
      </c>
      <c r="F25" s="477">
        <f t="shared" si="6"/>
        <v>1525.1806850940482</v>
      </c>
      <c r="G25" s="477">
        <f t="shared" si="7"/>
        <v>0</v>
      </c>
      <c r="H25" s="477">
        <f t="shared" si="8"/>
        <v>0</v>
      </c>
      <c r="I25" s="477">
        <f t="shared" si="9"/>
        <v>0</v>
      </c>
      <c r="J25" s="477">
        <f t="shared" si="10"/>
        <v>70.324018597187575</v>
      </c>
      <c r="K25" s="477">
        <f t="shared" si="11"/>
        <v>0</v>
      </c>
      <c r="L25" s="477">
        <f t="shared" si="12"/>
        <v>0</v>
      </c>
      <c r="M25" s="477">
        <f t="shared" si="13"/>
        <v>0</v>
      </c>
      <c r="N25" s="477">
        <f t="shared" si="14"/>
        <v>0</v>
      </c>
      <c r="O25" s="477">
        <f t="shared" si="15"/>
        <v>0</v>
      </c>
      <c r="P25" s="478">
        <f t="shared" si="16"/>
        <v>0</v>
      </c>
      <c r="Q25" s="476">
        <f t="shared" ca="1" si="17"/>
        <v>1629.9048515604495</v>
      </c>
    </row>
    <row r="26" spans="1:17">
      <c r="A26" s="476" t="s">
        <v>635</v>
      </c>
      <c r="B26" s="477">
        <f t="shared" ca="1" si="2"/>
        <v>0</v>
      </c>
      <c r="C26" s="477">
        <f t="shared" ca="1" si="3"/>
        <v>0</v>
      </c>
      <c r="D26" s="477">
        <f t="shared" si="4"/>
        <v>132.80361253280003</v>
      </c>
      <c r="E26" s="477">
        <f t="shared" si="5"/>
        <v>74.950865242438184</v>
      </c>
      <c r="F26" s="477">
        <f t="shared" si="6"/>
        <v>244.88780008233232</v>
      </c>
      <c r="G26" s="477">
        <f t="shared" si="7"/>
        <v>0</v>
      </c>
      <c r="H26" s="477">
        <f t="shared" si="8"/>
        <v>0</v>
      </c>
      <c r="I26" s="477">
        <f t="shared" si="9"/>
        <v>0</v>
      </c>
      <c r="J26" s="477">
        <f t="shared" si="10"/>
        <v>9.5276611523407006E-3</v>
      </c>
      <c r="K26" s="477">
        <f t="shared" si="11"/>
        <v>0</v>
      </c>
      <c r="L26" s="477">
        <f t="shared" si="12"/>
        <v>0</v>
      </c>
      <c r="M26" s="477">
        <f t="shared" si="13"/>
        <v>0</v>
      </c>
      <c r="N26" s="477">
        <f t="shared" si="14"/>
        <v>0</v>
      </c>
      <c r="O26" s="477">
        <f t="shared" si="15"/>
        <v>0</v>
      </c>
      <c r="P26" s="478">
        <f t="shared" si="16"/>
        <v>0</v>
      </c>
      <c r="Q26" s="476">
        <f t="shared" ca="1" si="17"/>
        <v>452.65180551872288</v>
      </c>
    </row>
    <row r="27" spans="1:17" s="482" customFormat="1">
      <c r="A27" s="480" t="s">
        <v>561</v>
      </c>
      <c r="B27" s="780">
        <f t="shared" ca="1" si="2"/>
        <v>0</v>
      </c>
      <c r="C27" s="481">
        <f t="shared" ca="1" si="3"/>
        <v>0</v>
      </c>
      <c r="D27" s="481">
        <f t="shared" si="4"/>
        <v>23.333265066737503</v>
      </c>
      <c r="E27" s="481">
        <f t="shared" si="5"/>
        <v>38.89416895243987</v>
      </c>
      <c r="F27" s="481">
        <f t="shared" si="6"/>
        <v>0</v>
      </c>
      <c r="G27" s="481">
        <f t="shared" si="7"/>
        <v>16070.583733055717</v>
      </c>
      <c r="H27" s="481">
        <f t="shared" si="8"/>
        <v>3309.5179814982048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19442.329148573099</v>
      </c>
    </row>
    <row r="28" spans="1:17">
      <c r="A28" s="476" t="s">
        <v>551</v>
      </c>
      <c r="B28" s="477">
        <f t="shared" ca="1" si="2"/>
        <v>0</v>
      </c>
      <c r="C28" s="477">
        <f t="shared" ca="1" si="3"/>
        <v>0</v>
      </c>
      <c r="D28" s="477">
        <f t="shared" si="4"/>
        <v>0</v>
      </c>
      <c r="E28" s="477">
        <f t="shared" si="5"/>
        <v>0</v>
      </c>
      <c r="F28" s="477">
        <f t="shared" si="6"/>
        <v>0</v>
      </c>
      <c r="G28" s="477">
        <f t="shared" si="7"/>
        <v>232.05530328424015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232.05530328424015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0</v>
      </c>
      <c r="C32" s="477">
        <f t="shared" ca="1" si="3"/>
        <v>0</v>
      </c>
      <c r="D32" s="477">
        <f t="shared" si="4"/>
        <v>217.32796200000004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217.32796200000004</v>
      </c>
    </row>
    <row r="33" spans="1:17" s="486" customFormat="1">
      <c r="A33" s="1039" t="s">
        <v>555</v>
      </c>
      <c r="B33" s="987">
        <f ca="1">SUM(B22:B32)</f>
        <v>0</v>
      </c>
      <c r="C33" s="987">
        <f t="shared" ref="C33:Q33" ca="1" si="18">SUM(C22:C32)</f>
        <v>0</v>
      </c>
      <c r="D33" s="987">
        <f t="shared" ca="1" si="18"/>
        <v>4435.4193540267097</v>
      </c>
      <c r="E33" s="987">
        <f t="shared" si="18"/>
        <v>1306.992668100889</v>
      </c>
      <c r="F33" s="987">
        <f t="shared" ca="1" si="18"/>
        <v>15093.096142416916</v>
      </c>
      <c r="G33" s="987">
        <f t="shared" si="18"/>
        <v>16302.639036339957</v>
      </c>
      <c r="H33" s="987">
        <f t="shared" si="18"/>
        <v>3309.5179814982048</v>
      </c>
      <c r="I33" s="987">
        <f t="shared" si="18"/>
        <v>0</v>
      </c>
      <c r="J33" s="987">
        <f t="shared" si="18"/>
        <v>441.06799600685099</v>
      </c>
      <c r="K33" s="987">
        <f t="shared" si="18"/>
        <v>0</v>
      </c>
      <c r="L33" s="987">
        <f t="shared" ca="1" si="18"/>
        <v>0</v>
      </c>
      <c r="M33" s="987">
        <f t="shared" si="18"/>
        <v>0</v>
      </c>
      <c r="N33" s="987">
        <f t="shared" ca="1" si="18"/>
        <v>0</v>
      </c>
      <c r="O33" s="987">
        <f t="shared" si="18"/>
        <v>0</v>
      </c>
      <c r="P33" s="987">
        <f t="shared" si="18"/>
        <v>0</v>
      </c>
      <c r="Q33" s="987">
        <f t="shared" ca="1" si="18"/>
        <v>40888.733178389535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24114.273753564852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3289.6265784844868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27403.900332049339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2019-06-29T17:05:34Z</dcterms:modified>
</cp:coreProperties>
</file>