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H5" i="48" l="1"/>
  <c r="I10" i="14"/>
  <c r="I16" s="1"/>
  <c r="H10"/>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<sst xmlns="http://schemas.openxmlformats.org/spreadsheetml/2006/main" count="2389" uniqueCount="884">
  <si>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</si>
  <si>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</si>
  <si>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</si>
  <si>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</si>
  <si>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</si>
  <si>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</si>
  <si>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</si>
  <si>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</si>
  <si>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</si>
  <si>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</si>
  <si>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</si>
  <si>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</si>
  <si>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</si>
  <si>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</si>
  <si>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</si>
  <si>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</si>
  <si>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</si>
  <si>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</si>
  <si>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</si>
  <si>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</si>
  <si>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</si>
  <si>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</si>
  <si>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</si>
  <si>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</si>
  <si>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</si>
  <si>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</si>
  <si>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</si>
  <si>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</si>
  <si>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</si>
  <si>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</si>
  <si>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</si>
  <si>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</si>
  <si>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</si>
  <si>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</si>
  <si>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</si>
  <si>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</si>
  <si>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</si>
  <si>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</si>
  <si>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</si>
  <si>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</si>
  <si>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</si>
  <si>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</si>
  <si>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</si>
  <si>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</si>
  <si>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</si>
  <si>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</si>
  <si>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</si>
  <si>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</si>
  <si>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</si>
  <si>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</si>
  <si>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</si>
  <si>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</si>
  <si>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</si>
  <si>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</si>
  <si>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</si>
  <si>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</si>
  <si>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</si>
  <si>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</si>
  <si>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</si>
  <si>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</si>
  <si>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</si>
  <si>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</si>
  <si>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</si>
  <si>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</si>
  <si>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</si>
  <si>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</si>
  <si>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</si>
  <si>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</si>
  <si>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</si>
  <si>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</si>
  <si>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</si>
  <si>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</si>
  <si>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</si>
  <si>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</si>
  <si>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</si>
  <si>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</si>
  <si>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</si>
  <si>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</si>
  <si>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</si>
  <si>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</si>
  <si>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</si>
  <si>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</si>
  <si>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</si>
  <si>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</si>
  <si>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</si>
  <si>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</si>
  <si>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</si>
  <si>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</si>
  <si>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</si>
  <si>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</si>
  <si>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</si>
  <si>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</si>
  <si>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</si>
  <si>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</si>
  <si>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</si>
  <si>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</si>
  <si>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</si>
  <si>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</si>
  <si>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</si>
  <si>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</si>
  <si>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</si>
  <si>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</si>
  <si>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</si>
  <si>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</si>
  <si>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</si>
  <si>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</si>
  <si>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</si>
  <si>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</si>
  <si>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</si>
  <si>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</si>
  <si>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</si>
  <si>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</si>
  <si>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</si>
  <si>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</si>
  <si>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</si>
  <si>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</si>
  <si>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</si>
  <si>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</si>
  <si>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</si>
  <si>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</si>
  <si>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</si>
  <si>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</si>
  <si>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</si>
  <si>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</si>
  <si>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</si>
  <si>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</si>
  <si>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</si>
  <si>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</si>
  <si>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</si>
  <si>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</si>
  <si>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</si>
  <si>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</si>
  <si>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</si>
  <si>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</si>
  <si>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</si>
  <si>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</si>
  <si>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</si>
  <si>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</si>
  <si>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</si>
  <si>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</si>
  <si>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</si>
  <si>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</si>
  <si>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</si>
  <si>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</si>
  <si>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</si>
  <si>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</si>
  <si>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</si>
  <si>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</si>
  <si>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</si>
  <si>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</si>
  <si>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</si>
  <si>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</si>
  <si>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</si>
  <si>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</si>
  <si>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</si>
  <si>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</si>
  <si>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</si>
  <si>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</si>
  <si>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</si>
  <si>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</si>
  <si>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</si>
  <si>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</si>
  <si>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</si>
  <si>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</si>
  <si>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</si>
  <si>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</si>
  <si>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</si>
  <si>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</si>
  <si>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</si>
  <si>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</si>
  <si>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</si>
  <si>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</si>
  <si>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</si>
  <si>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</si>
  <si>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</si>
  <si>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</si>
  <si>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</si>
  <si>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</si>
  <si>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</si>
  <si>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</si>
  <si>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</si>
  <si>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</si>
  <si>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</si>
  <si>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</si>
  <si>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</si>
  <si>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</si>
  <si>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</si>
  <si>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</si>
  <si>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</si>
  <si>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</si>
  <si>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</si>
  <si>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</si>
  <si>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</si>
  <si>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</si>
  <si>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</si>
  <si>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</si>
  <si>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</si>
  <si>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</si>
  <si>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</si>
  <si>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</si>
  <si>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</si>
  <si>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</si>
  <si>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</si>
  <si>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</si>
  <si>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</si>
  <si>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</si>
  <si>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</si>
  <si>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</si>
  <si>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</si>
  <si>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</si>
  <si>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</si>
  <si>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</si>
  <si>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</si>
  <si>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</si>
  <si>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</si>
  <si>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</si>
  <si>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</si>
  <si>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</si>
  <si>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</si>
  <si>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</si>
  <si>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</si>
  <si>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</si>
  <si>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</si>
  <si>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</si>
  <si>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</si>
  <si>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</si>
  <si>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</si>
  <si>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</si>
  <si>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</si>
  <si>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</si>
  <si>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</si>
  <si>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</si>
  <si>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</si>
  <si>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</si>
  <si>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</si>
  <si>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</si>
  <si>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</si>
  <si>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</si>
  <si>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</si>
  <si>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</si>
  <si>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</si>
  <si>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</si>
  <si>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</si>
  <si>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</si>
  <si>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</si>
  <si>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</si>
  <si>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</si>
  <si>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</si>
  <si>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</si>
  <si>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</si>
  <si>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</si>
  <si>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</si>
  <si>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</si>
  <si>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</si>
  <si>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</si>
  <si>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</si>
  <si>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</si>
  <si>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</si>
  <si>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</si>
  <si>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</si>
  <si>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</si>
  <si>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</si>
  <si>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</si>
  <si>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</si>
  <si>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</si>
  <si>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</si>
  <si>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</si>
  <si>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</si>
  <si>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</si>
  <si>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</si>
  <si>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</si>
  <si>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</si>
  <si>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</si>
  <si>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</si>
  <si>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</si>
  <si>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</si>
  <si>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</si>
  <si>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</si>
  <si>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</si>
  <si>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</si>
  <si>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</si>
  <si>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</si>
  <si>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</si>
  <si>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</si>
  <si>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</si>
  <si>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</si>
  <si>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</si>
  <si>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</si>
  <si>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</si>
  <si>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</si>
  <si>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</si>
  <si>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</si>
  <si>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</si>
  <si>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</si>
  <si>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</si>
  <si>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</si>
  <si>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</si>
  <si>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</si>
  <si>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</si>
  <si>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</si>
  <si>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</si>
  <si>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</si>
  <si>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</si>
  <si>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</si>
  <si>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</si>
  <si>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</si>
  <si>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</si>
  <si>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</si>
  <si>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</si>
  <si>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</si>
  <si>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</si>
  <si>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</si>
  <si>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</si>
  <si>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</si>
  <si>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</si>
  <si>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</si>
  <si>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</si>
  <si>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</si>
  <si>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</si>
  <si>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</si>
  <si>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</si>
  <si>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</si>
  <si>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</si>
  <si>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</si>
  <si>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</si>
  <si>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</si>
  <si>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</si>
  <si>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</si>
  <si>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</si>
  <si>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</si>
  <si>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</si>
  <si>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</si>
  <si>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</si>
  <si>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</si>
  <si>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</si>
  <si>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</si>
  <si>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</si>
  <si>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</si>
  <si>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</si>
  <si>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</si>
  <si>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</si>
  <si>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</si>
  <si>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</si>
  <si>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</si>
  <si>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</si>
  <si>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</si>
  <si>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</si>
  <si>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</si>
  <si>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</si>
  <si>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</si>
  <si>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</si>
  <si>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</si>
  <si>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</si>
  <si>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</si>
  <si>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</si>
  <si>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</si>
  <si>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</si>
  <si>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</si>
  <si>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</si>
  <si>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</si>
  <si>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</si>
  <si>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</si>
  <si>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</si>
  <si>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</si>
  <si>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</si>
  <si>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</si>
  <si>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</si>
  <si>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</si>
  <si>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</si>
  <si>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</si>
  <si>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</si>
  <si>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</si>
  <si>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</si>
  <si>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</si>
  <si>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</si>
  <si>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</si>
  <si>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</si>
  <si>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</si>
  <si>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</si>
  <si>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</si>
  <si>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</si>
  <si>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</si>
  <si>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</si>
  <si>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</si>
  <si>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</si>
  <si>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</si>
  <si>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</si>
  <si>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</si>
  <si>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</si>
  <si>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</si>
  <si>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</si>
  <si>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</si>
  <si>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</si>
  <si>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</si>
  <si>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</si>
  <si>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</si>
  <si>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</si>
  <si>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</si>
  <si>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</si>
  <si>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</si>
  <si>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</si>
  <si>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</si>
  <si>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</si>
  <si>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</si>
  <si>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</si>
  <si>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</si>
  <si>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</si>
  <si>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</si>
  <si>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</si>
  <si>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</si>
  <si>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</si>
  <si>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</si>
  <si>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</si>
  <si>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</si>
  <si>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</si>
  <si>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</si>
  <si>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</si>
  <si>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</si>
  <si>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</si>
  <si>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</si>
  <si>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</si>
  <si>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</si>
  <si>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</si>
  <si>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</si>
  <si>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</si>
  <si>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</si>
  <si>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</si>
  <si>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</si>
  <si>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</si>
  <si>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</si>
  <si>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</si>
  <si>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</si>
  <si>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</si>
  <si>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</si>
  <si>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</si>
  <si>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</si>
  <si>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</si>
  <si>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</si>
  <si>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</si>
  <si>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</si>
  <si>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</si>
  <si>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</si>
  <si>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</si>
  <si>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</si>
  <si>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</si>
  <si>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</si>
  <si>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</si>
  <si>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</si>
  <si>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</si>
  <si>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</si>
  <si>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</si>
  <si>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</si>
  <si>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</si>
  <si>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</si>
  <si>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</si>
  <si>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</si>
  <si>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</si>
  <si>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</si>
  <si>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</si>
  <si>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</si>
  <si>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</si>
  <si>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</si>
  <si>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</si>
  <si>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</si>
  <si>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</si>
  <si>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</si>
  <si>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</si>
  <si>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</si>
  <si>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</si>
  <si>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</si>
  <si>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</si>
  <si>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</si>
  <si>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</si>
  <si>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</si>
  <si>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</si>
  <si>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</si>
  <si>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</si>
  <si>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</si>
  <si>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</si>
  <si>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</si>
  <si>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</si>
  <si>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</si>
  <si>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</si>
  <si>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</si>
  <si>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</si>
  <si>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</si>
  <si>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</si>
  <si>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</si>
  <si>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</si>
  <si>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</si>
  <si>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</si>
  <si>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</si>
  <si>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</si>
  <si>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</si>
  <si>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</si>
  <si>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</si>
  <si>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</si>
  <si>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</si>
  <si>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</si>
  <si>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</si>
  <si>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</si>
  <si>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</si>
  <si>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</si>
  <si>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</si>
  <si>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</si>
  <si>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</si>
  <si>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</si>
  <si>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</si>
  <si>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</si>
  <si>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</si>
  <si>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</si>
  <si>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</si>
  <si>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</si>
  <si>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</si>
  <si>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</si>
  <si>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</si>
  <si>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</si>
  <si>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</si>
  <si>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</si>
  <si>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</si>
  <si>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</si>
  <si>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</si>
  <si>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</si>
  <si>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</si>
  <si>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</si>
  <si>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</si>
  <si>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</si>
  <si>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</si>
  <si>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</si>
  <si>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</si>
  <si>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</si>
  <si>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</si>
  <si>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</si>
  <si>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</si>
  <si>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</si>
  <si>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</si>
  <si>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</si>
  <si>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</si>
  <si>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</si>
  <si>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</si>
  <si>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</si>
  <si>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</si>
  <si>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</si>
  <si>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</si>
  <si>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</si>
  <si>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</si>
  <si>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</si>
  <si>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</si>
  <si>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</si>
  <si>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</si>
  <si>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</si>
  <si>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</si>
  <si>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</si>
  <si>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</si>
  <si>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</si>
  <si>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</si>
  <si>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</si>
  <si>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</si>
  <si>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</si>
  <si>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</si>
  <si>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</si>
  <si>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</si>
  <si>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</si>
  <si>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</si>
  <si>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</si>
  <si>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</si>
  <si>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</si>
  <si>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</si>
  <si>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</si>
  <si>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</si>
  <si>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</si>
  <si>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</si>
  <si>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</si>
  <si>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</si>
  <si>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</si>
  <si>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</si>
  <si>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</si>
  <si>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</si>
  <si>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</si>
  <si>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</si>
  <si>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</si>
  <si>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</si>
  <si>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</si>
  <si>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</si>
  <si>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</si>
  <si>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</si>
  <si>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</si>
  <si>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</si>
  <si>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</si>
  <si>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</si>
  <si>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</si>
  <si>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</si>
  <si>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</si>
  <si>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</si>
  <si>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</si>
  <si>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</si>
  <si>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</si>
  <si>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</si>
  <si>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</si>
  <si>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</si>
  <si>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</si>
  <si>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</si>
  <si>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</si>
  <si>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</si>
  <si>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</si>
  <si>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</si>
  <si>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</si>
  <si>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</si>
  <si>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</si>
  <si>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</si>
  <si>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</si>
  <si>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</si>
  <si>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</si>
  <si>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</si>
  <si>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</si>
  <si>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</si>
  <si>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</si>
  <si>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</si>
  <si>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</si>
  <si>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</si>
  <si>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</si>
  <si>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</si>
  <si>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</si>
  <si>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</si>
  <si>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</si>
  <si>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</si>
  <si>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</si>
  <si>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</si>
  <si>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</si>
  <si>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</si>
  <si>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</si>
  <si>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</si>
  <si>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</si>
  <si>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</si>
  <si>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</si>
  <si>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</si>
  <si>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</si>
  <si>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</si>
  <si>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</si>
  <si>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</si>
  <si>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</si>
  <si>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</si>
  <si>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</si>
  <si>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</si>
  <si>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</si>
  <si>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</si>
  <si>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</si>
  <si>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</si>
  <si>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</si>
  <si>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</si>
  <si>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</si>
  <si>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</si>
  <si>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</si>
  <si>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</si>
  <si>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</si>
  <si>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</si>
  <si>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</si>
  <si>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</si>
  <si>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</si>
  <si>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</si>
  <si>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</si>
  <si>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</si>
  <si>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</si>
  <si>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</si>
  <si>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</si>
  <si>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</si>
  <si>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</si>
  <si>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</si>
  <si>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</si>
  <si>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</si>
  <si>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</si>
  <si>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</si>
  <si>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</si>
  <si>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</si>
  <si>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</si>
  <si>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</si>
  <si>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</si>
  <si>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</si>
  <si>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</si>
  <si>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</si>
  <si>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</si>
  <si>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</si>
  <si>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</si>
  <si>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</si>
  <si>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</si>
  <si>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</si>
  <si>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</si>
  <si>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</si>
  <si>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</si>
  <si>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</si>
  <si>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</si>
  <si>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</si>
  <si>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</si>
  <si>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</si>
  <si>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</si>
  <si>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</si>
  <si>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</si>
  <si>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</si>
  <si>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</si>
  <si>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</si>
  <si>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</si>
  <si>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</si>
  <si>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</si>
  <si>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</si>
  <si>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</si>
  <si>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</si>
  <si>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</si>
  <si>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</si>
  <si>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</si>
  <si>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</si>
  <si>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</si>
  <si>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</si>
  <si>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</si>
  <si>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</si>
  <si>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</si>
  <si>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</si>
  <si>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</si>
  <si>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</si>
  <si>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</si>
  <si>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</si>
  <si>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</si>
  <si>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</si>
  <si>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</si>
  <si>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</si>
  <si>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</si>
  <si>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</si>
  <si>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</si>
  <si>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</si>
  <si>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</si>
  <si>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</si>
  <si>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</si>
  <si>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</si>
  <si>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</si>
  <si>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</si>
  <si>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</si>
  <si>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</si>
  <si>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</si>
  <si>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</si>
  <si>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</si>
  <si>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</si>
  <si>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</si>
  <si>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</si>
  <si>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</si>
  <si>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</si>
  <si>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</si>
  <si>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</si>
  <si>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</si>
  <si>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</si>
  <si>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</si>
  <si>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</si>
  <si>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</si>
  <si>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</si>
  <si>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</si>
  <si>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</si>
  <si>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</si>
  <si>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</si>
  <si>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</si>
  <si>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</si>
  <si>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</si>
  <si>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</si>
  <si>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</si>
  <si>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</si>
  <si>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</si>
  <si>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</si>
  <si>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</si>
  <si>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</si>
  <si>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</si>
  <si>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</si>
  <si>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</si>
  <si>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</si>
  <si>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</si>
  <si>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</si>
  <si>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</si>
  <si>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</si>
  <si>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</si>
  <si>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</si>
  <si>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</si>
  <si>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</si>
  <si>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</si>
  <si>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</si>
  <si>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</si>
  <si>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</si>
  <si>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</si>
  <si>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</si>
  <si>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</si>
  <si>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</si>
  <si>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</si>
  <si>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</si>
  <si>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</si>
  <si>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</si>
  <si>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</si>
  <si>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</si>
  <si>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</si>
  <si>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</si>
  <si>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</si>
  <si>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</si>
  <si>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</si>
  <si>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</si>
  <si>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</si>
  <si>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</si>
  <si>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</si>
  <si>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</si>
  <si>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</si>
  <si>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</si>
  <si>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</si>
  <si>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</si>
  <si>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</si>
  <si>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</si>
  <si>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</si>
  <si>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</si>
  <si>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</si>
  <si>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</si>
  <si>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</si>
  <si>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</si>
  <si>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</si>
  <si>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</si>
  <si>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</si>
  <si>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</si>
  <si>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</si>
  <si>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</si>
  <si>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</si>
  <si>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</si>
  <si>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</si>
  <si>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</si>
  <si>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</si>
  <si>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</si>
  <si>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</si>
  <si>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</si>
  <si>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</si>
  <si>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</si>
  <si>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</si>
  <si>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</si>
  <si>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</si>
  <si>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</si>
  <si>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</si>
  <si>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</si>
  <si>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</si>
  <si>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</si>
  <si>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</si>
  <si>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</si>
  <si>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</si>
  <si>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</si>
  <si>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</si>
  <si>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</si>
  <si>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</si>
  <si>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versie: 2016_03</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</si>
  <si>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</si>
  <si>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</si>
  <si>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</si>
  <si>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</si>
  <si>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</si>
  <si>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</si>
  <si>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</si>
  <si>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</si>
  <si>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</si>
  <si>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</si>
  <si>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</si>
  <si>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</si>
  <si>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</si>
  <si>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</si>
  <si>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</si>
  <si>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</si>
  <si>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</si>
  <si>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</si>
  <si>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</si>
  <si>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</si>
  <si>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</si>
  <si>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</si>
  <si>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</si>
  <si>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</si>
  <si>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42010</t>
  </si>
  <si>
    <t>LAARNE</t>
  </si>
  <si>
    <t>Eandis (januari 2018); Infrax (juni 2018)</t>
  </si>
  <si>
    <t>MOW (september 2017)</t>
  </si>
  <si>
    <t>referentietaak LNE (2017); Jaarverslag De Lijn (2016)</t>
  </si>
  <si>
    <t>VEA (april 2018)</t>
  </si>
  <si>
    <t>VEA (januari 2017)</t>
  </si>
  <si>
    <t>VEA (juni 2018)</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</si>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</sst>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101405.93658883497</c:v>
                </c:pt>
                <c:pt idx="1">
                  <c:v>23245.474087079121</c:v>
                </c:pt>
                <c:pt idx="2">
                  <c:v>982.40499999999997</c:v>
                </c:pt>
                <c:pt idx="3">
                  <c:v>15893.133839747004</c:v>
                </c:pt>
                <c:pt idx="4">
                  <c:v>6379.7979400465047</c:v>
                </c:pt>
                <c:pt idx="5">
                  <c:v>170164.79069776693</c:v>
                </c:pt>
                <c:pt idx="6">
                  <c:v>635.28533418671918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7571840"/>
        <c:axId val="167573376"/>
      </c:barChart>
      <c:catAx>
        <c:axId val="167571840"/>
        <c:scaling>
          <c:orientation val="minMax"/>
        </c:scaling>
        <c:axPos val="b"/>
        <c:numFmt formatCode="General" sourceLinked="0"/>
        <c:tickLblPos val="nextTo"/>
        <c:crossAx val="167573376"/>
        <c:crosses val="autoZero"/>
        <c:auto val="1"/>
        <c:lblAlgn val="ctr"/>
        <c:lblOffset val="100"/>
      </c:catAx>
      <c:valAx>
        <c:axId val="167573376"/>
        <c:scaling>
          <c:orientation val="minMax"/>
        </c:scaling>
        <c:axPos val="l"/>
        <c:majorGridlines>
          <c:spPr>
            <a:ln>
              <a:noFill/>
            </a:ln>
          </c:spPr>
        </c:majorGridlines>
        <c:numFmt formatCode="#,##0" sourceLinked="1"/>
        <c:tickLblPos val="nextTo"/>
        <c:crossAx val="1675718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101405.93658883497</c:v>
                </c:pt>
                <c:pt idx="1">
                  <c:v>23245.474087079121</c:v>
                </c:pt>
                <c:pt idx="2">
                  <c:v>982.40499999999997</c:v>
                </c:pt>
                <c:pt idx="3">
                  <c:v>15893.133839747004</c:v>
                </c:pt>
                <c:pt idx="4">
                  <c:v>6379.7979400465047</c:v>
                </c:pt>
                <c:pt idx="5">
                  <c:v>170164.79069776693</c:v>
                </c:pt>
                <c:pt idx="6">
                  <c:v>635.28533418671918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20772.981878974209</c:v>
                </c:pt>
                <c:pt idx="2">
                  <c:v>4957.09118246246</c:v>
                </c:pt>
                <c:pt idx="3">
                  <c:v>224.64440969153111</c:v>
                </c:pt>
                <c:pt idx="4">
                  <c:v>4008.6745037074397</c:v>
                </c:pt>
                <c:pt idx="5">
                  <c:v>1333.299613915116</c:v>
                </c:pt>
                <c:pt idx="6">
                  <c:v>42661.621927909531</c:v>
                </c:pt>
                <c:pt idx="7">
                  <c:v>160.50519756842243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9998976"/>
        <c:axId val="170393984"/>
      </c:barChart>
      <c:catAx>
        <c:axId val="169998976"/>
        <c:scaling>
          <c:orientation val="minMax"/>
        </c:scaling>
        <c:axPos val="b"/>
        <c:numFmt formatCode="General" sourceLinked="0"/>
        <c:tickLblPos val="nextTo"/>
        <c:crossAx val="170393984"/>
        <c:crosses val="autoZero"/>
        <c:auto val="1"/>
        <c:lblAlgn val="ctr"/>
        <c:lblOffset val="100"/>
      </c:catAx>
      <c:valAx>
        <c:axId val="170393984"/>
        <c:scaling>
          <c:orientation val="minMax"/>
        </c:scaling>
        <c:axPos val="l"/>
        <c:majorGridlines>
          <c:spPr>
            <a:ln>
              <a:noFill/>
            </a:ln>
          </c:spPr>
        </c:majorGridlines>
        <c:numFmt formatCode="#,##0" sourceLinked="1"/>
        <c:tickLblPos val="nextTo"/>
        <c:crossAx val="16999897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20772.981878974209</c:v>
                </c:pt>
                <c:pt idx="2">
                  <c:v>4957.09118246246</c:v>
                </c:pt>
                <c:pt idx="3">
                  <c:v>224.64440969153111</c:v>
                </c:pt>
                <c:pt idx="4">
                  <c:v>4008.6745037074397</c:v>
                </c:pt>
                <c:pt idx="5">
                  <c:v>1333.299613915116</c:v>
                </c:pt>
                <c:pt idx="6">
                  <c:v>42661.621927909531</c:v>
                </c:pt>
                <c:pt idx="7">
                  <c:v>160.50519756842243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845</v>
      </c>
      <c r="B4" s="106"/>
      <c r="C4" s="107"/>
    </row>
    <row r="5" spans="1:7" s="413" customFormat="1" ht="15.75" customHeight="1">
      <c r="A5" s="410" t="s">
        <v>0</v>
      </c>
      <c r="B5" s="411"/>
      <c r="C5" s="412"/>
    </row>
    <row r="6" spans="1:7" s="413" customFormat="1" ht="15" customHeight="1">
      <c r="A6" s="414" t="str">
        <f>txtNIS</f>
        <v>42010</v>
      </c>
      <c r="B6" s="415"/>
      <c r="C6" s="416"/>
    </row>
    <row r="7" spans="1:7" s="413" customFormat="1" ht="15.75" customHeight="1">
      <c r="A7" s="417" t="str">
        <f>txtMunicipality</f>
        <v>LAARNE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30" t="s">
        <v>221</v>
      </c>
      <c r="B2" s="1130"/>
      <c r="C2" s="1130"/>
      <c r="D2" s="59"/>
      <c r="E2" s="59"/>
      <c r="F2" s="59"/>
      <c r="G2" s="59"/>
      <c r="H2" s="60"/>
      <c r="I2" s="60"/>
      <c r="J2" s="61"/>
      <c r="K2" s="61"/>
      <c r="L2" s="60"/>
      <c r="M2" s="60"/>
      <c r="N2" s="60"/>
      <c r="O2" s="60"/>
      <c r="P2" s="60"/>
      <c r="Q2" s="60"/>
      <c r="R2" s="60"/>
    </row>
    <row r="3" spans="1:19">
      <c r="A3" s="1131"/>
      <c r="B3" s="1131"/>
      <c r="C3" s="1131"/>
      <c r="D3" s="1131"/>
      <c r="E3" s="1131"/>
      <c r="F3" s="1131"/>
      <c r="G3" s="1131"/>
      <c r="H3" s="1131"/>
      <c r="I3" s="1131"/>
      <c r="J3" s="1131"/>
      <c r="K3" s="1131"/>
      <c r="L3" s="1131"/>
      <c r="M3" s="1131"/>
      <c r="N3" s="1131"/>
      <c r="O3" s="1131"/>
      <c r="P3" s="1131"/>
      <c r="Q3" s="1131"/>
      <c r="R3" s="1131"/>
    </row>
    <row r="4" spans="1:19" ht="15.75" thickBot="1">
      <c r="A4" s="472"/>
      <c r="B4" s="472"/>
      <c r="C4" s="63"/>
      <c r="D4" s="63"/>
      <c r="E4" s="63"/>
      <c r="F4" s="63"/>
      <c r="G4" s="63"/>
      <c r="H4" s="63"/>
      <c r="I4" s="63"/>
      <c r="J4" s="63"/>
      <c r="K4" s="63"/>
      <c r="L4" s="63"/>
      <c r="M4" s="63"/>
      <c r="N4" s="63"/>
      <c r="O4" s="63"/>
      <c r="P4" s="63"/>
      <c r="Q4" s="63"/>
      <c r="R4" s="63"/>
    </row>
    <row r="5" spans="1:19" ht="16.5" thickBot="1">
      <c r="A5" s="1132" t="s">
        <v>222</v>
      </c>
      <c r="B5" s="801"/>
      <c r="C5" s="1135" t="s">
        <v>343</v>
      </c>
      <c r="D5" s="1136"/>
      <c r="E5" s="1136"/>
      <c r="F5" s="1136"/>
      <c r="G5" s="1136"/>
      <c r="H5" s="1136"/>
      <c r="I5" s="1136"/>
      <c r="J5" s="1136"/>
      <c r="K5" s="1136"/>
      <c r="L5" s="1136"/>
      <c r="M5" s="1136"/>
      <c r="N5" s="1136"/>
      <c r="O5" s="1136"/>
      <c r="P5" s="1136"/>
      <c r="Q5" s="1136"/>
      <c r="R5" s="1137"/>
    </row>
    <row r="6" spans="1:19" ht="16.5" thickTop="1">
      <c r="A6" s="1133"/>
      <c r="B6" s="802"/>
      <c r="C6" s="1138" t="s">
        <v>21</v>
      </c>
      <c r="D6" s="1140" t="s">
        <v>196</v>
      </c>
      <c r="E6" s="1142" t="s">
        <v>197</v>
      </c>
      <c r="F6" s="1143"/>
      <c r="G6" s="1143"/>
      <c r="H6" s="1143"/>
      <c r="I6" s="1143"/>
      <c r="J6" s="1143"/>
      <c r="K6" s="1143"/>
      <c r="L6" s="1144"/>
      <c r="M6" s="1142" t="s">
        <v>198</v>
      </c>
      <c r="N6" s="1143"/>
      <c r="O6" s="1143"/>
      <c r="P6" s="1143"/>
      <c r="Q6" s="1143"/>
      <c r="R6" s="1145" t="s">
        <v>116</v>
      </c>
    </row>
    <row r="7" spans="1:19" ht="45.75" thickBot="1">
      <c r="A7" s="1134"/>
      <c r="B7" s="803"/>
      <c r="C7" s="1139"/>
      <c r="D7" s="1141"/>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46"/>
    </row>
    <row r="8" spans="1:19" ht="18.75" customHeight="1" thickTop="1">
      <c r="A8" s="808" t="s">
        <v>344</v>
      </c>
      <c r="B8" s="813"/>
      <c r="C8" s="1147"/>
      <c r="D8" s="1147"/>
      <c r="E8" s="1147"/>
      <c r="F8" s="1147"/>
      <c r="G8" s="1147"/>
      <c r="H8" s="1147"/>
      <c r="I8" s="1147"/>
      <c r="J8" s="1147"/>
      <c r="K8" s="1147"/>
      <c r="L8" s="1147"/>
      <c r="M8" s="1147"/>
      <c r="N8" s="1147"/>
      <c r="O8" s="1147"/>
      <c r="P8" s="1147"/>
      <c r="Q8" s="1147"/>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10766.866738205483</v>
      </c>
      <c r="D10" s="1013">
        <f ca="1">tertiair!C16</f>
        <v>0</v>
      </c>
      <c r="E10" s="1013">
        <f ca="1">tertiair!D16</f>
        <v>10969.538405701074</v>
      </c>
      <c r="F10" s="1013">
        <f>tertiair!E16</f>
        <v>191.37443383226898</v>
      </c>
      <c r="G10" s="1013">
        <f ca="1">tertiair!F16</f>
        <v>1724.367058445479</v>
      </c>
      <c r="H10" s="1013">
        <f>tertiair!G16</f>
        <v>0</v>
      </c>
      <c r="I10" s="1013">
        <f>tertiair!H16</f>
        <v>0</v>
      </c>
      <c r="J10" s="1013">
        <f>tertiair!I16</f>
        <v>0</v>
      </c>
      <c r="K10" s="1013">
        <f>tertiair!J16</f>
        <v>1.3808000503108497E-2</v>
      </c>
      <c r="L10" s="1013">
        <f>tertiair!K16</f>
        <v>0</v>
      </c>
      <c r="M10" s="1013">
        <f ca="1">tertiair!L16</f>
        <v>0</v>
      </c>
      <c r="N10" s="1013">
        <f>tertiair!M16</f>
        <v>0</v>
      </c>
      <c r="O10" s="1013">
        <f ca="1">tertiair!N16</f>
        <v>555.08864289431881</v>
      </c>
      <c r="P10" s="1013">
        <f>tertiair!O16</f>
        <v>1.5633333333333335</v>
      </c>
      <c r="Q10" s="1014">
        <f>tertiair!P16</f>
        <v>19.066666666666666</v>
      </c>
      <c r="R10" s="700">
        <f ca="1">SUM(C10:Q10)</f>
        <v>24227.879087079124</v>
      </c>
      <c r="S10" s="67"/>
    </row>
    <row r="11" spans="1:19" s="473" customFormat="1">
      <c r="A11" s="809" t="s">
        <v>225</v>
      </c>
      <c r="B11" s="814"/>
      <c r="C11" s="1013">
        <f>huishoudens!B8</f>
        <v>25360.768962154121</v>
      </c>
      <c r="D11" s="1013">
        <f>huishoudens!C8</f>
        <v>0</v>
      </c>
      <c r="E11" s="1013">
        <f>huishoudens!D8</f>
        <v>40053.64090034047</v>
      </c>
      <c r="F11" s="1013">
        <f>huishoudens!E8</f>
        <v>2817.2470099503639</v>
      </c>
      <c r="G11" s="1013">
        <f>huishoudens!F8</f>
        <v>14608.760151794917</v>
      </c>
      <c r="H11" s="1013">
        <f>huishoudens!G8</f>
        <v>0</v>
      </c>
      <c r="I11" s="1013">
        <f>huishoudens!H8</f>
        <v>0</v>
      </c>
      <c r="J11" s="1013">
        <f>huishoudens!I8</f>
        <v>0</v>
      </c>
      <c r="K11" s="1013">
        <f>huishoudens!J8</f>
        <v>6618.3633718076981</v>
      </c>
      <c r="L11" s="1013">
        <f>huishoudens!K8</f>
        <v>0</v>
      </c>
      <c r="M11" s="1013">
        <f>huishoudens!L8</f>
        <v>0</v>
      </c>
      <c r="N11" s="1013">
        <f>huishoudens!M8</f>
        <v>0</v>
      </c>
      <c r="O11" s="1013">
        <f>huishoudens!N8</f>
        <v>10818.056192787375</v>
      </c>
      <c r="P11" s="1013">
        <f>huishoudens!O8</f>
        <v>328.3</v>
      </c>
      <c r="Q11" s="1014">
        <f>huishoudens!P8</f>
        <v>800.8</v>
      </c>
      <c r="R11" s="700">
        <f>SUM(C11:Q11)</f>
        <v>101405.93658883497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2298.7173664293482</v>
      </c>
      <c r="D13" s="1013">
        <f>industrie!C18</f>
        <v>0</v>
      </c>
      <c r="E13" s="1013">
        <f>industrie!D18</f>
        <v>2325.0143340919803</v>
      </c>
      <c r="F13" s="1013">
        <f>industrie!E18</f>
        <v>328.42608868034517</v>
      </c>
      <c r="G13" s="1013">
        <f>industrie!F18</f>
        <v>985.17280064197178</v>
      </c>
      <c r="H13" s="1013">
        <f>industrie!G18</f>
        <v>0</v>
      </c>
      <c r="I13" s="1013">
        <f>industrie!H18</f>
        <v>0</v>
      </c>
      <c r="J13" s="1013">
        <f>industrie!I18</f>
        <v>0</v>
      </c>
      <c r="K13" s="1013">
        <f>industrie!J18</f>
        <v>1.1586711457069627</v>
      </c>
      <c r="L13" s="1013">
        <f>industrie!K18</f>
        <v>0</v>
      </c>
      <c r="M13" s="1013">
        <f>industrie!L18</f>
        <v>0</v>
      </c>
      <c r="N13" s="1013">
        <f>industrie!M18</f>
        <v>0</v>
      </c>
      <c r="O13" s="1013">
        <f>industrie!N18</f>
        <v>441.30867905715286</v>
      </c>
      <c r="P13" s="1013">
        <f>industrie!O18</f>
        <v>0</v>
      </c>
      <c r="Q13" s="1014">
        <f>industrie!P18</f>
        <v>0</v>
      </c>
      <c r="R13" s="700">
        <f>SUM(C13:Q13)</f>
        <v>6379.7979400465047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38426.353066788957</v>
      </c>
      <c r="D16" s="732">
        <f t="shared" ref="D16:R16" ca="1" si="0">SUM(D9:D15)</f>
        <v>0</v>
      </c>
      <c r="E16" s="732">
        <f t="shared" ca="1" si="0"/>
        <v>53348.193640133526</v>
      </c>
      <c r="F16" s="732">
        <f t="shared" si="0"/>
        <v>3337.0475324629779</v>
      </c>
      <c r="G16" s="732">
        <f t="shared" ca="1" si="0"/>
        <v>17318.300010882369</v>
      </c>
      <c r="H16" s="732">
        <f t="shared" si="0"/>
        <v>0</v>
      </c>
      <c r="I16" s="732">
        <f t="shared" si="0"/>
        <v>0</v>
      </c>
      <c r="J16" s="732">
        <f t="shared" si="0"/>
        <v>0</v>
      </c>
      <c r="K16" s="732">
        <f t="shared" si="0"/>
        <v>6619.5358509539083</v>
      </c>
      <c r="L16" s="732">
        <f t="shared" si="0"/>
        <v>0</v>
      </c>
      <c r="M16" s="732">
        <f t="shared" ca="1" si="0"/>
        <v>0</v>
      </c>
      <c r="N16" s="732">
        <f t="shared" si="0"/>
        <v>0</v>
      </c>
      <c r="O16" s="732">
        <f t="shared" ca="1" si="0"/>
        <v>11814.453514738847</v>
      </c>
      <c r="P16" s="732">
        <f t="shared" si="0"/>
        <v>329.86333333333334</v>
      </c>
      <c r="Q16" s="732">
        <f t="shared" si="0"/>
        <v>819.86666666666667</v>
      </c>
      <c r="R16" s="732">
        <f t="shared" ca="1" si="0"/>
        <v>132013.61361596061</v>
      </c>
      <c r="S16" s="67"/>
    </row>
    <row r="17" spans="1:19" s="473" customFormat="1" ht="15.75">
      <c r="A17" s="811" t="s">
        <v>227</v>
      </c>
      <c r="B17" s="736"/>
      <c r="C17" s="1148"/>
      <c r="D17" s="1148"/>
      <c r="E17" s="1148"/>
      <c r="F17" s="1148"/>
      <c r="G17" s="1148"/>
      <c r="H17" s="1148"/>
      <c r="I17" s="1148"/>
      <c r="J17" s="1148"/>
      <c r="K17" s="1148"/>
      <c r="L17" s="1148"/>
      <c r="M17" s="1148"/>
      <c r="N17" s="1148"/>
      <c r="O17" s="1148"/>
      <c r="P17" s="1148"/>
      <c r="Q17" s="1148"/>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601.14306205401658</v>
      </c>
      <c r="I19" s="1013">
        <f>transport!H54</f>
        <v>0</v>
      </c>
      <c r="J19" s="1013">
        <f>transport!I54</f>
        <v>0</v>
      </c>
      <c r="K19" s="1013">
        <f>transport!J54</f>
        <v>0</v>
      </c>
      <c r="L19" s="1013">
        <f>transport!K54</f>
        <v>0</v>
      </c>
      <c r="M19" s="1013">
        <f>transport!L54</f>
        <v>0</v>
      </c>
      <c r="N19" s="1013">
        <f>transport!M54</f>
        <v>34.142272132702651</v>
      </c>
      <c r="O19" s="1013">
        <f>transport!N54</f>
        <v>0</v>
      </c>
      <c r="P19" s="1013">
        <f>transport!O54</f>
        <v>0</v>
      </c>
      <c r="Q19" s="1014">
        <f>transport!P54</f>
        <v>0</v>
      </c>
      <c r="R19" s="700">
        <f>SUM(C19:Q19)</f>
        <v>635.28533418671918</v>
      </c>
      <c r="S19" s="67"/>
    </row>
    <row r="20" spans="1:19" s="473" customFormat="1">
      <c r="A20" s="809" t="s">
        <v>307</v>
      </c>
      <c r="B20" s="814"/>
      <c r="C20" s="1013">
        <f>transport!B14</f>
        <v>56.304689487529551</v>
      </c>
      <c r="D20" s="1013">
        <f>transport!C14</f>
        <v>0</v>
      </c>
      <c r="E20" s="1013">
        <f>transport!D14</f>
        <v>199.03612673727483</v>
      </c>
      <c r="F20" s="1013">
        <f>transport!E14</f>
        <v>298.97526940384091</v>
      </c>
      <c r="G20" s="1013">
        <f>transport!F14</f>
        <v>0</v>
      </c>
      <c r="H20" s="1013">
        <f>transport!G14</f>
        <v>137937.57418460865</v>
      </c>
      <c r="I20" s="1013">
        <f>transport!H14</f>
        <v>22937.115928768751</v>
      </c>
      <c r="J20" s="1013">
        <f>transport!I14</f>
        <v>0</v>
      </c>
      <c r="K20" s="1013">
        <f>transport!J14</f>
        <v>0</v>
      </c>
      <c r="L20" s="1013">
        <f>transport!K14</f>
        <v>0</v>
      </c>
      <c r="M20" s="1013">
        <f>transport!L14</f>
        <v>0</v>
      </c>
      <c r="N20" s="1013">
        <f>transport!M14</f>
        <v>8735.7844987608951</v>
      </c>
      <c r="O20" s="1013">
        <f>transport!N14</f>
        <v>0</v>
      </c>
      <c r="P20" s="1013">
        <f>transport!O14</f>
        <v>0</v>
      </c>
      <c r="Q20" s="1014">
        <f>transport!P14</f>
        <v>0</v>
      </c>
      <c r="R20" s="700">
        <f>SUM(C20:Q20)</f>
        <v>170164.79069776693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56.304689487529551</v>
      </c>
      <c r="D22" s="812">
        <f t="shared" ref="D22:R22" si="1">SUM(D18:D21)</f>
        <v>0</v>
      </c>
      <c r="E22" s="812">
        <f t="shared" si="1"/>
        <v>199.03612673727483</v>
      </c>
      <c r="F22" s="812">
        <f t="shared" si="1"/>
        <v>298.97526940384091</v>
      </c>
      <c r="G22" s="812">
        <f t="shared" si="1"/>
        <v>0</v>
      </c>
      <c r="H22" s="812">
        <f t="shared" si="1"/>
        <v>138538.71724666265</v>
      </c>
      <c r="I22" s="812">
        <f t="shared" si="1"/>
        <v>22937.115928768751</v>
      </c>
      <c r="J22" s="812">
        <f t="shared" si="1"/>
        <v>0</v>
      </c>
      <c r="K22" s="812">
        <f t="shared" si="1"/>
        <v>0</v>
      </c>
      <c r="L22" s="812">
        <f t="shared" si="1"/>
        <v>0</v>
      </c>
      <c r="M22" s="812">
        <f t="shared" si="1"/>
        <v>0</v>
      </c>
      <c r="N22" s="812">
        <f t="shared" si="1"/>
        <v>8769.9267708935986</v>
      </c>
      <c r="O22" s="812">
        <f t="shared" si="1"/>
        <v>0</v>
      </c>
      <c r="P22" s="812">
        <f t="shared" si="1"/>
        <v>0</v>
      </c>
      <c r="Q22" s="812">
        <f t="shared" si="1"/>
        <v>0</v>
      </c>
      <c r="R22" s="812">
        <f t="shared" si="1"/>
        <v>170800.07603195365</v>
      </c>
      <c r="S22" s="67"/>
    </row>
    <row r="23" spans="1:19" s="473" customFormat="1" ht="15.75">
      <c r="A23" s="811" t="s">
        <v>237</v>
      </c>
      <c r="B23" s="736"/>
      <c r="C23" s="1148"/>
      <c r="D23" s="1148"/>
      <c r="E23" s="1148"/>
      <c r="F23" s="1148"/>
      <c r="G23" s="1148"/>
      <c r="H23" s="1148"/>
      <c r="I23" s="1148"/>
      <c r="J23" s="1148"/>
      <c r="K23" s="1148"/>
      <c r="L23" s="1148"/>
      <c r="M23" s="1148"/>
      <c r="N23" s="1148"/>
      <c r="O23" s="1148"/>
      <c r="P23" s="1148"/>
      <c r="Q23" s="1148"/>
      <c r="R23" s="702"/>
      <c r="S23" s="67"/>
    </row>
    <row r="24" spans="1:19" s="473" customFormat="1">
      <c r="A24" s="809" t="s">
        <v>633</v>
      </c>
      <c r="B24" s="814"/>
      <c r="C24" s="1013">
        <f>+landbouw!B8</f>
        <v>1865.298378241986</v>
      </c>
      <c r="D24" s="1013">
        <f>+landbouw!C8</f>
        <v>5637.8571428571431</v>
      </c>
      <c r="E24" s="1013">
        <f>+landbouw!D8</f>
        <v>294.17757644418271</v>
      </c>
      <c r="F24" s="1013">
        <f>+landbouw!E8</f>
        <v>54.826816615367591</v>
      </c>
      <c r="G24" s="1013">
        <f>+landbouw!F8</f>
        <v>7770.7322483222706</v>
      </c>
      <c r="H24" s="1013">
        <f>+landbouw!G8</f>
        <v>0</v>
      </c>
      <c r="I24" s="1013">
        <f>+landbouw!H8</f>
        <v>0</v>
      </c>
      <c r="J24" s="1013">
        <f>+landbouw!I8</f>
        <v>0</v>
      </c>
      <c r="K24" s="1013">
        <f>+landbouw!J8</f>
        <v>270.24167726605458</v>
      </c>
      <c r="L24" s="1013">
        <f>+landbouw!K8</f>
        <v>0</v>
      </c>
      <c r="M24" s="1013">
        <f>+landbouw!L8</f>
        <v>0</v>
      </c>
      <c r="N24" s="1013">
        <f>+landbouw!M8</f>
        <v>0</v>
      </c>
      <c r="O24" s="1013">
        <f>+landbouw!N8</f>
        <v>0</v>
      </c>
      <c r="P24" s="1013">
        <f>+landbouw!O8</f>
        <v>0</v>
      </c>
      <c r="Q24" s="1014">
        <f>+landbouw!P8</f>
        <v>0</v>
      </c>
      <c r="R24" s="700">
        <f>SUM(C24:Q24)</f>
        <v>15893.133839747004</v>
      </c>
      <c r="S24" s="67"/>
    </row>
    <row r="25" spans="1:19" s="473" customFormat="1" ht="15" thickBot="1">
      <c r="A25" s="831" t="s">
        <v>836</v>
      </c>
      <c r="B25" s="1016"/>
      <c r="C25" s="1017">
        <f>IF(Onbekend_ele_kWh="---",0,Onbekend_ele_kWh)/1000+IF(REST_rest_ele_kWh="---",0,REST_rest_ele_kWh)/1000</f>
        <v>693.84351491224606</v>
      </c>
      <c r="D25" s="1017"/>
      <c r="E25" s="1017">
        <f>IF(onbekend_gas_kWh="---",0,onbekend_gas_kWh)/1000+IF(REST_rest_gas_kWh="---",0,REST_rest_gas_kWh)/1000</f>
        <v>1107.09548775743</v>
      </c>
      <c r="F25" s="1017"/>
      <c r="G25" s="1017"/>
      <c r="H25" s="1017"/>
      <c r="I25" s="1017"/>
      <c r="J25" s="1017"/>
      <c r="K25" s="1017"/>
      <c r="L25" s="1017"/>
      <c r="M25" s="1017"/>
      <c r="N25" s="1017"/>
      <c r="O25" s="1017"/>
      <c r="P25" s="1017"/>
      <c r="Q25" s="1018"/>
      <c r="R25" s="700">
        <f>SUM(C25:Q25)</f>
        <v>1800.939002669676</v>
      </c>
      <c r="S25" s="67"/>
    </row>
    <row r="26" spans="1:19" s="473" customFormat="1" ht="15.75" thickBot="1">
      <c r="A26" s="705" t="s">
        <v>837</v>
      </c>
      <c r="B26" s="817"/>
      <c r="C26" s="812">
        <f>SUM(C24:C25)</f>
        <v>2559.1418931542321</v>
      </c>
      <c r="D26" s="812">
        <f t="shared" ref="D26:R26" si="2">SUM(D24:D25)</f>
        <v>5637.8571428571431</v>
      </c>
      <c r="E26" s="812">
        <f t="shared" si="2"/>
        <v>1401.2730642016127</v>
      </c>
      <c r="F26" s="812">
        <f t="shared" si="2"/>
        <v>54.826816615367591</v>
      </c>
      <c r="G26" s="812">
        <f t="shared" si="2"/>
        <v>7770.7322483222706</v>
      </c>
      <c r="H26" s="812">
        <f t="shared" si="2"/>
        <v>0</v>
      </c>
      <c r="I26" s="812">
        <f t="shared" si="2"/>
        <v>0</v>
      </c>
      <c r="J26" s="812">
        <f t="shared" si="2"/>
        <v>0</v>
      </c>
      <c r="K26" s="812">
        <f t="shared" si="2"/>
        <v>270.24167726605458</v>
      </c>
      <c r="L26" s="812">
        <f t="shared" si="2"/>
        <v>0</v>
      </c>
      <c r="M26" s="812">
        <f t="shared" si="2"/>
        <v>0</v>
      </c>
      <c r="N26" s="812">
        <f t="shared" si="2"/>
        <v>0</v>
      </c>
      <c r="O26" s="812">
        <f t="shared" si="2"/>
        <v>0</v>
      </c>
      <c r="P26" s="812">
        <f t="shared" si="2"/>
        <v>0</v>
      </c>
      <c r="Q26" s="812">
        <f t="shared" si="2"/>
        <v>0</v>
      </c>
      <c r="R26" s="812">
        <f t="shared" si="2"/>
        <v>17694.072842416681</v>
      </c>
      <c r="S26" s="67"/>
    </row>
    <row r="27" spans="1:19" s="473" customFormat="1" ht="17.25" thickTop="1" thickBot="1">
      <c r="A27" s="706" t="s">
        <v>116</v>
      </c>
      <c r="B27" s="805"/>
      <c r="C27" s="707">
        <f ca="1">C22+C16+C26</f>
        <v>41041.799649430715</v>
      </c>
      <c r="D27" s="707">
        <f t="shared" ref="D27:R27" ca="1" si="3">D22+D16+D26</f>
        <v>5637.8571428571431</v>
      </c>
      <c r="E27" s="707">
        <f t="shared" ca="1" si="3"/>
        <v>54948.502831072408</v>
      </c>
      <c r="F27" s="707">
        <f t="shared" si="3"/>
        <v>3690.8496184821861</v>
      </c>
      <c r="G27" s="707">
        <f t="shared" ca="1" si="3"/>
        <v>25089.03225920464</v>
      </c>
      <c r="H27" s="707">
        <f t="shared" si="3"/>
        <v>138538.71724666265</v>
      </c>
      <c r="I27" s="707">
        <f t="shared" si="3"/>
        <v>22937.115928768751</v>
      </c>
      <c r="J27" s="707">
        <f t="shared" si="3"/>
        <v>0</v>
      </c>
      <c r="K27" s="707">
        <f t="shared" si="3"/>
        <v>6889.7775282199627</v>
      </c>
      <c r="L27" s="707">
        <f t="shared" si="3"/>
        <v>0</v>
      </c>
      <c r="M27" s="707">
        <f t="shared" ca="1" si="3"/>
        <v>0</v>
      </c>
      <c r="N27" s="707">
        <f t="shared" si="3"/>
        <v>8769.9267708935986</v>
      </c>
      <c r="O27" s="707">
        <f t="shared" ca="1" si="3"/>
        <v>11814.453514738847</v>
      </c>
      <c r="P27" s="707">
        <f t="shared" si="3"/>
        <v>329.86333333333334</v>
      </c>
      <c r="Q27" s="707">
        <f t="shared" si="3"/>
        <v>819.86666666666667</v>
      </c>
      <c r="R27" s="707">
        <f t="shared" ca="1" si="3"/>
        <v>320507.76249033096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9"/>
      <c r="B31" s="1149"/>
      <c r="C31" s="1149"/>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8"/>
      <c r="B33" s="1098"/>
      <c r="C33" s="1098"/>
      <c r="D33" s="1098"/>
      <c r="E33" s="1098"/>
      <c r="F33" s="1098"/>
      <c r="G33" s="1098"/>
      <c r="H33" s="1098"/>
      <c r="I33" s="1098"/>
      <c r="J33" s="1098"/>
      <c r="K33" s="1098"/>
      <c r="L33" s="1098"/>
      <c r="M33" s="1098"/>
      <c r="N33" s="1098"/>
      <c r="O33" s="1098"/>
      <c r="P33" s="1098"/>
      <c r="Q33" s="1098"/>
      <c r="R33" s="1098"/>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20"/>
      <c r="B35" s="819"/>
      <c r="C35" s="1122" t="s">
        <v>347</v>
      </c>
      <c r="D35" s="1123"/>
      <c r="E35" s="1123"/>
      <c r="F35" s="1123"/>
      <c r="G35" s="1123"/>
      <c r="H35" s="1123"/>
      <c r="I35" s="1123"/>
      <c r="J35" s="1123"/>
      <c r="K35" s="1123"/>
      <c r="L35" s="1123"/>
      <c r="M35" s="1123"/>
      <c r="N35" s="1123"/>
      <c r="O35" s="1123"/>
      <c r="P35" s="1123"/>
      <c r="Q35" s="1123"/>
      <c r="R35" s="1124"/>
    </row>
    <row r="36" spans="1:18" ht="16.5" thickTop="1">
      <c r="A36" s="1121"/>
      <c r="B36" s="820"/>
      <c r="C36" s="1125" t="s">
        <v>21</v>
      </c>
      <c r="D36" s="1090" t="s">
        <v>232</v>
      </c>
      <c r="E36" s="1127" t="s">
        <v>197</v>
      </c>
      <c r="F36" s="1128"/>
      <c r="G36" s="1128"/>
      <c r="H36" s="1128"/>
      <c r="I36" s="1128"/>
      <c r="J36" s="1128"/>
      <c r="K36" s="1128"/>
      <c r="L36" s="1129"/>
      <c r="M36" s="1127" t="s">
        <v>198</v>
      </c>
      <c r="N36" s="1128"/>
      <c r="O36" s="1128"/>
      <c r="P36" s="1128"/>
      <c r="Q36" s="1128"/>
      <c r="R36" s="1099" t="s">
        <v>116</v>
      </c>
    </row>
    <row r="37" spans="1:18" ht="45.75" thickBot="1">
      <c r="A37" s="1121"/>
      <c r="B37" s="820"/>
      <c r="C37" s="1126"/>
      <c r="D37" s="1093"/>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1"/>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2462.035945085328</v>
      </c>
      <c r="D40" s="1013">
        <f ca="1">tertiair!C20</f>
        <v>0</v>
      </c>
      <c r="E40" s="1013">
        <f ca="1">tertiair!D20</f>
        <v>2215.8467579516173</v>
      </c>
      <c r="F40" s="1013">
        <f>tertiair!E20</f>
        <v>43.441996479925059</v>
      </c>
      <c r="G40" s="1013">
        <f ca="1">tertiair!F20</f>
        <v>460.40600460494289</v>
      </c>
      <c r="H40" s="1013">
        <f>tertiair!G20</f>
        <v>0</v>
      </c>
      <c r="I40" s="1013">
        <f>tertiair!H20</f>
        <v>0</v>
      </c>
      <c r="J40" s="1013">
        <f>tertiair!I20</f>
        <v>0</v>
      </c>
      <c r="K40" s="1013">
        <f>tertiair!J20</f>
        <v>4.8880321781004073E-3</v>
      </c>
      <c r="L40" s="1013">
        <f>tertiair!K20</f>
        <v>0</v>
      </c>
      <c r="M40" s="1013">
        <f ca="1">tertiair!L20</f>
        <v>0</v>
      </c>
      <c r="N40" s="1013">
        <f>tertiair!M20</f>
        <v>0</v>
      </c>
      <c r="O40" s="1013">
        <f ca="1">tertiair!N20</f>
        <v>0</v>
      </c>
      <c r="P40" s="1013">
        <f>tertiair!O20</f>
        <v>0</v>
      </c>
      <c r="Q40" s="774">
        <f>tertiair!P20</f>
        <v>0</v>
      </c>
      <c r="R40" s="850">
        <f t="shared" ca="1" si="4"/>
        <v>5181.7355921539911</v>
      </c>
    </row>
    <row r="41" spans="1:18">
      <c r="A41" s="822" t="s">
        <v>225</v>
      </c>
      <c r="B41" s="829"/>
      <c r="C41" s="1013">
        <f ca="1">huishoudens!B12</f>
        <v>5799.1917516975354</v>
      </c>
      <c r="D41" s="1013">
        <f ca="1">huishoudens!C12</f>
        <v>0</v>
      </c>
      <c r="E41" s="1013">
        <f>huishoudens!D12</f>
        <v>8090.8354618687754</v>
      </c>
      <c r="F41" s="1013">
        <f>huishoudens!E12</f>
        <v>639.51507125873263</v>
      </c>
      <c r="G41" s="1013">
        <f>huishoudens!F12</f>
        <v>3900.538960529243</v>
      </c>
      <c r="H41" s="1013">
        <f>huishoudens!G12</f>
        <v>0</v>
      </c>
      <c r="I41" s="1013">
        <f>huishoudens!H12</f>
        <v>0</v>
      </c>
      <c r="J41" s="1013">
        <f>huishoudens!I12</f>
        <v>0</v>
      </c>
      <c r="K41" s="1013">
        <f>huishoudens!J12</f>
        <v>2342.900633619925</v>
      </c>
      <c r="L41" s="1013">
        <f>huishoudens!K12</f>
        <v>0</v>
      </c>
      <c r="M41" s="1013">
        <f>huishoudens!L12</f>
        <v>0</v>
      </c>
      <c r="N41" s="1013">
        <f>huishoudens!M12</f>
        <v>0</v>
      </c>
      <c r="O41" s="1013">
        <f>huishoudens!N12</f>
        <v>0</v>
      </c>
      <c r="P41" s="1013">
        <f>huishoudens!O12</f>
        <v>0</v>
      </c>
      <c r="Q41" s="774">
        <f>huishoudens!P12</f>
        <v>0</v>
      </c>
      <c r="R41" s="850">
        <f t="shared" ca="1" si="4"/>
        <v>20772.981878974209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525.6426889411108</v>
      </c>
      <c r="D43" s="1013">
        <f ca="1">industrie!C22</f>
        <v>0</v>
      </c>
      <c r="E43" s="1013">
        <f>industrie!D22</f>
        <v>469.65289548658006</v>
      </c>
      <c r="F43" s="1013">
        <f>industrie!E22</f>
        <v>74.552722130438354</v>
      </c>
      <c r="G43" s="1013">
        <f>industrie!F22</f>
        <v>263.04113777140645</v>
      </c>
      <c r="H43" s="1013">
        <f>industrie!G22</f>
        <v>0</v>
      </c>
      <c r="I43" s="1013">
        <f>industrie!H22</f>
        <v>0</v>
      </c>
      <c r="J43" s="1013">
        <f>industrie!I22</f>
        <v>0</v>
      </c>
      <c r="K43" s="1013">
        <f>industrie!J22</f>
        <v>0.41016958558026478</v>
      </c>
      <c r="L43" s="1013">
        <f>industrie!K22</f>
        <v>0</v>
      </c>
      <c r="M43" s="1013">
        <f>industrie!L22</f>
        <v>0</v>
      </c>
      <c r="N43" s="1013">
        <f>industrie!M22</f>
        <v>0</v>
      </c>
      <c r="O43" s="1013">
        <f>industrie!N22</f>
        <v>0</v>
      </c>
      <c r="P43" s="1013">
        <f>industrie!O22</f>
        <v>0</v>
      </c>
      <c r="Q43" s="774">
        <f>industrie!P22</f>
        <v>0</v>
      </c>
      <c r="R43" s="849">
        <f t="shared" ca="1" si="4"/>
        <v>1333.299613915116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8786.8703857239743</v>
      </c>
      <c r="D46" s="732">
        <f t="shared" ref="D46:Q46" ca="1" si="5">SUM(D39:D45)</f>
        <v>0</v>
      </c>
      <c r="E46" s="732">
        <f t="shared" ca="1" si="5"/>
        <v>10776.335115306973</v>
      </c>
      <c r="F46" s="732">
        <f t="shared" si="5"/>
        <v>757.50978986909604</v>
      </c>
      <c r="G46" s="732">
        <f t="shared" ca="1" si="5"/>
        <v>4623.9861029055919</v>
      </c>
      <c r="H46" s="732">
        <f t="shared" si="5"/>
        <v>0</v>
      </c>
      <c r="I46" s="732">
        <f t="shared" si="5"/>
        <v>0</v>
      </c>
      <c r="J46" s="732">
        <f t="shared" si="5"/>
        <v>0</v>
      </c>
      <c r="K46" s="732">
        <f t="shared" si="5"/>
        <v>2343.3156912376835</v>
      </c>
      <c r="L46" s="732">
        <f t="shared" si="5"/>
        <v>0</v>
      </c>
      <c r="M46" s="732">
        <f t="shared" ca="1" si="5"/>
        <v>0</v>
      </c>
      <c r="N46" s="732">
        <f t="shared" si="5"/>
        <v>0</v>
      </c>
      <c r="O46" s="732">
        <f t="shared" ca="1" si="5"/>
        <v>0</v>
      </c>
      <c r="P46" s="732">
        <f t="shared" si="5"/>
        <v>0</v>
      </c>
      <c r="Q46" s="732">
        <f t="shared" si="5"/>
        <v>0</v>
      </c>
      <c r="R46" s="732">
        <f ca="1">SUM(R39:R45)</f>
        <v>27288.017085043313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160.50519756842243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160.50519756842243</v>
      </c>
    </row>
    <row r="50" spans="1:18">
      <c r="A50" s="825" t="s">
        <v>307</v>
      </c>
      <c r="B50" s="835"/>
      <c r="C50" s="703">
        <f ca="1">transport!B18</f>
        <v>12.875070599997999</v>
      </c>
      <c r="D50" s="703">
        <f>transport!C18</f>
        <v>0</v>
      </c>
      <c r="E50" s="703">
        <f>transport!D18</f>
        <v>40.205297600929519</v>
      </c>
      <c r="F50" s="703">
        <f>transport!E18</f>
        <v>67.867386154671891</v>
      </c>
      <c r="G50" s="703">
        <f>transport!F18</f>
        <v>0</v>
      </c>
      <c r="H50" s="703">
        <f>transport!G18</f>
        <v>36829.332307290511</v>
      </c>
      <c r="I50" s="703">
        <f>transport!H18</f>
        <v>5711.3418662634194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42661.621927909531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12.875070599997999</v>
      </c>
      <c r="D52" s="732">
        <f t="shared" ref="D52:Q52" ca="1" si="6">SUM(D48:D51)</f>
        <v>0</v>
      </c>
      <c r="E52" s="732">
        <f t="shared" si="6"/>
        <v>40.205297600929519</v>
      </c>
      <c r="F52" s="732">
        <f t="shared" si="6"/>
        <v>67.867386154671891</v>
      </c>
      <c r="G52" s="732">
        <f t="shared" si="6"/>
        <v>0</v>
      </c>
      <c r="H52" s="732">
        <f t="shared" si="6"/>
        <v>36989.837504858937</v>
      </c>
      <c r="I52" s="732">
        <f t="shared" si="6"/>
        <v>5711.3418662634194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42822.127125477957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426.53371377256963</v>
      </c>
      <c r="D54" s="703">
        <f ca="1">+landbouw!C12</f>
        <v>1339.8201680672271</v>
      </c>
      <c r="E54" s="703">
        <f>+landbouw!D12</f>
        <v>59.423870441724908</v>
      </c>
      <c r="F54" s="703">
        <f>+landbouw!E12</f>
        <v>12.445687371688443</v>
      </c>
      <c r="G54" s="703">
        <f>+landbouw!F12</f>
        <v>2074.7855103020465</v>
      </c>
      <c r="H54" s="703">
        <f>+landbouw!G12</f>
        <v>0</v>
      </c>
      <c r="I54" s="703">
        <f>+landbouw!H12</f>
        <v>0</v>
      </c>
      <c r="J54" s="703">
        <f>+landbouw!I12</f>
        <v>0</v>
      </c>
      <c r="K54" s="703">
        <f>+landbouw!J12</f>
        <v>95.665553752183314</v>
      </c>
      <c r="L54" s="703">
        <f>+landbouw!K12</f>
        <v>0</v>
      </c>
      <c r="M54" s="703">
        <f>+landbouw!L12</f>
        <v>0</v>
      </c>
      <c r="N54" s="703">
        <f>+landbouw!M12</f>
        <v>0</v>
      </c>
      <c r="O54" s="703">
        <f>+landbouw!N12</f>
        <v>0</v>
      </c>
      <c r="P54" s="703">
        <f>+landbouw!O12</f>
        <v>0</v>
      </c>
      <c r="Q54" s="704">
        <f>+landbouw!P12</f>
        <v>0</v>
      </c>
      <c r="R54" s="731">
        <f ca="1">SUM(C54:Q54)</f>
        <v>4008.6745037074397</v>
      </c>
    </row>
    <row r="55" spans="1:18" ht="15" thickBot="1">
      <c r="A55" s="825" t="s">
        <v>836</v>
      </c>
      <c r="B55" s="835"/>
      <c r="C55" s="703">
        <f ca="1">C25*'EF ele_warmte'!B12</f>
        <v>158.65968396512497</v>
      </c>
      <c r="D55" s="703"/>
      <c r="E55" s="703">
        <f>E25*EF_CO2_aardgas</f>
        <v>223.63328852700087</v>
      </c>
      <c r="F55" s="703"/>
      <c r="G55" s="703"/>
      <c r="H55" s="703"/>
      <c r="I55" s="703"/>
      <c r="J55" s="703"/>
      <c r="K55" s="703"/>
      <c r="L55" s="703"/>
      <c r="M55" s="703"/>
      <c r="N55" s="703"/>
      <c r="O55" s="703"/>
      <c r="P55" s="703"/>
      <c r="Q55" s="704"/>
      <c r="R55" s="731">
        <f ca="1">SUM(C55:Q55)</f>
        <v>382.29297249212584</v>
      </c>
    </row>
    <row r="56" spans="1:18" ht="15.75" thickBot="1">
      <c r="A56" s="823" t="s">
        <v>837</v>
      </c>
      <c r="B56" s="836"/>
      <c r="C56" s="732">
        <f ca="1">SUM(C54:C55)</f>
        <v>585.19339773769457</v>
      </c>
      <c r="D56" s="732">
        <f t="shared" ref="D56:Q56" ca="1" si="7">SUM(D54:D55)</f>
        <v>1339.8201680672271</v>
      </c>
      <c r="E56" s="732">
        <f t="shared" si="7"/>
        <v>283.05715896872579</v>
      </c>
      <c r="F56" s="732">
        <f t="shared" si="7"/>
        <v>12.445687371688443</v>
      </c>
      <c r="G56" s="732">
        <f t="shared" si="7"/>
        <v>2074.7855103020465</v>
      </c>
      <c r="H56" s="732">
        <f t="shared" si="7"/>
        <v>0</v>
      </c>
      <c r="I56" s="732">
        <f t="shared" si="7"/>
        <v>0</v>
      </c>
      <c r="J56" s="732">
        <f t="shared" si="7"/>
        <v>0</v>
      </c>
      <c r="K56" s="732">
        <f t="shared" si="7"/>
        <v>95.665553752183314</v>
      </c>
      <c r="L56" s="732">
        <f t="shared" si="7"/>
        <v>0</v>
      </c>
      <c r="M56" s="732">
        <f t="shared" si="7"/>
        <v>0</v>
      </c>
      <c r="N56" s="732">
        <f t="shared" si="7"/>
        <v>0</v>
      </c>
      <c r="O56" s="732">
        <f t="shared" si="7"/>
        <v>0</v>
      </c>
      <c r="P56" s="732">
        <f t="shared" si="7"/>
        <v>0</v>
      </c>
      <c r="Q56" s="733">
        <f t="shared" si="7"/>
        <v>0</v>
      </c>
      <c r="R56" s="734">
        <f ca="1">SUM(R54:R55)</f>
        <v>4390.9674761995657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150"/>
      <c r="D58" s="1151"/>
      <c r="E58" s="1151"/>
      <c r="F58" s="1151"/>
      <c r="G58" s="1151"/>
      <c r="H58" s="1151"/>
      <c r="I58" s="1151"/>
      <c r="J58" s="1151"/>
      <c r="K58" s="1151"/>
      <c r="L58" s="1151"/>
      <c r="M58" s="1151"/>
      <c r="N58" s="1151"/>
      <c r="O58" s="1151"/>
      <c r="P58" s="1151"/>
      <c r="Q58" s="1151"/>
      <c r="R58" s="738"/>
    </row>
    <row r="59" spans="1:18" ht="15">
      <c r="A59" s="827" t="s">
        <v>239</v>
      </c>
      <c r="B59" s="814"/>
      <c r="C59" s="1152"/>
      <c r="D59" s="1153"/>
      <c r="E59" s="1153"/>
      <c r="F59" s="1153"/>
      <c r="G59" s="1153"/>
      <c r="H59" s="1153"/>
      <c r="I59" s="1153"/>
      <c r="J59" s="1153"/>
      <c r="K59" s="1153"/>
      <c r="L59" s="1153"/>
      <c r="M59" s="1153"/>
      <c r="N59" s="1153"/>
      <c r="O59" s="1153"/>
      <c r="P59" s="1153"/>
      <c r="Q59" s="1153"/>
      <c r="R59" s="739"/>
    </row>
    <row r="60" spans="1:18" ht="15" thickBot="1">
      <c r="A60" s="838" t="s">
        <v>240</v>
      </c>
      <c r="B60" s="839"/>
      <c r="C60" s="1152"/>
      <c r="D60" s="1153"/>
      <c r="E60" s="1153"/>
      <c r="F60" s="1153"/>
      <c r="G60" s="1153"/>
      <c r="H60" s="1153"/>
      <c r="I60" s="1153"/>
      <c r="J60" s="1153"/>
      <c r="K60" s="1153"/>
      <c r="L60" s="1153"/>
      <c r="M60" s="1153"/>
      <c r="N60" s="1153"/>
      <c r="O60" s="1153"/>
      <c r="P60" s="1153"/>
      <c r="Q60" s="1153"/>
      <c r="R60" s="731"/>
    </row>
    <row r="61" spans="1:18" ht="16.5" thickBot="1">
      <c r="A61" s="841" t="s">
        <v>116</v>
      </c>
      <c r="B61" s="842"/>
      <c r="C61" s="740">
        <f ca="1">C46+C52+C56</f>
        <v>9384.9388540616656</v>
      </c>
      <c r="D61" s="740">
        <f t="shared" ref="D61:Q61" ca="1" si="8">D46+D52+D56</f>
        <v>1339.8201680672271</v>
      </c>
      <c r="E61" s="740">
        <f t="shared" ca="1" si="8"/>
        <v>11099.597571876628</v>
      </c>
      <c r="F61" s="740">
        <f t="shared" si="8"/>
        <v>837.82286339545635</v>
      </c>
      <c r="G61" s="740">
        <f t="shared" ca="1" si="8"/>
        <v>6698.7716132076384</v>
      </c>
      <c r="H61" s="740">
        <f t="shared" si="8"/>
        <v>36989.837504858937</v>
      </c>
      <c r="I61" s="740">
        <f t="shared" si="8"/>
        <v>5711.3418662634194</v>
      </c>
      <c r="J61" s="740">
        <f t="shared" si="8"/>
        <v>0</v>
      </c>
      <c r="K61" s="740">
        <f t="shared" si="8"/>
        <v>2438.9812449898668</v>
      </c>
      <c r="L61" s="740">
        <f t="shared" si="8"/>
        <v>0</v>
      </c>
      <c r="M61" s="740">
        <f t="shared" ca="1" si="8"/>
        <v>0</v>
      </c>
      <c r="N61" s="740">
        <f t="shared" si="8"/>
        <v>0</v>
      </c>
      <c r="O61" s="740">
        <f t="shared" ca="1" si="8"/>
        <v>0</v>
      </c>
      <c r="P61" s="740">
        <f t="shared" si="8"/>
        <v>0</v>
      </c>
      <c r="Q61" s="740">
        <f t="shared" si="8"/>
        <v>0</v>
      </c>
      <c r="R61" s="740">
        <f ca="1">R46+R52+R56</f>
        <v>74501.111686720848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0.22866781998415225</v>
      </c>
      <c r="D63" s="781">
        <f t="shared" ca="1" si="9"/>
        <v>0.23764705882352943</v>
      </c>
      <c r="E63" s="1024">
        <f t="shared" ca="1" si="9"/>
        <v>0.20200000000000001</v>
      </c>
      <c r="F63" s="781">
        <f t="shared" si="9"/>
        <v>0.22700000000000004</v>
      </c>
      <c r="G63" s="781">
        <f t="shared" ca="1" si="9"/>
        <v>0.26699999999999996</v>
      </c>
      <c r="H63" s="781">
        <f t="shared" si="9"/>
        <v>0.26700000000000007</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8"/>
      <c r="B67" s="1098"/>
      <c r="C67" s="1098"/>
      <c r="D67" s="1098"/>
      <c r="E67" s="1098"/>
      <c r="F67" s="1098"/>
      <c r="G67" s="1098"/>
      <c r="H67" s="1098"/>
      <c r="I67" s="1098"/>
      <c r="J67" s="1098"/>
      <c r="K67" s="1098"/>
      <c r="L67" s="1098"/>
      <c r="M67" s="1098"/>
      <c r="N67" s="1098"/>
      <c r="O67" s="1098"/>
      <c r="P67" s="1098"/>
      <c r="Q67" s="1098"/>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9" t="s">
        <v>241</v>
      </c>
      <c r="B69" s="1083" t="s">
        <v>351</v>
      </c>
      <c r="C69" s="1084"/>
      <c r="D69" s="1158" t="s">
        <v>352</v>
      </c>
      <c r="E69" s="1159"/>
      <c r="F69" s="1159"/>
      <c r="G69" s="1159"/>
      <c r="H69" s="1159"/>
      <c r="I69" s="1159"/>
      <c r="J69" s="1159"/>
      <c r="K69" s="1159"/>
      <c r="L69" s="1159"/>
      <c r="M69" s="1159"/>
      <c r="N69" s="1159"/>
      <c r="O69" s="1160"/>
      <c r="P69" s="1025" t="s">
        <v>642</v>
      </c>
      <c r="Q69" s="1161" t="s">
        <v>641</v>
      </c>
      <c r="R69" s="1162"/>
    </row>
    <row r="70" spans="1:18" ht="61.5" thickTop="1" thickBot="1">
      <c r="A70" s="1100"/>
      <c r="B70" s="1156"/>
      <c r="C70" s="1157"/>
      <c r="D70" s="1163" t="s">
        <v>197</v>
      </c>
      <c r="E70" s="1164"/>
      <c r="F70" s="1164"/>
      <c r="G70" s="1164"/>
      <c r="H70" s="1165"/>
      <c r="I70" s="1005" t="s">
        <v>246</v>
      </c>
      <c r="J70" s="1005" t="s">
        <v>234</v>
      </c>
      <c r="K70" s="1005" t="s">
        <v>209</v>
      </c>
      <c r="L70" s="1005" t="s">
        <v>210</v>
      </c>
      <c r="M70" s="749" t="s">
        <v>245</v>
      </c>
      <c r="N70" s="1005" t="s">
        <v>247</v>
      </c>
      <c r="O70" s="1000" t="s">
        <v>127</v>
      </c>
      <c r="P70" s="1026"/>
      <c r="Q70" s="856"/>
      <c r="R70" s="857"/>
    </row>
    <row r="71" spans="1:18" ht="95.25" customHeight="1" thickTop="1" thickBot="1">
      <c r="A71" s="1101"/>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154"/>
      <c r="D72" s="1154"/>
      <c r="E72" s="1155"/>
      <c r="F72" s="1155"/>
      <c r="G72" s="1108"/>
      <c r="H72" s="1111"/>
      <c r="I72" s="1114"/>
      <c r="J72" s="997"/>
      <c r="K72" s="1117"/>
      <c r="L72" s="1117"/>
      <c r="M72" s="1117"/>
      <c r="N72" s="1117"/>
      <c r="O72" s="1166"/>
      <c r="P72" s="851">
        <v>0</v>
      </c>
      <c r="Q72" s="1031"/>
      <c r="R72" s="851">
        <v>0</v>
      </c>
    </row>
    <row r="73" spans="1:18" ht="15">
      <c r="A73" s="751" t="s">
        <v>250</v>
      </c>
      <c r="B73" s="750">
        <f>'lokale energieproductie'!B5</f>
        <v>0</v>
      </c>
      <c r="C73" s="1115"/>
      <c r="D73" s="1115"/>
      <c r="E73" s="1118"/>
      <c r="F73" s="1118"/>
      <c r="G73" s="1109"/>
      <c r="H73" s="1112"/>
      <c r="I73" s="1115"/>
      <c r="J73" s="998"/>
      <c r="K73" s="1118"/>
      <c r="L73" s="1118"/>
      <c r="M73" s="1118"/>
      <c r="N73" s="1118"/>
      <c r="O73" s="1167"/>
      <c r="P73" s="852">
        <v>0</v>
      </c>
      <c r="Q73" s="858"/>
      <c r="R73" s="852">
        <v>0</v>
      </c>
    </row>
    <row r="74" spans="1:18" ht="15">
      <c r="A74" s="751" t="s">
        <v>251</v>
      </c>
      <c r="B74" s="750">
        <f>'lokale energieproductie'!B6</f>
        <v>2819.787267464159</v>
      </c>
      <c r="C74" s="1115"/>
      <c r="D74" s="1115"/>
      <c r="E74" s="1118"/>
      <c r="F74" s="1118"/>
      <c r="G74" s="1109"/>
      <c r="H74" s="1112"/>
      <c r="I74" s="1115"/>
      <c r="J74" s="998"/>
      <c r="K74" s="1118"/>
      <c r="L74" s="1118"/>
      <c r="M74" s="1118"/>
      <c r="N74" s="1118"/>
      <c r="O74" s="1167"/>
      <c r="P74" s="852">
        <v>0</v>
      </c>
      <c r="Q74" s="858"/>
      <c r="R74" s="852">
        <v>0</v>
      </c>
    </row>
    <row r="75" spans="1:18" ht="15.75" thickBot="1">
      <c r="A75" s="751" t="s">
        <v>839</v>
      </c>
      <c r="B75" s="750">
        <f>'lokale energieproductie'!B7</f>
        <v>0</v>
      </c>
      <c r="C75" s="1116"/>
      <c r="D75" s="1116"/>
      <c r="E75" s="1119"/>
      <c r="F75" s="1119"/>
      <c r="G75" s="1110"/>
      <c r="H75" s="1113"/>
      <c r="I75" s="1116"/>
      <c r="J75" s="1032"/>
      <c r="K75" s="1119"/>
      <c r="L75" s="1119"/>
      <c r="M75" s="1119"/>
      <c r="N75" s="1119"/>
      <c r="O75" s="1168"/>
      <c r="P75" s="852">
        <v>0</v>
      </c>
      <c r="Q75" s="1033"/>
      <c r="R75" s="852">
        <v>0</v>
      </c>
    </row>
    <row r="76" spans="1:18" ht="15">
      <c r="A76" s="752" t="s">
        <v>252</v>
      </c>
      <c r="B76" s="750">
        <f>'lokale energieproductie'!B8*IFERROR(SUM(I76:O76)/SUM(D76:O76),0)</f>
        <v>0</v>
      </c>
      <c r="C76" s="750">
        <f>'lokale energieproductie'!B8*IFERROR(SUM(D76:H76)/SUM(D76:O76),0)</f>
        <v>3946.5</v>
      </c>
      <c r="D76" s="1034">
        <f>'lokale energieproductie'!C8</f>
        <v>4642.9411764705883</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937.87411764705894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2819.787267464159</v>
      </c>
      <c r="C78" s="755">
        <f>SUM(C72:C77)</f>
        <v>3946.5</v>
      </c>
      <c r="D78" s="756">
        <f t="shared" ref="D78:H78" si="10">SUM(D76:D77)</f>
        <v>4642.9411764705883</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937.87411764705894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8"/>
      <c r="B82" s="1098"/>
      <c r="C82" s="1098"/>
      <c r="D82" s="1098"/>
      <c r="E82" s="1098"/>
      <c r="F82" s="1098"/>
      <c r="G82" s="1098"/>
      <c r="H82" s="1098"/>
      <c r="I82" s="1098"/>
      <c r="J82" s="1098"/>
      <c r="K82" s="1098"/>
      <c r="L82" s="1098"/>
      <c r="M82" s="1098"/>
      <c r="N82" s="1098"/>
      <c r="O82" s="1098"/>
      <c r="P82" s="1098"/>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9" t="s">
        <v>253</v>
      </c>
      <c r="B84" s="1083" t="s">
        <v>355</v>
      </c>
      <c r="C84" s="1102"/>
      <c r="D84" s="1105" t="s">
        <v>356</v>
      </c>
      <c r="E84" s="1106"/>
      <c r="F84" s="1106"/>
      <c r="G84" s="1106"/>
      <c r="H84" s="1106"/>
      <c r="I84" s="1106"/>
      <c r="J84" s="1106"/>
      <c r="K84" s="1106"/>
      <c r="L84" s="1106"/>
      <c r="M84" s="1106"/>
      <c r="N84" s="1106"/>
      <c r="O84" s="1107"/>
      <c r="P84" s="1025" t="s">
        <v>642</v>
      </c>
      <c r="Q84" s="1083" t="s">
        <v>641</v>
      </c>
      <c r="R84" s="1084"/>
    </row>
    <row r="85" spans="1:19" ht="16.5" customHeight="1" thickTop="1" thickBot="1">
      <c r="A85" s="1100"/>
      <c r="B85" s="1103"/>
      <c r="C85" s="1104"/>
      <c r="D85" s="1085" t="s">
        <v>197</v>
      </c>
      <c r="E85" s="1086"/>
      <c r="F85" s="1086"/>
      <c r="G85" s="1086"/>
      <c r="H85" s="1087"/>
      <c r="I85" s="1088" t="s">
        <v>246</v>
      </c>
      <c r="J85" s="1090" t="s">
        <v>234</v>
      </c>
      <c r="K85" s="1092" t="s">
        <v>209</v>
      </c>
      <c r="L85" s="1092" t="s">
        <v>210</v>
      </c>
      <c r="M85" s="1094" t="s">
        <v>245</v>
      </c>
      <c r="N85" s="1092" t="s">
        <v>257</v>
      </c>
      <c r="O85" s="1096" t="s">
        <v>127</v>
      </c>
      <c r="P85" s="1026"/>
      <c r="Q85" s="856"/>
      <c r="R85" s="857"/>
    </row>
    <row r="86" spans="1:19" ht="110.25" customHeight="1" thickTop="1" thickBot="1">
      <c r="A86" s="1101"/>
      <c r="B86" s="844" t="s">
        <v>640</v>
      </c>
      <c r="C86" s="844" t="s">
        <v>838</v>
      </c>
      <c r="D86" s="995" t="s">
        <v>199</v>
      </c>
      <c r="E86" s="996" t="s">
        <v>200</v>
      </c>
      <c r="F86" s="1004" t="s">
        <v>201</v>
      </c>
      <c r="G86" s="996" t="s">
        <v>203</v>
      </c>
      <c r="H86" s="764" t="s">
        <v>204</v>
      </c>
      <c r="I86" s="1089"/>
      <c r="J86" s="1091"/>
      <c r="K86" s="1093"/>
      <c r="L86" s="1093"/>
      <c r="M86" s="1095"/>
      <c r="N86" s="1093"/>
      <c r="O86" s="1097"/>
      <c r="P86" s="1030"/>
      <c r="Q86" s="995" t="s">
        <v>643</v>
      </c>
      <c r="R86" s="1001" t="s">
        <v>644</v>
      </c>
    </row>
    <row r="87" spans="1:19" ht="15.75" thickTop="1">
      <c r="A87" s="765" t="s">
        <v>252</v>
      </c>
      <c r="B87" s="766">
        <f>'lokale energieproductie'!B17*IFERROR(SUM(I87:O87)/SUM(D87:O87),0)</f>
        <v>0</v>
      </c>
      <c r="C87" s="766">
        <f>'lokale energieproductie'!B17*IFERROR(SUM(D87:H87)/SUM(D87:O87),0)</f>
        <v>5637.8571428571431</v>
      </c>
      <c r="D87" s="777">
        <f>'lokale energieproductie'!C17</f>
        <v>6632.7731092436979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80"/>
      <c r="Q87" s="859">
        <f>D87*EF_CO2_aardgas+E87*EF_VLgas_CO2+'SEAP template'!F87*EF_stookolie_CO2+EF_bruinkool_CO2*'SEAP template'!G87+'SEAP template'!H87*EF_steenkool_CO2+'EF brandstof'!M4*'SEAP template'!M87+'SEAP template'!O87*EF_anderfossiel_CO2</f>
        <v>1339.8201680672271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1"/>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2"/>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5637.8571428571431</v>
      </c>
      <c r="D90" s="755">
        <f t="shared" ref="D90:H90" si="12">SUM(D87:D89)</f>
        <v>6632.7731092436979</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1339.8201680672271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25360.768962154121</v>
      </c>
      <c r="C4" s="477">
        <f>huishoudens!C8</f>
        <v>0</v>
      </c>
      <c r="D4" s="477">
        <f>huishoudens!D8</f>
        <v>40053.64090034047</v>
      </c>
      <c r="E4" s="477">
        <f>huishoudens!E8</f>
        <v>2817.2470099503639</v>
      </c>
      <c r="F4" s="477">
        <f>huishoudens!F8</f>
        <v>14608.760151794917</v>
      </c>
      <c r="G4" s="477">
        <f>huishoudens!G8</f>
        <v>0</v>
      </c>
      <c r="H4" s="477">
        <f>huishoudens!H8</f>
        <v>0</v>
      </c>
      <c r="I4" s="477">
        <f>huishoudens!I8</f>
        <v>0</v>
      </c>
      <c r="J4" s="477">
        <f>huishoudens!J8</f>
        <v>6618.3633718076981</v>
      </c>
      <c r="K4" s="477">
        <f>huishoudens!K8</f>
        <v>0</v>
      </c>
      <c r="L4" s="477">
        <f>huishoudens!L8</f>
        <v>0</v>
      </c>
      <c r="M4" s="477">
        <f>huishoudens!M8</f>
        <v>0</v>
      </c>
      <c r="N4" s="477">
        <f>huishoudens!N8</f>
        <v>10818.056192787375</v>
      </c>
      <c r="O4" s="477">
        <f>huishoudens!O8</f>
        <v>328.3</v>
      </c>
      <c r="P4" s="478">
        <f>huishoudens!P8</f>
        <v>800.8</v>
      </c>
      <c r="Q4" s="479">
        <f>SUM(B4:P4)</f>
        <v>101405.93658883497</v>
      </c>
    </row>
    <row r="5" spans="1:17">
      <c r="A5" s="476" t="s">
        <v>156</v>
      </c>
      <c r="B5" s="477">
        <f ca="1">tertiair!B16</f>
        <v>9784.4617382054821</v>
      </c>
      <c r="C5" s="477">
        <f ca="1">tertiair!C16</f>
        <v>0</v>
      </c>
      <c r="D5" s="477">
        <f ca="1">tertiair!D16</f>
        <v>10969.538405701074</v>
      </c>
      <c r="E5" s="477">
        <f>tertiair!E16</f>
        <v>191.37443383226898</v>
      </c>
      <c r="F5" s="477">
        <f ca="1">tertiair!F16</f>
        <v>1724.367058445479</v>
      </c>
      <c r="G5" s="477">
        <f>tertiair!G16</f>
        <v>0</v>
      </c>
      <c r="H5" s="477">
        <f>tertiair!H16</f>
        <v>0</v>
      </c>
      <c r="I5" s="477">
        <f>tertiair!I16</f>
        <v>0</v>
      </c>
      <c r="J5" s="477">
        <f>tertiair!J16</f>
        <v>1.3808000503108497E-2</v>
      </c>
      <c r="K5" s="477">
        <f>tertiair!K16</f>
        <v>0</v>
      </c>
      <c r="L5" s="477">
        <f ca="1">tertiair!L16</f>
        <v>0</v>
      </c>
      <c r="M5" s="477">
        <f>tertiair!M16</f>
        <v>0</v>
      </c>
      <c r="N5" s="477">
        <f ca="1">tertiair!N16</f>
        <v>555.08864289431881</v>
      </c>
      <c r="O5" s="477">
        <f>tertiair!O16</f>
        <v>1.5633333333333335</v>
      </c>
      <c r="P5" s="478">
        <f>tertiair!P16</f>
        <v>19.066666666666666</v>
      </c>
      <c r="Q5" s="476">
        <f t="shared" ref="Q5:Q14" ca="1" si="0">SUM(B5:P5)</f>
        <v>23245.474087079121</v>
      </c>
    </row>
    <row r="6" spans="1:17">
      <c r="A6" s="476" t="s">
        <v>194</v>
      </c>
      <c r="B6" s="477">
        <f>'openbare verlichting'!B8</f>
        <v>982.40499999999997</v>
      </c>
      <c r="C6" s="477"/>
      <c r="D6" s="477"/>
      <c r="E6" s="477"/>
      <c r="F6" s="477"/>
      <c r="G6" s="477"/>
      <c r="H6" s="477"/>
      <c r="I6" s="477"/>
      <c r="J6" s="477"/>
      <c r="K6" s="477"/>
      <c r="L6" s="477"/>
      <c r="M6" s="477"/>
      <c r="N6" s="477"/>
      <c r="O6" s="477"/>
      <c r="P6" s="478"/>
      <c r="Q6" s="476">
        <f t="shared" si="0"/>
        <v>982.40499999999997</v>
      </c>
    </row>
    <row r="7" spans="1:17">
      <c r="A7" s="476" t="s">
        <v>112</v>
      </c>
      <c r="B7" s="477">
        <f>landbouw!B8</f>
        <v>1865.298378241986</v>
      </c>
      <c r="C7" s="477">
        <f>landbouw!C8</f>
        <v>5637.8571428571431</v>
      </c>
      <c r="D7" s="477">
        <f>landbouw!D8</f>
        <v>294.17757644418271</v>
      </c>
      <c r="E7" s="477">
        <f>landbouw!E8</f>
        <v>54.826816615367591</v>
      </c>
      <c r="F7" s="477">
        <f>landbouw!F8</f>
        <v>7770.7322483222706</v>
      </c>
      <c r="G7" s="477">
        <f>landbouw!G8</f>
        <v>0</v>
      </c>
      <c r="H7" s="477">
        <f>landbouw!H8</f>
        <v>0</v>
      </c>
      <c r="I7" s="477">
        <f>landbouw!I8</f>
        <v>0</v>
      </c>
      <c r="J7" s="477">
        <f>landbouw!J8</f>
        <v>270.24167726605458</v>
      </c>
      <c r="K7" s="477">
        <f>landbouw!K8</f>
        <v>0</v>
      </c>
      <c r="L7" s="477">
        <f>landbouw!L8</f>
        <v>0</v>
      </c>
      <c r="M7" s="477">
        <f>landbouw!M8</f>
        <v>0</v>
      </c>
      <c r="N7" s="477">
        <f>landbouw!N8</f>
        <v>0</v>
      </c>
      <c r="O7" s="477">
        <f>landbouw!O8</f>
        <v>0</v>
      </c>
      <c r="P7" s="478">
        <f>landbouw!P8</f>
        <v>0</v>
      </c>
      <c r="Q7" s="476">
        <f t="shared" si="0"/>
        <v>15893.133839747004</v>
      </c>
    </row>
    <row r="8" spans="1:17">
      <c r="A8" s="476" t="s">
        <v>635</v>
      </c>
      <c r="B8" s="477">
        <f>industrie!B18</f>
        <v>2298.7173664293482</v>
      </c>
      <c r="C8" s="477">
        <f>industrie!C18</f>
        <v>0</v>
      </c>
      <c r="D8" s="477">
        <f>industrie!D18</f>
        <v>2325.0143340919803</v>
      </c>
      <c r="E8" s="477">
        <f>industrie!E18</f>
        <v>328.42608868034517</v>
      </c>
      <c r="F8" s="477">
        <f>industrie!F18</f>
        <v>985.17280064197178</v>
      </c>
      <c r="G8" s="477">
        <f>industrie!G18</f>
        <v>0</v>
      </c>
      <c r="H8" s="477">
        <f>industrie!H18</f>
        <v>0</v>
      </c>
      <c r="I8" s="477">
        <f>industrie!I18</f>
        <v>0</v>
      </c>
      <c r="J8" s="477">
        <f>industrie!J18</f>
        <v>1.1586711457069627</v>
      </c>
      <c r="K8" s="477">
        <f>industrie!K18</f>
        <v>0</v>
      </c>
      <c r="L8" s="477">
        <f>industrie!L18</f>
        <v>0</v>
      </c>
      <c r="M8" s="477">
        <f>industrie!M18</f>
        <v>0</v>
      </c>
      <c r="N8" s="477">
        <f>industrie!N18</f>
        <v>441.30867905715286</v>
      </c>
      <c r="O8" s="477">
        <f>industrie!O18</f>
        <v>0</v>
      </c>
      <c r="P8" s="478">
        <f>industrie!P18</f>
        <v>0</v>
      </c>
      <c r="Q8" s="476">
        <f t="shared" si="0"/>
        <v>6379.7979400465047</v>
      </c>
    </row>
    <row r="9" spans="1:17" s="482" customFormat="1">
      <c r="A9" s="480" t="s">
        <v>561</v>
      </c>
      <c r="B9" s="481">
        <f>transport!B14</f>
        <v>56.304689487529551</v>
      </c>
      <c r="C9" s="481">
        <f>transport!C14</f>
        <v>0</v>
      </c>
      <c r="D9" s="481">
        <f>transport!D14</f>
        <v>199.03612673727483</v>
      </c>
      <c r="E9" s="481">
        <f>transport!E14</f>
        <v>298.97526940384091</v>
      </c>
      <c r="F9" s="481">
        <f>transport!F14</f>
        <v>0</v>
      </c>
      <c r="G9" s="481">
        <f>transport!G14</f>
        <v>137937.57418460865</v>
      </c>
      <c r="H9" s="481">
        <f>transport!H14</f>
        <v>22937.115928768751</v>
      </c>
      <c r="I9" s="481">
        <f>transport!I14</f>
        <v>0</v>
      </c>
      <c r="J9" s="481">
        <f>transport!J14</f>
        <v>0</v>
      </c>
      <c r="K9" s="481">
        <f>transport!K14</f>
        <v>0</v>
      </c>
      <c r="L9" s="481">
        <f>transport!L14</f>
        <v>0</v>
      </c>
      <c r="M9" s="481">
        <f>transport!M14</f>
        <v>8735.7844987608951</v>
      </c>
      <c r="N9" s="481">
        <f>transport!N14</f>
        <v>0</v>
      </c>
      <c r="O9" s="481">
        <f>transport!O14</f>
        <v>0</v>
      </c>
      <c r="P9" s="481">
        <f>transport!P14</f>
        <v>0</v>
      </c>
      <c r="Q9" s="480">
        <f>SUM(B9:P9)</f>
        <v>170164.79069776693</v>
      </c>
    </row>
    <row r="10" spans="1:17">
      <c r="A10" s="476" t="s">
        <v>551</v>
      </c>
      <c r="B10" s="477">
        <f>transport!B54</f>
        <v>0</v>
      </c>
      <c r="C10" s="477">
        <f>transport!C54</f>
        <v>0</v>
      </c>
      <c r="D10" s="477">
        <f>transport!D54</f>
        <v>0</v>
      </c>
      <c r="E10" s="477">
        <f>transport!E54</f>
        <v>0</v>
      </c>
      <c r="F10" s="477">
        <f>transport!F54</f>
        <v>0</v>
      </c>
      <c r="G10" s="477">
        <f>transport!G54</f>
        <v>601.14306205401658</v>
      </c>
      <c r="H10" s="477">
        <f>transport!H54</f>
        <v>0</v>
      </c>
      <c r="I10" s="477">
        <f>transport!I54</f>
        <v>0</v>
      </c>
      <c r="J10" s="477">
        <f>transport!J54</f>
        <v>0</v>
      </c>
      <c r="K10" s="477">
        <f>transport!K54</f>
        <v>0</v>
      </c>
      <c r="L10" s="477">
        <f>transport!L54</f>
        <v>0</v>
      </c>
      <c r="M10" s="477">
        <f>transport!M54</f>
        <v>34.142272132702651</v>
      </c>
      <c r="N10" s="477">
        <f>transport!N54</f>
        <v>0</v>
      </c>
      <c r="O10" s="477">
        <f>transport!O54</f>
        <v>0</v>
      </c>
      <c r="P10" s="478">
        <f>transport!P54</f>
        <v>0</v>
      </c>
      <c r="Q10" s="476">
        <f t="shared" si="0"/>
        <v>635.28533418671918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693.84351491224606</v>
      </c>
      <c r="C14" s="484"/>
      <c r="D14" s="484">
        <f>'SEAP template'!E25</f>
        <v>1107.09548775743</v>
      </c>
      <c r="E14" s="484"/>
      <c r="F14" s="484"/>
      <c r="G14" s="484"/>
      <c r="H14" s="484"/>
      <c r="I14" s="484"/>
      <c r="J14" s="484"/>
      <c r="K14" s="484"/>
      <c r="L14" s="484"/>
      <c r="M14" s="484"/>
      <c r="N14" s="484"/>
      <c r="O14" s="484"/>
      <c r="P14" s="485"/>
      <c r="Q14" s="476">
        <f t="shared" si="0"/>
        <v>1800.939002669676</v>
      </c>
    </row>
    <row r="15" spans="1:17" s="486" customFormat="1">
      <c r="A15" s="1039" t="s">
        <v>555</v>
      </c>
      <c r="B15" s="987">
        <f ca="1">SUM(B4:B14)</f>
        <v>41041.799649430715</v>
      </c>
      <c r="C15" s="987">
        <f t="shared" ref="C15:Q15" ca="1" si="1">SUM(C4:C14)</f>
        <v>5637.8571428571431</v>
      </c>
      <c r="D15" s="987">
        <f t="shared" ca="1" si="1"/>
        <v>54948.502831072416</v>
      </c>
      <c r="E15" s="987">
        <f t="shared" si="1"/>
        <v>3690.8496184821861</v>
      </c>
      <c r="F15" s="987">
        <f t="shared" ca="1" si="1"/>
        <v>25089.03225920464</v>
      </c>
      <c r="G15" s="987">
        <f t="shared" si="1"/>
        <v>138538.71724666265</v>
      </c>
      <c r="H15" s="987">
        <f t="shared" si="1"/>
        <v>22937.115928768751</v>
      </c>
      <c r="I15" s="987">
        <f t="shared" si="1"/>
        <v>0</v>
      </c>
      <c r="J15" s="987">
        <f t="shared" si="1"/>
        <v>6889.7775282199627</v>
      </c>
      <c r="K15" s="987">
        <f t="shared" si="1"/>
        <v>0</v>
      </c>
      <c r="L15" s="987">
        <f t="shared" ca="1" si="1"/>
        <v>0</v>
      </c>
      <c r="M15" s="987">
        <f t="shared" si="1"/>
        <v>8769.9267708935986</v>
      </c>
      <c r="N15" s="987">
        <f t="shared" ca="1" si="1"/>
        <v>11814.453514738847</v>
      </c>
      <c r="O15" s="987">
        <f t="shared" si="1"/>
        <v>329.86333333333334</v>
      </c>
      <c r="P15" s="987">
        <f t="shared" si="1"/>
        <v>819.86666666666667</v>
      </c>
      <c r="Q15" s="987">
        <f t="shared" ca="1" si="1"/>
        <v>320507.7624903309</v>
      </c>
    </row>
    <row r="17" spans="1:17">
      <c r="A17" s="487" t="s">
        <v>556</v>
      </c>
      <c r="B17" s="786">
        <f ca="1">huishoudens!B10</f>
        <v>0.22866781998415228</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5799.1917516975354</v>
      </c>
      <c r="C22" s="477">
        <f t="shared" ref="C22:C32" ca="1" si="3">C4*$C$17</f>
        <v>0</v>
      </c>
      <c r="D22" s="477">
        <f t="shared" ref="D22:D32" si="4">D4*$D$17</f>
        <v>8090.8354618687754</v>
      </c>
      <c r="E22" s="477">
        <f t="shared" ref="E22:E32" si="5">E4*$E$17</f>
        <v>639.51507125873263</v>
      </c>
      <c r="F22" s="477">
        <f t="shared" ref="F22:F32" si="6">F4*$F$17</f>
        <v>3900.538960529243</v>
      </c>
      <c r="G22" s="477">
        <f t="shared" ref="G22:G32" si="7">G4*$G$17</f>
        <v>0</v>
      </c>
      <c r="H22" s="477">
        <f t="shared" ref="H22:H32" si="8">H4*$H$17</f>
        <v>0</v>
      </c>
      <c r="I22" s="477">
        <f t="shared" ref="I22:I32" si="9">I4*$I$17</f>
        <v>0</v>
      </c>
      <c r="J22" s="477">
        <f t="shared" ref="J22:J32" si="10">J4*$J$17</f>
        <v>2342.900633619925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20772.981878974209</v>
      </c>
    </row>
    <row r="23" spans="1:17">
      <c r="A23" s="476" t="s">
        <v>156</v>
      </c>
      <c r="B23" s="477">
        <f t="shared" ca="1" si="2"/>
        <v>2237.3915353937969</v>
      </c>
      <c r="C23" s="477">
        <f t="shared" ca="1" si="3"/>
        <v>0</v>
      </c>
      <c r="D23" s="477">
        <f t="shared" ca="1" si="4"/>
        <v>2215.8467579516173</v>
      </c>
      <c r="E23" s="477">
        <f t="shared" si="5"/>
        <v>43.441996479925059</v>
      </c>
      <c r="F23" s="477">
        <f t="shared" ca="1" si="6"/>
        <v>460.40600460494289</v>
      </c>
      <c r="G23" s="477">
        <f t="shared" si="7"/>
        <v>0</v>
      </c>
      <c r="H23" s="477">
        <f t="shared" si="8"/>
        <v>0</v>
      </c>
      <c r="I23" s="477">
        <f t="shared" si="9"/>
        <v>0</v>
      </c>
      <c r="J23" s="477">
        <f t="shared" si="10"/>
        <v>4.8880321781004073E-3</v>
      </c>
      <c r="K23" s="477">
        <f t="shared" si="11"/>
        <v>0</v>
      </c>
      <c r="L23" s="477">
        <f t="shared" ca="1" si="12"/>
        <v>0</v>
      </c>
      <c r="M23" s="477">
        <f t="shared" si="13"/>
        <v>0</v>
      </c>
      <c r="N23" s="477">
        <f t="shared" ca="1" si="14"/>
        <v>0</v>
      </c>
      <c r="O23" s="477">
        <f t="shared" si="15"/>
        <v>0</v>
      </c>
      <c r="P23" s="478">
        <f t="shared" si="16"/>
        <v>0</v>
      </c>
      <c r="Q23" s="476">
        <f t="shared" ref="Q23:Q32" ca="1" si="17">SUM(B23:P23)</f>
        <v>4957.09118246246</v>
      </c>
    </row>
    <row r="24" spans="1:17">
      <c r="A24" s="476" t="s">
        <v>194</v>
      </c>
      <c r="B24" s="477">
        <f t="shared" ca="1" si="2"/>
        <v>224.64440969153111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224.64440969153111</v>
      </c>
    </row>
    <row r="25" spans="1:17">
      <c r="A25" s="476" t="s">
        <v>112</v>
      </c>
      <c r="B25" s="477">
        <f t="shared" ca="1" si="2"/>
        <v>426.53371377256963</v>
      </c>
      <c r="C25" s="477">
        <f t="shared" ca="1" si="3"/>
        <v>1339.8201680672271</v>
      </c>
      <c r="D25" s="477">
        <f t="shared" si="4"/>
        <v>59.423870441724908</v>
      </c>
      <c r="E25" s="477">
        <f t="shared" si="5"/>
        <v>12.445687371688443</v>
      </c>
      <c r="F25" s="477">
        <f t="shared" si="6"/>
        <v>2074.7855103020465</v>
      </c>
      <c r="G25" s="477">
        <f t="shared" si="7"/>
        <v>0</v>
      </c>
      <c r="H25" s="477">
        <f t="shared" si="8"/>
        <v>0</v>
      </c>
      <c r="I25" s="477">
        <f t="shared" si="9"/>
        <v>0</v>
      </c>
      <c r="J25" s="477">
        <f t="shared" si="10"/>
        <v>95.665553752183314</v>
      </c>
      <c r="K25" s="477">
        <f t="shared" si="11"/>
        <v>0</v>
      </c>
      <c r="L25" s="477">
        <f t="shared" si="12"/>
        <v>0</v>
      </c>
      <c r="M25" s="477">
        <f t="shared" si="13"/>
        <v>0</v>
      </c>
      <c r="N25" s="477">
        <f t="shared" si="14"/>
        <v>0</v>
      </c>
      <c r="O25" s="477">
        <f t="shared" si="15"/>
        <v>0</v>
      </c>
      <c r="P25" s="478">
        <f t="shared" si="16"/>
        <v>0</v>
      </c>
      <c r="Q25" s="476">
        <f t="shared" ca="1" si="17"/>
        <v>4008.6745037074397</v>
      </c>
    </row>
    <row r="26" spans="1:17">
      <c r="A26" s="476" t="s">
        <v>635</v>
      </c>
      <c r="B26" s="477">
        <f t="shared" ca="1" si="2"/>
        <v>525.6426889411108</v>
      </c>
      <c r="C26" s="477">
        <f t="shared" ca="1" si="3"/>
        <v>0</v>
      </c>
      <c r="D26" s="477">
        <f t="shared" si="4"/>
        <v>469.65289548658006</v>
      </c>
      <c r="E26" s="477">
        <f t="shared" si="5"/>
        <v>74.552722130438354</v>
      </c>
      <c r="F26" s="477">
        <f t="shared" si="6"/>
        <v>263.04113777140645</v>
      </c>
      <c r="G26" s="477">
        <f t="shared" si="7"/>
        <v>0</v>
      </c>
      <c r="H26" s="477">
        <f t="shared" si="8"/>
        <v>0</v>
      </c>
      <c r="I26" s="477">
        <f t="shared" si="9"/>
        <v>0</v>
      </c>
      <c r="J26" s="477">
        <f t="shared" si="10"/>
        <v>0.41016958558026478</v>
      </c>
      <c r="K26" s="477">
        <f t="shared" si="11"/>
        <v>0</v>
      </c>
      <c r="L26" s="477">
        <f t="shared" si="12"/>
        <v>0</v>
      </c>
      <c r="M26" s="477">
        <f t="shared" si="13"/>
        <v>0</v>
      </c>
      <c r="N26" s="477">
        <f t="shared" si="14"/>
        <v>0</v>
      </c>
      <c r="O26" s="477">
        <f t="shared" si="15"/>
        <v>0</v>
      </c>
      <c r="P26" s="478">
        <f t="shared" si="16"/>
        <v>0</v>
      </c>
      <c r="Q26" s="476">
        <f t="shared" ca="1" si="17"/>
        <v>1333.299613915116</v>
      </c>
    </row>
    <row r="27" spans="1:17" s="482" customFormat="1">
      <c r="A27" s="480" t="s">
        <v>561</v>
      </c>
      <c r="B27" s="780">
        <f t="shared" ca="1" si="2"/>
        <v>12.875070599997999</v>
      </c>
      <c r="C27" s="481">
        <f t="shared" ca="1" si="3"/>
        <v>0</v>
      </c>
      <c r="D27" s="481">
        <f t="shared" si="4"/>
        <v>40.205297600929519</v>
      </c>
      <c r="E27" s="481">
        <f t="shared" si="5"/>
        <v>67.867386154671891</v>
      </c>
      <c r="F27" s="481">
        <f t="shared" si="6"/>
        <v>0</v>
      </c>
      <c r="G27" s="481">
        <f t="shared" si="7"/>
        <v>36829.332307290511</v>
      </c>
      <c r="H27" s="481">
        <f t="shared" si="8"/>
        <v>5711.3418662634194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42661.621927909531</v>
      </c>
    </row>
    <row r="28" spans="1:17">
      <c r="A28" s="476" t="s">
        <v>551</v>
      </c>
      <c r="B28" s="477">
        <f t="shared" ca="1" si="2"/>
        <v>0</v>
      </c>
      <c r="C28" s="477">
        <f t="shared" ca="1" si="3"/>
        <v>0</v>
      </c>
      <c r="D28" s="477">
        <f t="shared" si="4"/>
        <v>0</v>
      </c>
      <c r="E28" s="477">
        <f t="shared" si="5"/>
        <v>0</v>
      </c>
      <c r="F28" s="477">
        <f t="shared" si="6"/>
        <v>0</v>
      </c>
      <c r="G28" s="477">
        <f t="shared" si="7"/>
        <v>160.50519756842243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160.50519756842243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158.65968396512497</v>
      </c>
      <c r="C32" s="477">
        <f t="shared" ca="1" si="3"/>
        <v>0</v>
      </c>
      <c r="D32" s="477">
        <f t="shared" si="4"/>
        <v>223.63328852700087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382.29297249212584</v>
      </c>
    </row>
    <row r="33" spans="1:17" s="486" customFormat="1">
      <c r="A33" s="1039" t="s">
        <v>555</v>
      </c>
      <c r="B33" s="987">
        <f ca="1">SUM(B22:B32)</f>
        <v>9384.9388540616656</v>
      </c>
      <c r="C33" s="987">
        <f t="shared" ref="C33:Q33" ca="1" si="18">SUM(C22:C32)</f>
        <v>1339.8201680672271</v>
      </c>
      <c r="D33" s="987">
        <f t="shared" ca="1" si="18"/>
        <v>11099.597571876628</v>
      </c>
      <c r="E33" s="987">
        <f t="shared" si="18"/>
        <v>837.82286339545635</v>
      </c>
      <c r="F33" s="987">
        <f t="shared" ca="1" si="18"/>
        <v>6698.7716132076384</v>
      </c>
      <c r="G33" s="987">
        <f t="shared" si="18"/>
        <v>36989.837504858937</v>
      </c>
      <c r="H33" s="987">
        <f t="shared" si="18"/>
        <v>5711.3418662634194</v>
      </c>
      <c r="I33" s="987">
        <f t="shared" si="18"/>
        <v>0</v>
      </c>
      <c r="J33" s="987">
        <f t="shared" si="18"/>
        <v>2438.9812449898668</v>
      </c>
      <c r="K33" s="987">
        <f t="shared" si="18"/>
        <v>0</v>
      </c>
      <c r="L33" s="987">
        <f t="shared" ca="1" si="18"/>
        <v>0</v>
      </c>
      <c r="M33" s="987">
        <f t="shared" si="18"/>
        <v>0</v>
      </c>
      <c r="N33" s="987">
        <f t="shared" ca="1" si="18"/>
        <v>0</v>
      </c>
      <c r="O33" s="987">
        <f t="shared" si="18"/>
        <v>0</v>
      </c>
      <c r="P33" s="987">
        <f t="shared" si="18"/>
        <v>0</v>
      </c>
      <c r="Q33" s="987">
        <f t="shared" ca="1" si="18"/>
        <v>74501.111686720833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60">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2819.787267464159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3946.5</v>
      </c>
      <c r="D8" s="1056">
        <f>'SEAP template'!D76</f>
        <v>4642.9411764705883</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937.87411764705894</v>
      </c>
    </row>
    <row r="9" spans="1:16">
      <c r="A9" s="1059" t="s">
        <v>855</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2819.787267464159</v>
      </c>
      <c r="C10" s="1060">
        <f>SUM(C4:C9)</f>
        <v>3946.5</v>
      </c>
      <c r="D10" s="1060">
        <f t="shared" ref="D10:H10" si="0">SUM(D8:D9)</f>
        <v>4642.9411764705883</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937.87411764705894</v>
      </c>
    </row>
    <row r="11" spans="1:16">
      <c r="A11" s="896"/>
      <c r="B11" s="896"/>
      <c r="C11" s="896"/>
      <c r="D11" s="896"/>
      <c r="E11" s="896"/>
      <c r="F11" s="896"/>
      <c r="G11" s="896"/>
      <c r="H11" s="896"/>
      <c r="I11" s="896"/>
      <c r="J11" s="896"/>
      <c r="K11" s="896"/>
      <c r="L11" s="896"/>
      <c r="M11" s="896"/>
      <c r="N11" s="896"/>
      <c r="O11" s="896"/>
      <c r="P11" s="896"/>
    </row>
    <row r="12" spans="1:16">
      <c r="A12" s="487" t="s">
        <v>856</v>
      </c>
      <c r="B12" s="786" t="s">
        <v>857</v>
      </c>
      <c r="C12" s="786">
        <f ca="1">'EF ele_warmte'!B12</f>
        <v>0.22866781998415228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5637.8571428571431</v>
      </c>
      <c r="D17" s="1057">
        <f>'SEAP template'!D87</f>
        <v>6632.7731092436979</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1339.8201680672271</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862</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5637.8571428571431</v>
      </c>
      <c r="D20" s="1060">
        <f t="shared" ref="D20:H20" si="2">SUM(D17:D19)</f>
        <v>6632.7731092436979</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1339.8201680672271</v>
      </c>
    </row>
    <row r="22" spans="1:16">
      <c r="A22" s="487" t="s">
        <v>863</v>
      </c>
      <c r="B22" s="786" t="s">
        <v>857</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15.75">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864</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865</v>
      </c>
    </row>
    <row r="5" spans="1:16" ht="135">
      <c r="A5" s="1069" t="s">
        <v>250</v>
      </c>
      <c r="B5" s="1066" t="s">
        <v>864</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865</v>
      </c>
    </row>
    <row r="6" spans="1:16" ht="135">
      <c r="A6" s="1069" t="s">
        <v>251</v>
      </c>
      <c r="B6" s="1066" t="s">
        <v>864</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865</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865</v>
      </c>
    </row>
    <row r="8" spans="1:16" ht="210">
      <c r="A8" s="1065" t="s">
        <v>252</v>
      </c>
      <c r="B8" s="1066" t="s">
        <v>866</v>
      </c>
      <c r="C8" s="1066" t="s">
        <v>866</v>
      </c>
      <c r="D8" s="1066" t="s">
        <v>866</v>
      </c>
      <c r="E8" s="1066" t="s">
        <v>866</v>
      </c>
      <c r="F8" s="1066" t="s">
        <v>866</v>
      </c>
      <c r="G8" s="1066" t="s">
        <v>866</v>
      </c>
      <c r="H8" s="1066" t="s">
        <v>866</v>
      </c>
      <c r="I8" s="1066" t="s">
        <v>866</v>
      </c>
      <c r="J8" s="1066" t="s">
        <v>866</v>
      </c>
      <c r="K8" s="1067" t="s">
        <v>820</v>
      </c>
      <c r="L8" s="1067" t="s">
        <v>820</v>
      </c>
      <c r="M8" s="1067" t="s">
        <v>820</v>
      </c>
      <c r="N8" s="1066" t="s">
        <v>867</v>
      </c>
      <c r="O8" s="1066" t="s">
        <v>867</v>
      </c>
      <c r="P8" s="1070"/>
    </row>
    <row r="9" spans="1:16" ht="210">
      <c r="A9" s="1071" t="s">
        <v>855</v>
      </c>
      <c r="B9" s="1066" t="s">
        <v>867</v>
      </c>
      <c r="C9" s="1066" t="s">
        <v>867</v>
      </c>
      <c r="D9" s="1066" t="s">
        <v>867</v>
      </c>
      <c r="E9" s="1066" t="s">
        <v>867</v>
      </c>
      <c r="F9" s="1066" t="s">
        <v>867</v>
      </c>
      <c r="G9" s="1066" t="s">
        <v>867</v>
      </c>
      <c r="H9" s="1066" t="s">
        <v>867</v>
      </c>
      <c r="I9" s="1066" t="s">
        <v>867</v>
      </c>
      <c r="J9" s="1066" t="s">
        <v>867</v>
      </c>
      <c r="K9" s="1067" t="s">
        <v>820</v>
      </c>
      <c r="L9" s="1066" t="s">
        <v>867</v>
      </c>
      <c r="M9" s="1066" t="s">
        <v>867</v>
      </c>
      <c r="N9" s="1066" t="s">
        <v>867</v>
      </c>
      <c r="O9" s="1066" t="s">
        <v>867</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856</v>
      </c>
      <c r="B12" s="786" t="s">
        <v>857</v>
      </c>
      <c r="C12" s="1073" t="s">
        <v>868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867</v>
      </c>
      <c r="C17" s="1066" t="s">
        <v>867</v>
      </c>
      <c r="D17" s="1066" t="s">
        <v>867</v>
      </c>
      <c r="E17" s="1066" t="s">
        <v>867</v>
      </c>
      <c r="F17" s="1066" t="s">
        <v>867</v>
      </c>
      <c r="G17" s="1066" t="s">
        <v>867</v>
      </c>
      <c r="H17" s="1066" t="s">
        <v>867</v>
      </c>
      <c r="I17" s="1066" t="s">
        <v>867</v>
      </c>
      <c r="J17" s="1066" t="s">
        <v>867</v>
      </c>
      <c r="K17" s="1067" t="s">
        <v>820</v>
      </c>
      <c r="L17" s="1067" t="s">
        <v>820</v>
      </c>
      <c r="M17" s="1067" t="s">
        <v>820</v>
      </c>
      <c r="N17" s="1066" t="s">
        <v>867</v>
      </c>
      <c r="O17" s="1066" t="s">
        <v>867</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862</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863</v>
      </c>
      <c r="B22" s="786" t="s">
        <v>857</v>
      </c>
      <c r="C22" s="1073" t="s">
        <v>869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0.22866781998415228</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0.22866781998415228</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0.22866781998415228</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42010</v>
      </c>
      <c r="B1" s="332"/>
      <c r="C1" s="332"/>
      <c r="D1" s="332"/>
      <c r="E1" s="332"/>
      <c r="F1" s="333"/>
    </row>
    <row r="3" spans="1:6" ht="19.5">
      <c r="A3" s="335" t="s">
        <v>0</v>
      </c>
    </row>
    <row r="4" spans="1:6" ht="22.5">
      <c r="A4" s="1293" t="s">
        <v>870</v>
      </c>
    </row>
    <row r="5" spans="1:6" ht="22.5">
      <c r="A5" s="1293" t="s">
        <v>871</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5262</v>
      </c>
      <c r="C9" s="342">
        <v>5275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1884.36</v>
      </c>
    </row>
    <row r="15" spans="1:6">
      <c r="A15" s="348" t="s">
        <v>184</v>
      </c>
      <c r="B15" s="334">
        <v>15</v>
      </c>
    </row>
    <row r="16" spans="1:6">
      <c r="A16" s="348" t="s">
        <v>6</v>
      </c>
      <c r="B16" s="334">
        <v>497</v>
      </c>
    </row>
    <row r="17" spans="1:6">
      <c r="A17" s="348" t="s">
        <v>7</v>
      </c>
      <c r="B17" s="334">
        <v>219</v>
      </c>
    </row>
    <row r="18" spans="1:6">
      <c r="A18" s="348" t="s">
        <v>8</v>
      </c>
      <c r="B18" s="334">
        <v>368</v>
      </c>
    </row>
    <row r="19" spans="1:6">
      <c r="A19" s="348" t="s">
        <v>9</v>
      </c>
      <c r="B19" s="334">
        <v>503</v>
      </c>
    </row>
    <row r="20" spans="1:6">
      <c r="A20" s="348" t="s">
        <v>10</v>
      </c>
      <c r="B20" s="334">
        <v>394</v>
      </c>
    </row>
    <row r="21" spans="1:6">
      <c r="A21" s="348" t="s">
        <v>11</v>
      </c>
      <c r="B21" s="334">
        <v>176</v>
      </c>
    </row>
    <row r="22" spans="1:6">
      <c r="A22" s="348" t="s">
        <v>12</v>
      </c>
      <c r="B22" s="334">
        <v>905</v>
      </c>
    </row>
    <row r="23" spans="1:6">
      <c r="A23" s="348" t="s">
        <v>13</v>
      </c>
      <c r="B23" s="334">
        <v>3</v>
      </c>
    </row>
    <row r="24" spans="1:6">
      <c r="A24" s="348" t="s">
        <v>14</v>
      </c>
      <c r="B24" s="334">
        <v>1</v>
      </c>
    </row>
    <row r="25" spans="1:6">
      <c r="A25" s="348" t="s">
        <v>15</v>
      </c>
      <c r="B25" s="334">
        <v>41</v>
      </c>
    </row>
    <row r="26" spans="1:6">
      <c r="A26" s="348" t="s">
        <v>16</v>
      </c>
      <c r="B26" s="334">
        <v>22</v>
      </c>
    </row>
    <row r="27" spans="1:6">
      <c r="A27" s="348" t="s">
        <v>17</v>
      </c>
      <c r="B27" s="334">
        <v>0</v>
      </c>
    </row>
    <row r="28" spans="1:6" s="356" customFormat="1">
      <c r="A28" s="355" t="s">
        <v>18</v>
      </c>
      <c r="B28" s="355">
        <v>20046</v>
      </c>
    </row>
    <row r="29" spans="1:6">
      <c r="A29" s="355" t="s">
        <v>744</v>
      </c>
      <c r="B29" s="355">
        <v>327</v>
      </c>
      <c r="C29" s="356"/>
      <c r="D29" s="356"/>
      <c r="E29" s="356"/>
      <c r="F29" s="356"/>
    </row>
    <row r="30" spans="1:6">
      <c r="A30" s="341" t="s">
        <v>745</v>
      </c>
      <c r="B30" s="341">
        <v>113</v>
      </c>
      <c r="C30" s="342"/>
      <c r="D30" s="342"/>
      <c r="E30" s="342"/>
      <c r="F30" s="342"/>
    </row>
    <row r="31" spans="1:6" ht="15.75" thickBot="1">
      <c r="A31" s="343"/>
    </row>
    <row r="32" spans="1:6" ht="20.25" thickBot="1">
      <c r="A32" s="336" t="s">
        <v>19</v>
      </c>
      <c r="B32" s="337" t="s">
        <v>394</v>
      </c>
      <c r="C32" s="337" t="s">
        <v>872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8594</v>
      </c>
    </row>
    <row r="39" spans="1:6">
      <c r="A39" s="348" t="s">
        <v>30</v>
      </c>
      <c r="B39" s="348" t="s">
        <v>31</v>
      </c>
      <c r="C39" s="334">
        <v>2787</v>
      </c>
      <c r="D39" s="334">
        <v>44405366.851818703</v>
      </c>
      <c r="E39" s="334">
        <v>4972</v>
      </c>
      <c r="F39" s="334">
        <v>22824016.107220002</v>
      </c>
    </row>
    <row r="40" spans="1:6">
      <c r="A40" s="348" t="s">
        <v>30</v>
      </c>
      <c r="B40" s="348" t="s">
        <v>29</v>
      </c>
      <c r="C40" s="334">
        <v>0</v>
      </c>
      <c r="D40" s="334">
        <v>0</v>
      </c>
      <c r="E40" s="334">
        <v>0</v>
      </c>
      <c r="F40" s="334">
        <v>0</v>
      </c>
    </row>
    <row r="41" spans="1:6">
      <c r="A41" s="348" t="s">
        <v>32</v>
      </c>
      <c r="B41" s="348" t="s">
        <v>33</v>
      </c>
      <c r="C41" s="334">
        <v>35</v>
      </c>
      <c r="D41" s="334">
        <v>807952.94951258495</v>
      </c>
      <c r="E41" s="334">
        <v>108</v>
      </c>
      <c r="F41" s="334">
        <v>1037380.5390402999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705470.56943353906</v>
      </c>
      <c r="E44" s="334">
        <v>16</v>
      </c>
      <c r="F44" s="334">
        <v>743591.48061708396</v>
      </c>
    </row>
    <row r="45" spans="1:6">
      <c r="A45" s="348" t="s">
        <v>32</v>
      </c>
      <c r="B45" s="348" t="s">
        <v>37</v>
      </c>
      <c r="C45" s="334">
        <v>0</v>
      </c>
      <c r="D45" s="334">
        <v>0</v>
      </c>
      <c r="E45" s="334">
        <v>3</v>
      </c>
      <c r="F45" s="334">
        <v>24661.0238435514</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1064197.69401616</v>
      </c>
      <c r="E48" s="334">
        <v>26</v>
      </c>
      <c r="F48" s="334">
        <v>312332.846717451</v>
      </c>
    </row>
    <row r="49" spans="1:6">
      <c r="A49" s="348" t="s">
        <v>32</v>
      </c>
      <c r="B49" s="348" t="s">
        <v>40</v>
      </c>
      <c r="C49" s="334">
        <v>0</v>
      </c>
      <c r="D49" s="334">
        <v>0</v>
      </c>
      <c r="E49" s="334">
        <v>0</v>
      </c>
      <c r="F49" s="334">
        <v>0</v>
      </c>
    </row>
    <row r="50" spans="1:6">
      <c r="A50" s="348" t="s">
        <v>32</v>
      </c>
      <c r="B50" s="348" t="s">
        <v>41</v>
      </c>
      <c r="C50" s="334">
        <v>0</v>
      </c>
      <c r="D50" s="334">
        <v>0</v>
      </c>
      <c r="E50" s="334">
        <v>4</v>
      </c>
      <c r="F50" s="334">
        <v>180751.47621096199</v>
      </c>
    </row>
    <row r="51" spans="1:6">
      <c r="A51" s="348" t="s">
        <v>42</v>
      </c>
      <c r="B51" s="348" t="s">
        <v>43</v>
      </c>
      <c r="C51" s="334">
        <v>12</v>
      </c>
      <c r="D51" s="334">
        <v>12599969.291845599</v>
      </c>
      <c r="E51" s="334">
        <v>96</v>
      </c>
      <c r="F51" s="334">
        <v>1809240.69630302</v>
      </c>
    </row>
    <row r="52" spans="1:6">
      <c r="A52" s="348" t="s">
        <v>42</v>
      </c>
      <c r="B52" s="348" t="s">
        <v>29</v>
      </c>
      <c r="C52" s="334">
        <v>6</v>
      </c>
      <c r="D52" s="334">
        <v>226961.81919483101</v>
      </c>
      <c r="E52" s="334">
        <v>7</v>
      </c>
      <c r="F52" s="334">
        <v>56057.681938966001</v>
      </c>
    </row>
    <row r="53" spans="1:6">
      <c r="A53" s="348" t="s">
        <v>44</v>
      </c>
      <c r="B53" s="348" t="s">
        <v>45</v>
      </c>
      <c r="C53" s="334">
        <v>68</v>
      </c>
      <c r="D53" s="334">
        <v>1107095.4877574299</v>
      </c>
      <c r="E53" s="334">
        <v>185</v>
      </c>
      <c r="F53" s="334">
        <v>693843.51491224603</v>
      </c>
    </row>
    <row r="54" spans="1:6">
      <c r="A54" s="348" t="s">
        <v>46</v>
      </c>
      <c r="B54" s="348" t="s">
        <v>47</v>
      </c>
      <c r="C54" s="334">
        <v>0</v>
      </c>
      <c r="D54" s="334">
        <v>0</v>
      </c>
      <c r="E54" s="334">
        <v>1</v>
      </c>
      <c r="F54" s="334">
        <v>982405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580796.56991690001</v>
      </c>
      <c r="E57" s="334">
        <v>44</v>
      </c>
      <c r="F57" s="334">
        <v>462159.11099685798</v>
      </c>
    </row>
    <row r="58" spans="1:6">
      <c r="A58" s="348" t="s">
        <v>49</v>
      </c>
      <c r="B58" s="348" t="s">
        <v>51</v>
      </c>
      <c r="C58" s="334">
        <v>6</v>
      </c>
      <c r="D58" s="334">
        <v>185861.144782535</v>
      </c>
      <c r="E58" s="334">
        <v>19</v>
      </c>
      <c r="F58" s="334">
        <v>139772.93213842399</v>
      </c>
    </row>
    <row r="59" spans="1:6">
      <c r="A59" s="348" t="s">
        <v>49</v>
      </c>
      <c r="B59" s="348" t="s">
        <v>52</v>
      </c>
      <c r="C59" s="334">
        <v>55</v>
      </c>
      <c r="D59" s="334">
        <v>1851790.0173884099</v>
      </c>
      <c r="E59" s="334">
        <v>141</v>
      </c>
      <c r="F59" s="334">
        <v>4143287.19641526</v>
      </c>
    </row>
    <row r="60" spans="1:6">
      <c r="A60" s="348" t="s">
        <v>49</v>
      </c>
      <c r="B60" s="348" t="s">
        <v>53</v>
      </c>
      <c r="C60" s="334">
        <v>35</v>
      </c>
      <c r="D60" s="334">
        <v>1166585.8364957001</v>
      </c>
      <c r="E60" s="334">
        <v>55</v>
      </c>
      <c r="F60" s="334">
        <v>907206.18454961199</v>
      </c>
    </row>
    <row r="61" spans="1:6">
      <c r="A61" s="348" t="s">
        <v>49</v>
      </c>
      <c r="B61" s="348" t="s">
        <v>54</v>
      </c>
      <c r="C61" s="334">
        <v>58</v>
      </c>
      <c r="D61" s="334">
        <v>2571714.9164708098</v>
      </c>
      <c r="E61" s="334">
        <v>149</v>
      </c>
      <c r="F61" s="334">
        <v>2031150.47292366</v>
      </c>
    </row>
    <row r="62" spans="1:6">
      <c r="A62" s="348" t="s">
        <v>49</v>
      </c>
      <c r="B62" s="348" t="s">
        <v>55</v>
      </c>
      <c r="C62" s="334">
        <v>23</v>
      </c>
      <c r="D62" s="334">
        <v>1694353.11613101</v>
      </c>
      <c r="E62" s="334">
        <v>53</v>
      </c>
      <c r="F62" s="334">
        <v>541398.55601525796</v>
      </c>
    </row>
    <row r="63" spans="1:6">
      <c r="A63" s="348" t="s">
        <v>49</v>
      </c>
      <c r="B63" s="348" t="s">
        <v>29</v>
      </c>
      <c r="C63" s="334">
        <v>75</v>
      </c>
      <c r="D63" s="334">
        <v>4110249.1811883301</v>
      </c>
      <c r="E63" s="334">
        <v>88</v>
      </c>
      <c r="F63" s="334">
        <v>1559487.28516641</v>
      </c>
    </row>
    <row r="64" spans="1:6">
      <c r="A64" s="348" t="s">
        <v>56</v>
      </c>
      <c r="B64" s="348" t="s">
        <v>57</v>
      </c>
      <c r="C64" s="334">
        <v>0</v>
      </c>
      <c r="D64" s="334">
        <v>0</v>
      </c>
      <c r="E64" s="334">
        <v>0</v>
      </c>
      <c r="F64" s="334">
        <v>0</v>
      </c>
    </row>
    <row r="65" spans="1:6">
      <c r="A65" s="348" t="s">
        <v>56</v>
      </c>
      <c r="B65" s="348" t="s">
        <v>29</v>
      </c>
      <c r="C65" s="334">
        <v>5</v>
      </c>
      <c r="D65" s="334">
        <v>147090.55285480301</v>
      </c>
      <c r="E65" s="334">
        <v>4</v>
      </c>
      <c r="F65" s="334">
        <v>122036.186760554</v>
      </c>
    </row>
    <row r="66" spans="1:6">
      <c r="A66" s="348" t="s">
        <v>56</v>
      </c>
      <c r="B66" s="348" t="s">
        <v>58</v>
      </c>
      <c r="C66" s="334">
        <v>0</v>
      </c>
      <c r="D66" s="334">
        <v>0</v>
      </c>
      <c r="E66" s="334">
        <v>4</v>
      </c>
      <c r="F66" s="334">
        <v>46165.255597346397</v>
      </c>
    </row>
    <row r="67" spans="1:6">
      <c r="A67" s="355" t="s">
        <v>56</v>
      </c>
      <c r="B67" s="355" t="s">
        <v>59</v>
      </c>
      <c r="C67" s="334">
        <v>0</v>
      </c>
      <c r="D67" s="334">
        <v>0</v>
      </c>
      <c r="E67" s="334">
        <v>0</v>
      </c>
      <c r="F67" s="334">
        <v>0</v>
      </c>
    </row>
    <row r="68" spans="1:6">
      <c r="A68" s="341" t="s">
        <v>56</v>
      </c>
      <c r="B68" s="341" t="s">
        <v>60</v>
      </c>
      <c r="C68" s="334">
        <v>0</v>
      </c>
      <c r="D68" s="334">
        <v>0</v>
      </c>
      <c r="E68" s="334">
        <v>7</v>
      </c>
      <c r="F68" s="334">
        <v>109406.795459211</v>
      </c>
    </row>
    <row r="69" spans="1:6" ht="15.75" thickBot="1">
      <c r="A69" s="343"/>
    </row>
    <row r="70" spans="1:6" ht="19.5">
      <c r="A70" s="336" t="s">
        <v>61</v>
      </c>
      <c r="B70" s="337"/>
      <c r="C70" s="337" t="s">
        <v>404</v>
      </c>
      <c r="D70" s="337" t="s">
        <v>873</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35196961</v>
      </c>
      <c r="E73" s="475">
        <v>36604031.99566038</v>
      </c>
    </row>
    <row r="74" spans="1:6">
      <c r="A74" s="348" t="s">
        <v>64</v>
      </c>
      <c r="B74" s="348" t="s">
        <v>657</v>
      </c>
      <c r="C74" s="1295" t="s">
        <v>659</v>
      </c>
      <c r="D74" s="475">
        <v>4471895</v>
      </c>
      <c r="E74" s="475">
        <v>4331827.0872542383</v>
      </c>
    </row>
    <row r="75" spans="1:6">
      <c r="A75" s="348" t="s">
        <v>65</v>
      </c>
      <c r="B75" s="348" t="s">
        <v>656</v>
      </c>
      <c r="C75" s="1295" t="s">
        <v>660</v>
      </c>
      <c r="D75" s="475">
        <v>28123780</v>
      </c>
      <c r="E75" s="475">
        <v>29937935.196385961</v>
      </c>
    </row>
    <row r="76" spans="1:6">
      <c r="A76" s="348" t="s">
        <v>65</v>
      </c>
      <c r="B76" s="348" t="s">
        <v>657</v>
      </c>
      <c r="C76" s="1295" t="s">
        <v>661</v>
      </c>
      <c r="D76" s="475">
        <v>2092305</v>
      </c>
      <c r="E76" s="475">
        <v>2025805.2850409956</v>
      </c>
    </row>
    <row r="77" spans="1:6">
      <c r="A77" s="348" t="s">
        <v>66</v>
      </c>
      <c r="B77" s="348" t="s">
        <v>656</v>
      </c>
      <c r="C77" s="1295" t="s">
        <v>662</v>
      </c>
      <c r="D77" s="475">
        <v>79801311</v>
      </c>
      <c r="E77" s="475">
        <v>82411902.65494363</v>
      </c>
    </row>
    <row r="78" spans="1:6">
      <c r="A78" s="341" t="s">
        <v>66</v>
      </c>
      <c r="B78" s="341" t="s">
        <v>657</v>
      </c>
      <c r="C78" s="341" t="s">
        <v>663</v>
      </c>
      <c r="D78" s="1296">
        <v>19322216</v>
      </c>
      <c r="E78" s="1296">
        <v>19688991.637963887</v>
      </c>
      <c r="F78" s="342"/>
    </row>
    <row r="79" spans="1:6">
      <c r="A79" s="362"/>
      <c r="B79" s="362"/>
    </row>
    <row r="80" spans="1:6" ht="15.75" thickBot="1">
      <c r="A80" s="362"/>
      <c r="B80" s="362"/>
    </row>
    <row r="81" spans="1:6" ht="20.25" thickBot="1">
      <c r="A81" s="336" t="s">
        <v>334</v>
      </c>
      <c r="B81" s="363" t="s">
        <v>394</v>
      </c>
      <c r="C81" s="337" t="s">
        <v>874</v>
      </c>
      <c r="D81" s="337"/>
      <c r="E81" s="337"/>
      <c r="F81" s="344"/>
    </row>
    <row r="82" spans="1:6" ht="16.5" thickTop="1" thickBot="1">
      <c r="A82" s="345" t="s">
        <v>335</v>
      </c>
      <c r="B82" s="361">
        <v>2016</v>
      </c>
      <c r="C82" s="361">
        <v>2020</v>
      </c>
      <c r="D82" s="346"/>
      <c r="E82" s="346"/>
      <c r="F82" s="347"/>
    </row>
    <row r="83" spans="1:6">
      <c r="A83" s="348" t="s">
        <v>336</v>
      </c>
      <c r="B83" s="475">
        <v>172300</v>
      </c>
      <c r="C83" s="475">
        <v>171638.2432123179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875</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2536.7528549341196</v>
      </c>
    </row>
    <row r="92" spans="1:6">
      <c r="A92" s="341" t="s">
        <v>69</v>
      </c>
      <c r="B92" s="342">
        <v>283.03441253003933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1184</v>
      </c>
    </row>
    <row r="98" spans="1:6">
      <c r="A98" s="348" t="s">
        <v>72</v>
      </c>
      <c r="B98" s="334">
        <v>0</v>
      </c>
    </row>
    <row r="99" spans="1:6">
      <c r="A99" s="348" t="s">
        <v>73</v>
      </c>
      <c r="B99" s="334">
        <v>71</v>
      </c>
    </row>
    <row r="100" spans="1:6">
      <c r="A100" s="348" t="s">
        <v>74</v>
      </c>
      <c r="B100" s="334">
        <v>746</v>
      </c>
    </row>
    <row r="101" spans="1:6">
      <c r="A101" s="348" t="s">
        <v>75</v>
      </c>
      <c r="B101" s="334">
        <v>80</v>
      </c>
    </row>
    <row r="102" spans="1:6">
      <c r="A102" s="348" t="s">
        <v>76</v>
      </c>
      <c r="B102" s="334">
        <v>62</v>
      </c>
    </row>
    <row r="103" spans="1:6">
      <c r="A103" s="348" t="s">
        <v>77</v>
      </c>
      <c r="B103" s="334">
        <v>348</v>
      </c>
    </row>
    <row r="104" spans="1:6">
      <c r="A104" s="348" t="s">
        <v>78</v>
      </c>
      <c r="B104" s="334">
        <v>2007</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876</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877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35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876</v>
      </c>
      <c r="D127" s="337"/>
      <c r="E127" s="337"/>
      <c r="F127" s="344"/>
    </row>
    <row r="128" spans="1:6" ht="16.5" thickTop="1" thickBot="1">
      <c r="A128" s="345" t="s">
        <v>4</v>
      </c>
      <c r="B128" s="346" t="s">
        <v>5</v>
      </c>
      <c r="C128" s="346"/>
      <c r="D128" s="346"/>
      <c r="E128" s="346"/>
      <c r="F128" s="347"/>
    </row>
    <row r="129" spans="1:6">
      <c r="A129" s="348" t="s">
        <v>294</v>
      </c>
      <c r="B129" s="334">
        <v>174</v>
      </c>
    </row>
    <row r="130" spans="1:6">
      <c r="A130" s="348" t="s">
        <v>295</v>
      </c>
      <c r="B130" s="334">
        <v>1</v>
      </c>
    </row>
    <row r="131" spans="1:6">
      <c r="A131" s="348" t="s">
        <v>296</v>
      </c>
      <c r="B131" s="334">
        <v>1</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41041.799649430715</v>
      </c>
      <c r="C3" s="43" t="s">
        <v>170</v>
      </c>
      <c r="D3" s="43"/>
      <c r="E3" s="154"/>
      <c r="F3" s="43"/>
      <c r="G3" s="43"/>
      <c r="H3" s="43"/>
      <c r="I3" s="43"/>
      <c r="J3" s="43"/>
      <c r="K3" s="96"/>
    </row>
    <row r="4" spans="1:11">
      <c r="A4" s="383" t="s">
        <v>171</v>
      </c>
      <c r="B4" s="49">
        <f>IF(ISERROR('SEAP template'!B78),0,'SEAP template'!B78)</f>
        <v>2819.787267464159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937.87411764705894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0.22866781998415228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1339.8201680672271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5637.8571428571431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982.40499999999997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982.40499999999997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0.22866781998415228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224.64440969153111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22824.016107220003</v>
      </c>
      <c r="C5" s="17">
        <f>IF(ISERROR('Eigen informatie GS &amp; warmtenet'!B57),0,'Eigen informatie GS &amp; warmtenet'!B57)</f>
        <v>0</v>
      </c>
      <c r="D5" s="30">
        <f>(SUM(HH_hh_gas_kWh,HH_rest_gas_kWh)/1000)*0.902</f>
        <v>40053.64090034047</v>
      </c>
      <c r="E5" s="17">
        <f>B46*B57</f>
        <v>2817.2470099503639</v>
      </c>
      <c r="F5" s="17">
        <f>B51*B62</f>
        <v>14608.760151794917</v>
      </c>
      <c r="G5" s="18"/>
      <c r="H5" s="17"/>
      <c r="I5" s="17"/>
      <c r="J5" s="17">
        <f>B50*B61+C50*C61</f>
        <v>6618.3633718076981</v>
      </c>
      <c r="K5" s="17"/>
      <c r="L5" s="17"/>
      <c r="M5" s="17"/>
      <c r="N5" s="17">
        <f>B48*B59+C48*C59</f>
        <v>10818.056192787375</v>
      </c>
      <c r="O5" s="17">
        <f>B69*B70*B71</f>
        <v>328.3</v>
      </c>
      <c r="P5" s="17">
        <f>B77*B78*B79/1000-B77*B78*B79/1000/B80</f>
        <v>800.8</v>
      </c>
    </row>
    <row r="6" spans="1:16">
      <c r="A6" s="16" t="s">
        <v>621</v>
      </c>
      <c r="B6" s="788">
        <f>kWh_PV_kleiner_dan_10kW</f>
        <v>2536.7528549341196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25360.768962154121</v>
      </c>
      <c r="C8" s="21">
        <f>C5</f>
        <v>0</v>
      </c>
      <c r="D8" s="21">
        <f>D5</f>
        <v>40053.64090034047</v>
      </c>
      <c r="E8" s="21">
        <f>E5</f>
        <v>2817.2470099503639</v>
      </c>
      <c r="F8" s="21">
        <f>F5</f>
        <v>14608.760151794917</v>
      </c>
      <c r="G8" s="21"/>
      <c r="H8" s="21"/>
      <c r="I8" s="21"/>
      <c r="J8" s="21">
        <f>J5</f>
        <v>6618.3633718076981</v>
      </c>
      <c r="K8" s="21"/>
      <c r="L8" s="21">
        <f>L5</f>
        <v>0</v>
      </c>
      <c r="M8" s="21">
        <f>M5</f>
        <v>0</v>
      </c>
      <c r="N8" s="21">
        <f>N5</f>
        <v>10818.056192787375</v>
      </c>
      <c r="O8" s="21">
        <f>O5</f>
        <v>328.3</v>
      </c>
      <c r="P8" s="21">
        <f>P5</f>
        <v>800.8</v>
      </c>
    </row>
    <row r="9" spans="1:16">
      <c r="B9" s="19"/>
      <c r="C9" s="19"/>
      <c r="D9" s="258"/>
      <c r="E9" s="19"/>
      <c r="F9" s="19"/>
      <c r="G9" s="19"/>
      <c r="H9" s="19"/>
      <c r="I9" s="19"/>
      <c r="J9" s="19"/>
      <c r="K9" s="19"/>
      <c r="L9" s="19"/>
      <c r="M9" s="19"/>
      <c r="N9" s="19"/>
      <c r="O9" s="19"/>
      <c r="P9" s="19"/>
    </row>
    <row r="10" spans="1:16">
      <c r="A10" s="24" t="s">
        <v>214</v>
      </c>
      <c r="B10" s="25">
        <f ca="1">'EF ele_warmte'!B12</f>
        <v>0.22866781998415228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5799.1917516975354</v>
      </c>
      <c r="C12" s="23">
        <f ca="1">C10*C8</f>
        <v>0</v>
      </c>
      <c r="D12" s="23">
        <f>D8*D10</f>
        <v>8090.8354618687754</v>
      </c>
      <c r="E12" s="23">
        <f>E10*E8</f>
        <v>639.51507125873263</v>
      </c>
      <c r="F12" s="23">
        <f>F10*F8</f>
        <v>3900.538960529243</v>
      </c>
      <c r="G12" s="23"/>
      <c r="H12" s="23"/>
      <c r="I12" s="23"/>
      <c r="J12" s="23">
        <f>J10*J8</f>
        <v>2342.900633619925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1184</v>
      </c>
      <c r="C18" s="166" t="s">
        <v>111</v>
      </c>
      <c r="D18" s="228"/>
      <c r="E18" s="15"/>
    </row>
    <row r="19" spans="1:7">
      <c r="A19" s="171" t="s">
        <v>72</v>
      </c>
      <c r="B19" s="37">
        <f>aantalw2001_ander</f>
        <v>0</v>
      </c>
      <c r="C19" s="166" t="s">
        <v>111</v>
      </c>
      <c r="D19" s="229"/>
      <c r="E19" s="15"/>
    </row>
    <row r="20" spans="1:7">
      <c r="A20" s="171" t="s">
        <v>73</v>
      </c>
      <c r="B20" s="37">
        <f>aantalw2001_propaan</f>
        <v>71</v>
      </c>
      <c r="C20" s="167">
        <f>IF(ISERROR(B20/SUM($B$20,$B$21,$B$22)*100),0,B20/SUM($B$20,$B$21,$B$22)*100)</f>
        <v>7.9152731326644368</v>
      </c>
      <c r="D20" s="229"/>
      <c r="E20" s="15"/>
    </row>
    <row r="21" spans="1:7">
      <c r="A21" s="171" t="s">
        <v>74</v>
      </c>
      <c r="B21" s="37">
        <f>aantalw2001_elektriciteit</f>
        <v>746</v>
      </c>
      <c r="C21" s="167">
        <f>IF(ISERROR(B21/SUM($B$20,$B$21,$B$22)*100),0,B21/SUM($B$20,$B$21,$B$22)*100)</f>
        <v>83.166109253065784</v>
      </c>
      <c r="D21" s="229"/>
      <c r="E21" s="15"/>
    </row>
    <row r="22" spans="1:7">
      <c r="A22" s="171" t="s">
        <v>75</v>
      </c>
      <c r="B22" s="37">
        <f>aantalw2001_hout</f>
        <v>80</v>
      </c>
      <c r="C22" s="167">
        <f>IF(ISERROR(B22/SUM($B$20,$B$21,$B$22)*100),0,B22/SUM($B$20,$B$21,$B$22)*100)</f>
        <v>8.9186176142697882</v>
      </c>
      <c r="D22" s="229"/>
      <c r="E22" s="15"/>
    </row>
    <row r="23" spans="1:7">
      <c r="A23" s="171" t="s">
        <v>76</v>
      </c>
      <c r="B23" s="37">
        <f>aantalw2001_niet_gespec</f>
        <v>62</v>
      </c>
      <c r="C23" s="166" t="s">
        <v>111</v>
      </c>
      <c r="D23" s="228"/>
      <c r="E23" s="15"/>
    </row>
    <row r="24" spans="1:7">
      <c r="A24" s="171" t="s">
        <v>77</v>
      </c>
      <c r="B24" s="37">
        <f>aantalw2001_steenkool</f>
        <v>348</v>
      </c>
      <c r="C24" s="166" t="s">
        <v>111</v>
      </c>
      <c r="D24" s="229"/>
      <c r="E24" s="15"/>
    </row>
    <row r="25" spans="1:7">
      <c r="A25" s="171" t="s">
        <v>78</v>
      </c>
      <c r="B25" s="37">
        <f>aantalw2001_stookolie</f>
        <v>2007</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793</v>
      </c>
      <c r="B28" s="37">
        <f>aantalHuishoudens2011</f>
        <v>5262</v>
      </c>
      <c r="C28" s="36"/>
      <c r="D28" s="228"/>
    </row>
    <row r="29" spans="1:7" s="15" customFormat="1">
      <c r="A29" s="230" t="s">
        <v>794</v>
      </c>
      <c r="B29" s="37">
        <f>SUM(HH_hh_gas_aantal,HH_rest_gas_aantal)</f>
        <v>2787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2787</v>
      </c>
      <c r="C32" s="167">
        <f>IF(ISERROR(B32/SUM($B$32,$B$34,$B$35,$B$36,$B$38,$B$39)*100),0,B32/SUM($B$32,$B$34,$B$35,$B$36,$B$38,$B$39)*100)</f>
        <v>53.390804597701155</v>
      </c>
      <c r="D32" s="233"/>
      <c r="G32" s="15"/>
    </row>
    <row r="33" spans="1:7">
      <c r="A33" s="171" t="s">
        <v>72</v>
      </c>
      <c r="B33" s="34" t="s">
        <v>111</v>
      </c>
      <c r="C33" s="167"/>
      <c r="D33" s="233"/>
      <c r="G33" s="15"/>
    </row>
    <row r="34" spans="1:7">
      <c r="A34" s="171" t="s">
        <v>73</v>
      </c>
      <c r="B34" s="33">
        <f>IF((($B$28-$B$32-$B$39-$B$77-$B$38)*C20/100)&lt;0,0,($B$28-$B$32-$B$39-$B$77-$B$38)*C20/100)</f>
        <v>133.05574136008917</v>
      </c>
      <c r="C34" s="167">
        <f>IF(ISERROR(B34/SUM($B$32,$B$34,$B$35,$B$36,$B$38,$B$39)*100),0,B34/SUM($B$32,$B$34,$B$35,$B$36,$B$38,$B$39)*100)</f>
        <v>2.5489605624538161</v>
      </c>
      <c r="D34" s="233"/>
      <c r="G34" s="15"/>
    </row>
    <row r="35" spans="1:7">
      <c r="A35" s="171" t="s">
        <v>74</v>
      </c>
      <c r="B35" s="33">
        <f>IF((($B$28-$B$32-$B$39-$B$77-$B$38)*C21/100)&lt;0,0,($B$28-$B$32-$B$39-$B$77-$B$38)*C21/100)</f>
        <v>1398.0222965440357</v>
      </c>
      <c r="C35" s="167">
        <f>IF(ISERROR(B35/SUM($B$32,$B$34,$B$35,$B$36,$B$38,$B$39)*100),0,B35/SUM($B$32,$B$34,$B$35,$B$36,$B$38,$B$39)*100)</f>
        <v>26.782036332261228</v>
      </c>
      <c r="D35" s="233"/>
      <c r="G35" s="15"/>
    </row>
    <row r="36" spans="1:7">
      <c r="A36" s="171" t="s">
        <v>75</v>
      </c>
      <c r="B36" s="33">
        <f>IF((($B$28-$B$32-$B$39-$B$77-$B$38)*C22/100)&lt;0,0,($B$28-$B$32-$B$39-$B$77-$B$38)*C22/100)</f>
        <v>149.92196209587513</v>
      </c>
      <c r="C36" s="167">
        <f>IF(ISERROR(B36/SUM($B$32,$B$34,$B$35,$B$36,$B$38,$B$39)*100),0,B36/SUM($B$32,$B$34,$B$35,$B$36,$B$38,$B$39)*100)</f>
        <v>2.8720682393845816</v>
      </c>
      <c r="D36" s="233"/>
      <c r="G36" s="15"/>
    </row>
    <row r="37" spans="1:7">
      <c r="A37" s="171" t="s">
        <v>76</v>
      </c>
      <c r="B37" s="34" t="s">
        <v>111</v>
      </c>
      <c r="C37" s="167"/>
      <c r="D37" s="173"/>
      <c r="G37" s="15"/>
    </row>
    <row r="38" spans="1:7">
      <c r="A38" s="171" t="s">
        <v>77</v>
      </c>
      <c r="B38" s="33">
        <f>IF((B24-(B29-B18)*0.1)&lt;0,0,B24-(B29-B18)*0.1)</f>
        <v>187.7</v>
      </c>
      <c r="C38" s="167">
        <f>IF(ISERROR(B38/SUM($B$32,$B$34,$B$35,$B$36,$B$38,$B$39)*100),0,B38/SUM($B$32,$B$34,$B$35,$B$36,$B$38,$B$39)*100)</f>
        <v>3.5957854406130272</v>
      </c>
      <c r="D38" s="234"/>
      <c r="G38" s="15"/>
    </row>
    <row r="39" spans="1:7">
      <c r="A39" s="171" t="s">
        <v>78</v>
      </c>
      <c r="B39" s="33">
        <f>IF((B25-(B29-B18))&lt;0,0,B25-(B29-B18)*0.9)</f>
        <v>564.29999999999995</v>
      </c>
      <c r="C39" s="167">
        <f>IF(ISERROR(B39/SUM($B$32,$B$34,$B$35,$B$36,$B$38,$B$39)*100),0,B39/SUM($B$32,$B$34,$B$35,$B$36,$B$38,$B$39)*100)</f>
        <v>10.810344827586208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2787</v>
      </c>
      <c r="C44" s="34" t="s">
        <v>111</v>
      </c>
      <c r="D44" s="174"/>
    </row>
    <row r="45" spans="1:7">
      <c r="A45" s="171" t="s">
        <v>72</v>
      </c>
      <c r="B45" s="33" t="str">
        <f t="shared" si="0"/>
        <v>-</v>
      </c>
      <c r="C45" s="34" t="s">
        <v>111</v>
      </c>
      <c r="D45" s="174"/>
    </row>
    <row r="46" spans="1:7">
      <c r="A46" s="171" t="s">
        <v>73</v>
      </c>
      <c r="B46" s="33">
        <f t="shared" si="0"/>
        <v>133.05574136008917</v>
      </c>
      <c r="C46" s="34" t="s">
        <v>111</v>
      </c>
      <c r="D46" s="174"/>
    </row>
    <row r="47" spans="1:7">
      <c r="A47" s="171" t="s">
        <v>74</v>
      </c>
      <c r="B47" s="33">
        <f t="shared" si="0"/>
        <v>1398.0222965440357</v>
      </c>
      <c r="C47" s="34" t="s">
        <v>111</v>
      </c>
      <c r="D47" s="174"/>
    </row>
    <row r="48" spans="1:7">
      <c r="A48" s="171" t="s">
        <v>75</v>
      </c>
      <c r="B48" s="33">
        <f t="shared" si="0"/>
        <v>149.92196209587513</v>
      </c>
      <c r="C48" s="33">
        <f>B48*10</f>
        <v>1499.2196209587514</v>
      </c>
      <c r="D48" s="234"/>
    </row>
    <row r="49" spans="1:6">
      <c r="A49" s="171" t="s">
        <v>76</v>
      </c>
      <c r="B49" s="33" t="str">
        <f t="shared" si="0"/>
        <v>-</v>
      </c>
      <c r="C49" s="34" t="s">
        <v>111</v>
      </c>
      <c r="D49" s="234"/>
    </row>
    <row r="50" spans="1:6">
      <c r="A50" s="171" t="s">
        <v>77</v>
      </c>
      <c r="B50" s="33">
        <f t="shared" si="0"/>
        <v>187.7</v>
      </c>
      <c r="C50" s="33">
        <f>B50*2</f>
        <v>375.4</v>
      </c>
      <c r="D50" s="234"/>
    </row>
    <row r="51" spans="1:6">
      <c r="A51" s="171" t="s">
        <v>78</v>
      </c>
      <c r="B51" s="33">
        <f t="shared" si="0"/>
        <v>564.29999999999995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9784.4617382054821</v>
      </c>
      <c r="C5" s="17">
        <f>IF(ISERROR('Eigen informatie GS &amp; warmtenet'!B58),0,'Eigen informatie GS &amp; warmtenet'!B58)</f>
        <v>0</v>
      </c>
      <c r="D5" s="30">
        <f>SUM(D6:D12)</f>
        <v>10969.538405701074</v>
      </c>
      <c r="E5" s="17">
        <f>SUM(E6:E12)</f>
        <v>191.37443383226898</v>
      </c>
      <c r="F5" s="17">
        <f>SUM(F6:F12)</f>
        <v>1724.367058445479</v>
      </c>
      <c r="G5" s="18"/>
      <c r="H5" s="17"/>
      <c r="I5" s="17"/>
      <c r="J5" s="17">
        <f>SUM(J6:J12)</f>
        <v>1.3808000503108497E-2</v>
      </c>
      <c r="K5" s="17"/>
      <c r="L5" s="17"/>
      <c r="M5" s="17"/>
      <c r="N5" s="17">
        <f>SUM(N6:N12)</f>
        <v>555.08864289431881</v>
      </c>
      <c r="O5" s="17">
        <f>B38*B39*B40</f>
        <v>1.5633333333333335</v>
      </c>
      <c r="P5" s="17">
        <f>B46*B47*B48/1000-B46*B47*B48/1000/B49</f>
        <v>19.066666666666666</v>
      </c>
      <c r="R5" s="32"/>
    </row>
    <row r="6" spans="1:18">
      <c r="A6" s="32" t="s">
        <v>54</v>
      </c>
      <c r="B6" s="37">
        <f>B26</f>
        <v>2031.1504729236599</v>
      </c>
      <c r="C6" s="33"/>
      <c r="D6" s="37">
        <f>IF(ISERROR(TER_kantoor_gas_kWh/1000),0,TER_kantoor_gas_kWh/1000)*0.902</f>
        <v>2319.6868546566707</v>
      </c>
      <c r="E6" s="33">
        <f>$C$26*'E Balans VL '!I12/100/3.6*1000000</f>
        <v>1.273057561422165E-2</v>
      </c>
      <c r="F6" s="33">
        <f>$C$26*('E Balans VL '!L12+'E Balans VL '!N12)/100/3.6*1000000</f>
        <v>305.22516032320249</v>
      </c>
      <c r="G6" s="34"/>
      <c r="H6" s="33"/>
      <c r="I6" s="33"/>
      <c r="J6" s="33">
        <f>$C$26*('E Balans VL '!D12+'E Balans VL '!E12)/100/3.6*1000000</f>
        <v>0</v>
      </c>
      <c r="K6" s="33"/>
      <c r="L6" s="33"/>
      <c r="M6" s="33"/>
      <c r="N6" s="33">
        <f>$C$26*'E Balans VL '!Y12/100/3.6*1000000</f>
        <v>1.9424942762442927</v>
      </c>
      <c r="O6" s="33"/>
      <c r="P6" s="33"/>
      <c r="R6" s="32"/>
    </row>
    <row r="7" spans="1:18">
      <c r="A7" s="32" t="s">
        <v>53</v>
      </c>
      <c r="B7" s="37">
        <f t="shared" ref="B7:B12" si="0">B27</f>
        <v>907.20618454961198</v>
      </c>
      <c r="C7" s="33"/>
      <c r="D7" s="37">
        <f>IF(ISERROR(TER_horeca_gas_kWh/1000),0,TER_horeca_gas_kWh/1000)*0.902</f>
        <v>1052.2604245191214</v>
      </c>
      <c r="E7" s="33">
        <f>$C$27*'E Balans VL '!I9/100/3.6*1000000</f>
        <v>12.991041451047034</v>
      </c>
      <c r="F7" s="33">
        <f>$C$27*('E Balans VL '!L9+'E Balans VL '!N9)/100/3.6*1000000</f>
        <v>114.88222377667249</v>
      </c>
      <c r="G7" s="34"/>
      <c r="H7" s="33"/>
      <c r="I7" s="33"/>
      <c r="J7" s="33">
        <f>$C$27*('E Balans VL '!D9+'E Balans VL '!E9)/100/3.6*1000000</f>
        <v>0</v>
      </c>
      <c r="K7" s="33"/>
      <c r="L7" s="33"/>
      <c r="M7" s="33"/>
      <c r="N7" s="33">
        <f>$C$27*'E Balans VL '!Y9/100/3.6*1000000</f>
        <v>0.26080177587862452</v>
      </c>
      <c r="O7" s="33"/>
      <c r="P7" s="33"/>
      <c r="R7" s="32"/>
    </row>
    <row r="8" spans="1:18">
      <c r="A8" s="6" t="s">
        <v>52</v>
      </c>
      <c r="B8" s="37">
        <f t="shared" si="0"/>
        <v>4143.28719641526</v>
      </c>
      <c r="C8" s="33"/>
      <c r="D8" s="37">
        <f>IF(ISERROR(TER_handel_gas_kWh/1000),0,TER_handel_gas_kWh/1000)*0.902</f>
        <v>1670.3145956843459</v>
      </c>
      <c r="E8" s="33">
        <f>$C$28*'E Balans VL '!I13/100/3.6*1000000</f>
        <v>150.27651568669475</v>
      </c>
      <c r="F8" s="33">
        <f>$C$28*('E Balans VL '!L13+'E Balans VL '!N13)/100/3.6*1000000</f>
        <v>798.03906747975998</v>
      </c>
      <c r="G8" s="34"/>
      <c r="H8" s="33"/>
      <c r="I8" s="33"/>
      <c r="J8" s="33">
        <f>$C$28*('E Balans VL '!D13+'E Balans VL '!E13)/100/3.6*1000000</f>
        <v>0</v>
      </c>
      <c r="K8" s="33"/>
      <c r="L8" s="33"/>
      <c r="M8" s="33"/>
      <c r="N8" s="33">
        <f>$C$28*'E Balans VL '!Y13/100/3.6*1000000</f>
        <v>5.7394060949018826</v>
      </c>
      <c r="O8" s="33"/>
      <c r="P8" s="33"/>
      <c r="R8" s="32"/>
    </row>
    <row r="9" spans="1:18">
      <c r="A9" s="32" t="s">
        <v>51</v>
      </c>
      <c r="B9" s="37">
        <f t="shared" si="0"/>
        <v>139.77293213842398</v>
      </c>
      <c r="C9" s="33"/>
      <c r="D9" s="37">
        <f>IF(ISERROR(TER_gezond_gas_kWh/1000),0,TER_gezond_gas_kWh/1000)*0.902</f>
        <v>167.64675259384657</v>
      </c>
      <c r="E9" s="33">
        <f>$C$29*'E Balans VL '!I10/100/3.6*1000000</f>
        <v>8.7511655602572763E-3</v>
      </c>
      <c r="F9" s="33">
        <f>$C$29*('E Balans VL '!L10+'E Balans VL '!N10)/100/3.6*1000000</f>
        <v>20.763694637212289</v>
      </c>
      <c r="G9" s="34"/>
      <c r="H9" s="33"/>
      <c r="I9" s="33"/>
      <c r="J9" s="33">
        <f>$C$29*('E Balans VL '!D10+'E Balans VL '!E10)/100/3.6*1000000</f>
        <v>0</v>
      </c>
      <c r="K9" s="33"/>
      <c r="L9" s="33"/>
      <c r="M9" s="33"/>
      <c r="N9" s="33">
        <f>$C$29*'E Balans VL '!Y10/100/3.6*1000000</f>
        <v>2.162021201252228</v>
      </c>
      <c r="O9" s="33"/>
      <c r="P9" s="33"/>
      <c r="R9" s="32"/>
    </row>
    <row r="10" spans="1:18">
      <c r="A10" s="32" t="s">
        <v>50</v>
      </c>
      <c r="B10" s="37">
        <f t="shared" si="0"/>
        <v>462.15911099685798</v>
      </c>
      <c r="C10" s="33"/>
      <c r="D10" s="37">
        <f>IF(ISERROR(TER_ander_gas_kWh/1000),0,TER_ander_gas_kWh/1000)*0.902</f>
        <v>523.87850606504378</v>
      </c>
      <c r="E10" s="33">
        <f>$C$30*'E Balans VL '!I14/100/3.6*1000000</f>
        <v>0.5508771455321344</v>
      </c>
      <c r="F10" s="33">
        <f>$C$30*('E Balans VL '!L14+'E Balans VL '!N14)/100/3.6*1000000</f>
        <v>120.9213694171071</v>
      </c>
      <c r="G10" s="34"/>
      <c r="H10" s="33"/>
      <c r="I10" s="33"/>
      <c r="J10" s="33">
        <f>$C$30*('E Balans VL '!D14+'E Balans VL '!E14)/100/3.6*1000000</f>
        <v>1.0031662686048883E-2</v>
      </c>
      <c r="K10" s="33"/>
      <c r="L10" s="33"/>
      <c r="M10" s="33"/>
      <c r="N10" s="33">
        <f>$C$30*'E Balans VL '!Y14/100/3.6*1000000</f>
        <v>392.45420818426936</v>
      </c>
      <c r="O10" s="33"/>
      <c r="P10" s="33"/>
      <c r="R10" s="32"/>
    </row>
    <row r="11" spans="1:18">
      <c r="A11" s="32" t="s">
        <v>55</v>
      </c>
      <c r="B11" s="37">
        <f t="shared" si="0"/>
        <v>541.39855601525801</v>
      </c>
      <c r="C11" s="33"/>
      <c r="D11" s="37">
        <f>IF(ISERROR(TER_onderwijs_gas_kWh/1000),0,TER_onderwijs_gas_kWh/1000)*0.902</f>
        <v>1528.3065107501711</v>
      </c>
      <c r="E11" s="33">
        <f>$C$31*'E Balans VL '!I11/100/3.6*1000000</f>
        <v>8.168832204977063</v>
      </c>
      <c r="F11" s="33">
        <f>$C$31*('E Balans VL '!L11+'E Balans VL '!N11)/100/3.6*1000000</f>
        <v>94.861676113113347</v>
      </c>
      <c r="G11" s="34"/>
      <c r="H11" s="33"/>
      <c r="I11" s="33"/>
      <c r="J11" s="33">
        <f>$C$31*('E Balans VL '!D11+'E Balans VL '!E11)/100/3.6*1000000</f>
        <v>0</v>
      </c>
      <c r="K11" s="33"/>
      <c r="L11" s="33"/>
      <c r="M11" s="33"/>
      <c r="N11" s="33">
        <f>$C$31*'E Balans VL '!Y11/100/3.6*1000000</f>
        <v>1.523536695312564</v>
      </c>
      <c r="O11" s="33"/>
      <c r="P11" s="33"/>
      <c r="R11" s="32"/>
    </row>
    <row r="12" spans="1:18">
      <c r="A12" s="32" t="s">
        <v>260</v>
      </c>
      <c r="B12" s="37">
        <f t="shared" si="0"/>
        <v>1559.4872851664099</v>
      </c>
      <c r="C12" s="33"/>
      <c r="D12" s="37">
        <f>IF(ISERROR(TER_rest_gas_kWh/1000),0,TER_rest_gas_kWh/1000)*0.902</f>
        <v>3707.4447614318738</v>
      </c>
      <c r="E12" s="33">
        <f>$C$32*'E Balans VL '!I8/100/3.6*1000000</f>
        <v>19.365685602843513</v>
      </c>
      <c r="F12" s="33">
        <f>$C$32*('E Balans VL '!L8+'E Balans VL '!N8)/100/3.6*1000000</f>
        <v>269.67386669841125</v>
      </c>
      <c r="G12" s="34"/>
      <c r="H12" s="33"/>
      <c r="I12" s="33"/>
      <c r="J12" s="33">
        <f>$C$32*('E Balans VL '!D8+'E Balans VL '!E8)/100/3.6*1000000</f>
        <v>3.7763378170596129E-3</v>
      </c>
      <c r="K12" s="33"/>
      <c r="L12" s="33"/>
      <c r="M12" s="33"/>
      <c r="N12" s="33">
        <f>$C$32*'E Balans VL '!Y8/100/3.6*1000000</f>
        <v>151.0061746664598</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9784.4617382054821</v>
      </c>
      <c r="C16" s="21">
        <f t="shared" ca="1" si="1"/>
        <v>0</v>
      </c>
      <c r="D16" s="21">
        <f t="shared" ca="1" si="1"/>
        <v>10969.538405701074</v>
      </c>
      <c r="E16" s="21">
        <f t="shared" si="1"/>
        <v>191.37443383226898</v>
      </c>
      <c r="F16" s="21">
        <f t="shared" ca="1" si="1"/>
        <v>1724.367058445479</v>
      </c>
      <c r="G16" s="21">
        <f t="shared" si="1"/>
        <v>0</v>
      </c>
      <c r="H16" s="21">
        <f t="shared" si="1"/>
        <v>0</v>
      </c>
      <c r="I16" s="21">
        <f t="shared" si="1"/>
        <v>0</v>
      </c>
      <c r="J16" s="21">
        <f t="shared" si="1"/>
        <v>1.3808000503108497E-2</v>
      </c>
      <c r="K16" s="21">
        <f t="shared" si="1"/>
        <v>0</v>
      </c>
      <c r="L16" s="21">
        <f t="shared" ca="1" si="1"/>
        <v>0</v>
      </c>
      <c r="M16" s="21">
        <f t="shared" si="1"/>
        <v>0</v>
      </c>
      <c r="N16" s="21">
        <f t="shared" ca="1" si="1"/>
        <v>555.08864289431881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0.22866781998415228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2237.3915353937969</v>
      </c>
      <c r="C20" s="23">
        <f t="shared" ref="C20:P20" ca="1" si="2">C16*C18</f>
        <v>0</v>
      </c>
      <c r="D20" s="23">
        <f t="shared" ca="1" si="2"/>
        <v>2215.8467579516173</v>
      </c>
      <c r="E20" s="23">
        <f t="shared" si="2"/>
        <v>43.441996479925059</v>
      </c>
      <c r="F20" s="23">
        <f t="shared" ca="1" si="2"/>
        <v>460.40600460494289</v>
      </c>
      <c r="G20" s="23">
        <f t="shared" si="2"/>
        <v>0</v>
      </c>
      <c r="H20" s="23">
        <f t="shared" si="2"/>
        <v>0</v>
      </c>
      <c r="I20" s="23">
        <f t="shared" si="2"/>
        <v>0</v>
      </c>
      <c r="J20" s="23">
        <f t="shared" si="2"/>
        <v>4.8880321781004073E-3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2031.1504729236599</v>
      </c>
      <c r="C26" s="39">
        <f>IF(ISERROR(B26*3.6/1000000/'E Balans VL '!Z12*100),0,B26*3.6/1000000/'E Balans VL '!Z12*100)</f>
        <v>4.2935303395355014E-2</v>
      </c>
      <c r="D26" s="237" t="s">
        <v>754</v>
      </c>
      <c r="F26" s="6"/>
    </row>
    <row r="27" spans="1:18">
      <c r="A27" s="231" t="s">
        <v>53</v>
      </c>
      <c r="B27" s="33">
        <f>IF(ISERROR(TER_horeca_ele_kWh/1000),0,TER_horeca_ele_kWh/1000)</f>
        <v>907.20618454961198</v>
      </c>
      <c r="C27" s="39">
        <f>IF(ISERROR(B27*3.6/1000000/'E Balans VL '!Z9*100),0,B27*3.6/1000000/'E Balans VL '!Z9*100)</f>
        <v>7.1514725395038614E-2</v>
      </c>
      <c r="D27" s="237" t="s">
        <v>754</v>
      </c>
      <c r="F27" s="6"/>
    </row>
    <row r="28" spans="1:18">
      <c r="A28" s="171" t="s">
        <v>52</v>
      </c>
      <c r="B28" s="33">
        <f>IF(ISERROR(TER_handel_ele_kWh/1000),0,TER_handel_ele_kWh/1000)</f>
        <v>4143.28719641526</v>
      </c>
      <c r="C28" s="39">
        <f>IF(ISERROR(B28*3.6/1000000/'E Balans VL '!Z13*100),0,B28*3.6/1000000/'E Balans VL '!Z13*100)</f>
        <v>0.1202549351961483</v>
      </c>
      <c r="D28" s="237" t="s">
        <v>754</v>
      </c>
      <c r="F28" s="6"/>
    </row>
    <row r="29" spans="1:18">
      <c r="A29" s="231" t="s">
        <v>51</v>
      </c>
      <c r="B29" s="33">
        <f>IF(ISERROR(TER_gezond_ele_kWh/1000),0,TER_gezond_ele_kWh/1000)</f>
        <v>139.77293213842398</v>
      </c>
      <c r="C29" s="39">
        <f>IF(ISERROR(B29*3.6/1000000/'E Balans VL '!Z10*100),0,B29*3.6/1000000/'E Balans VL '!Z10*100)</f>
        <v>1.4720384886304377E-2</v>
      </c>
      <c r="D29" s="237" t="s">
        <v>754</v>
      </c>
      <c r="F29" s="6"/>
    </row>
    <row r="30" spans="1:18">
      <c r="A30" s="231" t="s">
        <v>50</v>
      </c>
      <c r="B30" s="33">
        <f>IF(ISERROR(TER_ander_ele_kWh/1000),0,TER_ander_ele_kWh/1000)</f>
        <v>462.15911099685798</v>
      </c>
      <c r="C30" s="39">
        <f>IF(ISERROR(B30*3.6/1000000/'E Balans VL '!Z14*100),0,B30*3.6/1000000/'E Balans VL '!Z14*100)</f>
        <v>3.4088956407587821E-2</v>
      </c>
      <c r="D30" s="237" t="s">
        <v>754</v>
      </c>
      <c r="F30" s="6"/>
    </row>
    <row r="31" spans="1:18">
      <c r="A31" s="231" t="s">
        <v>55</v>
      </c>
      <c r="B31" s="33">
        <f>IF(ISERROR(TER_onderwijs_ele_kWh/1000),0,TER_onderwijs_ele_kWh/1000)</f>
        <v>541.39855601525801</v>
      </c>
      <c r="C31" s="39">
        <f>IF(ISERROR(B31*3.6/1000000/'E Balans VL '!Z11*100),0,B31*3.6/1000000/'E Balans VL '!Z11*100)</f>
        <v>0.13445462206049039</v>
      </c>
      <c r="D31" s="237" t="s">
        <v>754</v>
      </c>
    </row>
    <row r="32" spans="1:18">
      <c r="A32" s="231" t="s">
        <v>260</v>
      </c>
      <c r="B32" s="33">
        <f>IF(ISERROR(TER_rest_ele_kWh/1000),0,TER_rest_ele_kWh/1000)</f>
        <v>1559.4872851664099</v>
      </c>
      <c r="C32" s="39">
        <f>IF(ISERROR(B32*3.6/1000000/'E Balans VL '!Z8*100),0,B32*3.6/1000000/'E Balans VL '!Z8*100)</f>
        <v>1.2832510347970366E-2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2298.7173664293482</v>
      </c>
      <c r="C5" s="17">
        <f>IF(ISERROR('Eigen informatie GS &amp; warmtenet'!B59),0,'Eigen informatie GS &amp; warmtenet'!B59)</f>
        <v>0</v>
      </c>
      <c r="D5" s="30">
        <f>SUM(D6:D15)</f>
        <v>2325.0143340919803</v>
      </c>
      <c r="E5" s="17">
        <f>SUM(E6:E15)</f>
        <v>328.42608868034517</v>
      </c>
      <c r="F5" s="17">
        <f>SUM(F6:F15)</f>
        <v>985.17280064197178</v>
      </c>
      <c r="G5" s="18"/>
      <c r="H5" s="17"/>
      <c r="I5" s="17"/>
      <c r="J5" s="17">
        <f>SUM(J6:J15)</f>
        <v>1.1586711457069627</v>
      </c>
      <c r="K5" s="17"/>
      <c r="L5" s="17"/>
      <c r="M5" s="17"/>
      <c r="N5" s="17">
        <f>SUM(N6:N15)</f>
        <v>441.30867905715286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743.5914806170839</v>
      </c>
      <c r="C8" s="33"/>
      <c r="D8" s="37">
        <f>IF( ISERROR(IND_metaal_Gas_kWH/1000),0,IND_metaal_Gas_kWH/1000)*0.902</f>
        <v>636.33445362905218</v>
      </c>
      <c r="E8" s="33">
        <f>C30*'E Balans VL '!I18/100/3.6*1000000</f>
        <v>6.8366054967923136</v>
      </c>
      <c r="F8" s="33">
        <f>C30*'E Balans VL '!L18/100/3.6*1000000+C30*'E Balans VL '!N18/100/3.6*1000000</f>
        <v>69.724124215509462</v>
      </c>
      <c r="G8" s="34"/>
      <c r="H8" s="33"/>
      <c r="I8" s="33"/>
      <c r="J8" s="40">
        <f>C30*'E Balans VL '!D18/100/3.6*1000000+C30*'E Balans VL '!E18/100/3.6*1000000</f>
        <v>0</v>
      </c>
      <c r="K8" s="33"/>
      <c r="L8" s="33"/>
      <c r="M8" s="33"/>
      <c r="N8" s="33">
        <f>C30*'E Balans VL '!Y18/100/3.6*1000000</f>
        <v>10.608561307672023</v>
      </c>
      <c r="O8" s="33"/>
      <c r="P8" s="33"/>
      <c r="R8" s="32"/>
    </row>
    <row r="9" spans="1:18">
      <c r="A9" s="6" t="s">
        <v>33</v>
      </c>
      <c r="B9" s="37">
        <f t="shared" si="0"/>
        <v>1037.3805390402999</v>
      </c>
      <c r="C9" s="33"/>
      <c r="D9" s="37">
        <f>IF( ISERROR(IND_andere_gas_kWh/1000),0,IND_andere_gas_kWh/1000)*0.902</f>
        <v>728.77356046035163</v>
      </c>
      <c r="E9" s="33">
        <f>C31*'E Balans VL '!I19/100/3.6*1000000</f>
        <v>303.24652697853918</v>
      </c>
      <c r="F9" s="33">
        <f>C31*'E Balans VL '!L19/100/3.6*1000000+C31*'E Balans VL '!N19/100/3.6*1000000</f>
        <v>833.61378561057472</v>
      </c>
      <c r="G9" s="34"/>
      <c r="H9" s="33"/>
      <c r="I9" s="33"/>
      <c r="J9" s="40">
        <f>C31*'E Balans VL '!D19/100/3.6*1000000+C31*'E Balans VL '!E19/100/3.6*1000000</f>
        <v>0</v>
      </c>
      <c r="K9" s="33"/>
      <c r="L9" s="33"/>
      <c r="M9" s="33"/>
      <c r="N9" s="33">
        <f>C31*'E Balans VL '!Y19/100/3.6*1000000</f>
        <v>342.76661873039075</v>
      </c>
      <c r="O9" s="33"/>
      <c r="P9" s="33"/>
      <c r="R9" s="32"/>
    </row>
    <row r="10" spans="1:18">
      <c r="A10" s="6" t="s">
        <v>41</v>
      </c>
      <c r="B10" s="37">
        <f t="shared" si="0"/>
        <v>180.75147621096198</v>
      </c>
      <c r="C10" s="33"/>
      <c r="D10" s="37">
        <f>IF( ISERROR(IND_voed_gas_kWh/1000),0,IND_voed_gas_kWh/1000)*0.902</f>
        <v>0</v>
      </c>
      <c r="E10" s="33">
        <f>C32*'E Balans VL '!I20/100/3.6*1000000</f>
        <v>0.38238255050912218</v>
      </c>
      <c r="F10" s="33">
        <f>C32*'E Balans VL '!L20/100/3.6*1000000+C32*'E Balans VL '!N20/100/3.6*1000000</f>
        <v>11.492363489711655</v>
      </c>
      <c r="G10" s="34"/>
      <c r="H10" s="33"/>
      <c r="I10" s="33"/>
      <c r="J10" s="40">
        <f>C32*'E Balans VL '!D20/100/3.6*1000000+C32*'E Balans VL '!E20/100/3.6*1000000</f>
        <v>0</v>
      </c>
      <c r="K10" s="33"/>
      <c r="L10" s="33"/>
      <c r="M10" s="33"/>
      <c r="N10" s="33">
        <f>C32*'E Balans VL '!Y20/100/3.6*1000000</f>
        <v>12.473635557707571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24.661023843551401</v>
      </c>
      <c r="C12" s="33"/>
      <c r="D12" s="37">
        <f>IF( ISERROR(IND_min_gas_kWh/1000),0,IND_min_gas_kWh/1000)*0.902</f>
        <v>0</v>
      </c>
      <c r="E12" s="33">
        <f>C34*'E Balans VL '!I22/100/3.6*1000000</f>
        <v>0.71482153541124005</v>
      </c>
      <c r="F12" s="33">
        <f>C34*'E Balans VL '!L22/100/3.6*1000000+C34*'E Balans VL '!N22/100/3.6*1000000</f>
        <v>8.4787386731932788</v>
      </c>
      <c r="G12" s="34"/>
      <c r="H12" s="33"/>
      <c r="I12" s="33"/>
      <c r="J12" s="40">
        <f>C34*'E Balans VL '!D22/100/3.6*1000000+C34*'E Balans VL '!E22/100/3.6*1000000</f>
        <v>4.0525493663639792E-2</v>
      </c>
      <c r="K12" s="33"/>
      <c r="L12" s="33"/>
      <c r="M12" s="33"/>
      <c r="N12" s="33">
        <f>C34*'E Balans VL '!Y22/100/3.6*1000000</f>
        <v>5.3987033811415994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312.33284671745099</v>
      </c>
      <c r="C15" s="33"/>
      <c r="D15" s="37">
        <f>IF( ISERROR(IND_rest_gas_kWh/1000),0,IND_rest_gas_kWh/1000)*0.902</f>
        <v>959.90632000257642</v>
      </c>
      <c r="E15" s="33">
        <f>C37*'E Balans VL '!I15/100/3.6*1000000</f>
        <v>17.245752119093314</v>
      </c>
      <c r="F15" s="33">
        <f>C37*'E Balans VL '!L15/100/3.6*1000000+C37*'E Balans VL '!N15/100/3.6*1000000</f>
        <v>61.863788652982471</v>
      </c>
      <c r="G15" s="34"/>
      <c r="H15" s="33"/>
      <c r="I15" s="33"/>
      <c r="J15" s="40">
        <f>C37*'E Balans VL '!D15/100/3.6*1000000+C37*'E Balans VL '!E15/100/3.6*1000000</f>
        <v>1.1181456520433228</v>
      </c>
      <c r="K15" s="33"/>
      <c r="L15" s="33"/>
      <c r="M15" s="33"/>
      <c r="N15" s="33">
        <f>C37*'E Balans VL '!Y15/100/3.6*1000000</f>
        <v>70.061160080240924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2298.7173664293482</v>
      </c>
      <c r="C18" s="21">
        <f>C5+C16</f>
        <v>0</v>
      </c>
      <c r="D18" s="21">
        <f>MAX((D5+D16),0)</f>
        <v>2325.0143340919803</v>
      </c>
      <c r="E18" s="21">
        <f>MAX((E5+E16),0)</f>
        <v>328.42608868034517</v>
      </c>
      <c r="F18" s="21">
        <f>MAX((F5+F16),0)</f>
        <v>985.17280064197178</v>
      </c>
      <c r="G18" s="21"/>
      <c r="H18" s="21"/>
      <c r="I18" s="21"/>
      <c r="J18" s="21">
        <f>MAX((J5+J16),0)</f>
        <v>1.1586711457069627</v>
      </c>
      <c r="K18" s="21"/>
      <c r="L18" s="21">
        <f>MAX((L5+L16),0)</f>
        <v>0</v>
      </c>
      <c r="M18" s="21"/>
      <c r="N18" s="21">
        <f>MAX((N5+N16),0)</f>
        <v>441.30867905715286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0.22866781998415228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525.6426889411108</v>
      </c>
      <c r="C22" s="23">
        <f ca="1">C18*C20</f>
        <v>0</v>
      </c>
      <c r="D22" s="23">
        <f>D18*D20</f>
        <v>469.65289548658006</v>
      </c>
      <c r="E22" s="23">
        <f>E18*E20</f>
        <v>74.552722130438354</v>
      </c>
      <c r="F22" s="23">
        <f>F18*F20</f>
        <v>263.04113777140645</v>
      </c>
      <c r="G22" s="23"/>
      <c r="H22" s="23"/>
      <c r="I22" s="23"/>
      <c r="J22" s="23">
        <f>J18*J20</f>
        <v>0.41016958558026478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743.5914806170839</v>
      </c>
      <c r="C30" s="39">
        <f>IF(ISERROR(B30*3.6/1000000/'E Balans VL '!Z18*100),0,B30*3.6/1000000/'E Balans VL '!Z18*100)</f>
        <v>4.2141235899833415E-2</v>
      </c>
      <c r="D30" s="237" t="s">
        <v>754</v>
      </c>
    </row>
    <row r="31" spans="1:18">
      <c r="A31" s="6" t="s">
        <v>33</v>
      </c>
      <c r="B31" s="37">
        <f>IF( ISERROR(IND_ander_ele_kWh/1000),0,IND_ander_ele_kWh/1000)</f>
        <v>1037.3805390402999</v>
      </c>
      <c r="C31" s="39">
        <f>IF(ISERROR(B31*3.6/1000000/'E Balans VL '!Z19*100),0,B31*3.6/1000000/'E Balans VL '!Z19*100)</f>
        <v>4.7051261673484369E-2</v>
      </c>
      <c r="D31" s="237" t="s">
        <v>754</v>
      </c>
    </row>
    <row r="32" spans="1:18">
      <c r="A32" s="171" t="s">
        <v>41</v>
      </c>
      <c r="B32" s="37">
        <f>IF( ISERROR(IND_voed_ele_kWh/1000),0,IND_voed_ele_kWh/1000)</f>
        <v>180.75147621096198</v>
      </c>
      <c r="C32" s="39">
        <f>IF(ISERROR(B32*3.6/1000000/'E Balans VL '!Z20*100),0,B32*3.6/1000000/'E Balans VL '!Z20*100)</f>
        <v>5.5914637016241482E-3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24.661023843551401</v>
      </c>
      <c r="C34" s="39">
        <f>IF(ISERROR(B34*3.6/1000000/'E Balans VL '!Z22*100),0,B34*3.6/1000000/'E Balans VL '!Z22*100)</f>
        <v>4.4357487743722675E-3</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312.33284671745099</v>
      </c>
      <c r="C37" s="39">
        <f>IF(ISERROR(B37*3.6/1000000/'E Balans VL '!Z15*100),0,B37*3.6/1000000/'E Balans VL '!Z15*100)</f>
        <v>2.4756213914519883E-3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1865.298378241986</v>
      </c>
      <c r="C5" s="17">
        <f>'Eigen informatie GS &amp; warmtenet'!B60</f>
        <v>0</v>
      </c>
      <c r="D5" s="30">
        <f>IF(ISERROR(SUM(LB_lb_gas_kWh,LB_rest_gas_kWh)/1000),0,SUM(LB_lb_gas_kWh,LB_rest_gas_kWh)/1000)*0.902</f>
        <v>11569.891862158469</v>
      </c>
      <c r="E5" s="17">
        <f>B17*'E Balans VL '!I25/3.6*1000000/100</f>
        <v>54.826816615367591</v>
      </c>
      <c r="F5" s="17">
        <f>B17*('E Balans VL '!L25/3.6*1000000+'E Balans VL '!N25/3.6*1000000)/100</f>
        <v>7770.7322483222706</v>
      </c>
      <c r="G5" s="18"/>
      <c r="H5" s="17"/>
      <c r="I5" s="17"/>
      <c r="J5" s="17">
        <f>('E Balans VL '!D25+'E Balans VL '!E25)/3.6*1000000*landbouw!B17/100</f>
        <v>270.24167726605458</v>
      </c>
      <c r="K5" s="17"/>
      <c r="L5" s="17">
        <f>L6*(-1)</f>
        <v>0</v>
      </c>
      <c r="M5" s="17"/>
      <c r="N5" s="17">
        <f>N6*(-1)</f>
        <v>0</v>
      </c>
      <c r="O5" s="17"/>
      <c r="P5" s="17"/>
      <c r="R5" s="32"/>
    </row>
    <row r="6" spans="1:18">
      <c r="A6" s="16" t="s">
        <v>488</v>
      </c>
      <c r="B6" s="17" t="s">
        <v>211</v>
      </c>
      <c r="C6" s="17">
        <f>'lokale energieproductie'!O92+'lokale energieproductie'!O61</f>
        <v>5637.8571428571431</v>
      </c>
      <c r="D6" s="310">
        <f>('lokale energieproductie'!P61+'lokale energieproductie'!P92)*(-1)</f>
        <v>-11275.714285714286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1865.298378241986</v>
      </c>
      <c r="C8" s="21">
        <f>C5+C6</f>
        <v>5637.8571428571431</v>
      </c>
      <c r="D8" s="21">
        <f>MAX((D5+D6),0)</f>
        <v>294.17757644418271</v>
      </c>
      <c r="E8" s="21">
        <f>MAX((E5+E6),0)</f>
        <v>54.826816615367591</v>
      </c>
      <c r="F8" s="21">
        <f>MAX((F5+F6),0)</f>
        <v>7770.7322483222706</v>
      </c>
      <c r="G8" s="21"/>
      <c r="H8" s="21"/>
      <c r="I8" s="21"/>
      <c r="J8" s="21">
        <f>MAX((J5+J6),0)</f>
        <v>270.24167726605458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0.22866781998415228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426.53371377256963</v>
      </c>
      <c r="C12" s="23">
        <f ca="1">C8*C10</f>
        <v>1339.8201680672271</v>
      </c>
      <c r="D12" s="23">
        <f>D8*D10</f>
        <v>59.423870441724908</v>
      </c>
      <c r="E12" s="23">
        <f>E8*E10</f>
        <v>12.445687371688443</v>
      </c>
      <c r="F12" s="23">
        <f>F8*F10</f>
        <v>2074.7855103020465</v>
      </c>
      <c r="G12" s="23"/>
      <c r="H12" s="23"/>
      <c r="I12" s="23"/>
      <c r="J12" s="23">
        <f>J8*J10</f>
        <v>95.665553752183314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0.2646916920677258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158.42615532316771</v>
      </c>
      <c r="C26" s="247">
        <f>B26*'GWP N2O_CH4'!B5</f>
        <v>3326.9492617865217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29.809297002874519</v>
      </c>
      <c r="C27" s="247">
        <f>B27*'GWP N2O_CH4'!B5</f>
        <v>625.99523706036496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1.8867081649140287</v>
      </c>
      <c r="C28" s="247">
        <f>B28*'GWP N2O_CH4'!B4</f>
        <v>584.8795311233489</v>
      </c>
      <c r="D28" s="50"/>
    </row>
    <row r="29" spans="1:4">
      <c r="A29" s="41" t="s">
        <v>277</v>
      </c>
      <c r="B29" s="247">
        <f>B34*'ha_N2O bodem landbouw'!B4</f>
        <v>12.260099131914876</v>
      </c>
      <c r="C29" s="247">
        <f>B29*'GWP N2O_CH4'!B4</f>
        <v>3800.6307308936116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2.7977123717217787E-3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2.0269688215510638E-4</v>
      </c>
      <c r="C5" s="463" t="s">
        <v>211</v>
      </c>
      <c r="D5" s="448">
        <f>SUM(D6:D11)</f>
        <v>7.165300562541894E-4</v>
      </c>
      <c r="E5" s="448">
        <f>SUM(E6:E11)</f>
        <v>1.0763109698538273E-3</v>
      </c>
      <c r="F5" s="461" t="s">
        <v>211</v>
      </c>
      <c r="G5" s="448">
        <f>SUM(G6:G11)</f>
        <v>0.4965752670645911</v>
      </c>
      <c r="H5" s="448">
        <f>SUM(H6:H11)</f>
        <v>8.257361734356751E-2</v>
      </c>
      <c r="I5" s="463" t="s">
        <v>211</v>
      </c>
      <c r="J5" s="463" t="s">
        <v>211</v>
      </c>
      <c r="K5" s="463" t="s">
        <v>211</v>
      </c>
      <c r="L5" s="463" t="s">
        <v>211</v>
      </c>
      <c r="M5" s="448">
        <f>SUM(M6:M11)</f>
        <v>3.1448824195539224E-2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4.9847763893399706E-5</v>
      </c>
      <c r="C6" s="449"/>
      <c r="D6" s="892">
        <f>vkm_2011_GW_PW*SUMIFS(TableVerdeelsleutelVkm[CNG],TableVerdeelsleutelVkm[Voertuigtype],"Lichte voertuigen")*SUMIFS(TableECFTransport[EnergieConsumptieFactor (PJ per km)],TableECFTransport[Index],CONCATENATE($A6,"_CNG_CNG"))</f>
        <v>1.4951468166611942E-4</v>
      </c>
      <c r="E6" s="892">
        <f>vkm_2011_GW_PW*SUMIFS(TableVerdeelsleutelVkm[LPG],TableVerdeelsleutelVkm[Voertuigtype],"Lichte voertuigen")*SUMIFS(TableECFTransport[EnergieConsumptieFactor (PJ per km)],TableECFTransport[Index],CONCATENATE($A6,"_LPG_LPG"))</f>
        <v>2.0425853188151899E-4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5.2811892987927649E-2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1.700557464348296E-2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3.5871702559668907E-3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4.1964482194523985E-2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1.2789921450279886E-5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2.4522627593213621E-3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3.9830357661558244E-5</v>
      </c>
      <c r="C8" s="449"/>
      <c r="D8" s="451">
        <f>vkm_2011_NGW_PW*SUMIFS(TableVerdeelsleutelVkm[CNG],TableVerdeelsleutelVkm[Voertuigtype],"Lichte voertuigen")*SUMIFS(TableECFTransport[EnergieConsumptieFactor (PJ per km)],TableECFTransport[Index],CONCATENATE($A8,"_CNG_CNG"))</f>
        <v>2.1241582004203656E-4</v>
      </c>
      <c r="E8" s="451">
        <f>vkm_2011_NGW_PW*SUMIFS(TableVerdeelsleutelVkm[LPG],TableVerdeelsleutelVkm[Voertuigtype],"Lichte voertuigen")*SUMIFS(TableECFTransport[EnergieConsumptieFactor (PJ per km)],TableECFTransport[Index],CONCATENATE($A8,"_LPG_LPG"))</f>
        <v>2.6874935259263557E-4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6.4753844795573084E-2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2.3478087713581137E-2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4.475785346740575E-3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2.5175948254727392E-2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7.2235768528891407E-6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1.4711842201814082E-3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1.1301876060014842E-4</v>
      </c>
      <c r="C10" s="449"/>
      <c r="D10" s="451">
        <f>vkm_2011_SW_PW*SUMIFS(TableVerdeelsleutelVkm[CNG],TableVerdeelsleutelVkm[Voertuigtype],"Lichte voertuigen")*SUMIFS(TableECFTransport[EnergieConsumptieFactor (PJ per km)],TableECFTransport[Index],CONCATENATE($A10,"_CNG_CNG"))</f>
        <v>3.5459955454603343E-4</v>
      </c>
      <c r="E10" s="451">
        <f>vkm_2011_SW_PW*SUMIFS(TableVerdeelsleutelVkm[LPG],TableVerdeelsleutelVkm[Voertuigtype],"Lichte voertuigen")*SUMIFS(TableECFTransport[EnergieConsumptieFactor (PJ per km)],TableECFTransport[Index],CONCATENATE($A10,"_LPG_LPG"))</f>
        <v>6.0330308537967265E-4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0.13906272808235953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4.201306598069364E-2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9.3640762386955935E-3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0.17280637074947944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5.6875507506592178E-5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1.0098345374633395E-2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56.304689487529551</v>
      </c>
      <c r="C14" s="21"/>
      <c r="D14" s="21">
        <f t="shared" ref="D14:M14" si="0">((D5)*10^9/3600)+D12</f>
        <v>199.03612673727483</v>
      </c>
      <c r="E14" s="21">
        <f t="shared" si="0"/>
        <v>298.97526940384091</v>
      </c>
      <c r="F14" s="21"/>
      <c r="G14" s="21">
        <f t="shared" si="0"/>
        <v>137937.57418460865</v>
      </c>
      <c r="H14" s="21">
        <f t="shared" si="0"/>
        <v>22937.115928768751</v>
      </c>
      <c r="I14" s="21"/>
      <c r="J14" s="21"/>
      <c r="K14" s="21"/>
      <c r="L14" s="21"/>
      <c r="M14" s="21">
        <f t="shared" si="0"/>
        <v>8735.7844987608951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0.22866781998415228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12.875070599997999</v>
      </c>
      <c r="C18" s="23"/>
      <c r="D18" s="23">
        <f t="shared" ref="D18:M18" si="1">D14*D16</f>
        <v>40.205297600929519</v>
      </c>
      <c r="E18" s="23">
        <f t="shared" si="1"/>
        <v>67.867386154671891</v>
      </c>
      <c r="F18" s="23"/>
      <c r="G18" s="23">
        <f t="shared" si="1"/>
        <v>36829.332307290511</v>
      </c>
      <c r="H18" s="23">
        <f t="shared" si="1"/>
        <v>5711.3418662634194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846</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846</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2.1641150233944599E-3</v>
      </c>
      <c r="H50" s="321">
        <f t="shared" si="2"/>
        <v>0</v>
      </c>
      <c r="I50" s="321">
        <f t="shared" si="2"/>
        <v>0</v>
      </c>
      <c r="J50" s="321">
        <f t="shared" si="2"/>
        <v>0</v>
      </c>
      <c r="K50" s="321">
        <f t="shared" si="2"/>
        <v>0</v>
      </c>
      <c r="L50" s="321">
        <f t="shared" si="2"/>
        <v>0</v>
      </c>
      <c r="M50" s="321">
        <f t="shared" si="2"/>
        <v>1.2291217967772954E-4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2.1641150233944599E-3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1.2291217967772954E-4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601.14306205401658</v>
      </c>
      <c r="H54" s="21">
        <f t="shared" si="3"/>
        <v>0</v>
      </c>
      <c r="I54" s="21">
        <f t="shared" si="3"/>
        <v>0</v>
      </c>
      <c r="J54" s="21">
        <f t="shared" si="3"/>
        <v>0</v>
      </c>
      <c r="K54" s="21">
        <f t="shared" si="3"/>
        <v>0</v>
      </c>
      <c r="L54" s="21">
        <f t="shared" si="3"/>
        <v>0</v>
      </c>
      <c r="M54" s="21">
        <f t="shared" si="3"/>
        <v>34.142272132702651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0.22866781998415228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160.50519756842243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3" t="s">
        <v>241</v>
      </c>
      <c r="B1" s="1252" t="s">
        <v>242</v>
      </c>
      <c r="C1" s="1288" t="s">
        <v>243</v>
      </c>
      <c r="D1" s="1289"/>
      <c r="E1" s="1289"/>
      <c r="F1" s="1289"/>
      <c r="G1" s="1289"/>
      <c r="H1" s="1289"/>
      <c r="I1" s="1289"/>
      <c r="J1" s="1289"/>
      <c r="K1" s="1289"/>
      <c r="L1" s="1289"/>
      <c r="M1" s="1289"/>
      <c r="N1" s="1290"/>
      <c r="O1" s="1249" t="s">
        <v>244</v>
      </c>
      <c r="P1" s="1252" t="s">
        <v>547</v>
      </c>
      <c r="Q1" s="1249"/>
      <c r="S1" s="1255"/>
      <c r="T1" s="1255"/>
      <c r="U1" s="1255"/>
    </row>
    <row r="2" spans="1:21" s="559" customFormat="1" ht="15.75" thickBot="1">
      <c r="A2" s="1244"/>
      <c r="B2" s="1244"/>
      <c r="C2" s="1284" t="s">
        <v>197</v>
      </c>
      <c r="D2" s="1285"/>
      <c r="E2" s="1285"/>
      <c r="F2" s="1285"/>
      <c r="G2" s="1286"/>
      <c r="H2" s="1287" t="s">
        <v>245</v>
      </c>
      <c r="I2" s="1265" t="s">
        <v>246</v>
      </c>
      <c r="J2" s="1265" t="s">
        <v>234</v>
      </c>
      <c r="K2" s="1265" t="s">
        <v>247</v>
      </c>
      <c r="L2" s="1265" t="s">
        <v>127</v>
      </c>
      <c r="M2" s="1265" t="s">
        <v>841</v>
      </c>
      <c r="N2" s="1261" t="s">
        <v>842</v>
      </c>
      <c r="O2" s="1250"/>
      <c r="P2" s="1253"/>
      <c r="Q2" s="1250"/>
      <c r="S2" s="1255"/>
      <c r="T2" s="1255"/>
      <c r="U2" s="1255"/>
    </row>
    <row r="3" spans="1:21" s="559" customFormat="1" ht="53.45" customHeight="1" thickBot="1">
      <c r="A3" s="1245"/>
      <c r="B3" s="1254"/>
      <c r="C3" s="560" t="s">
        <v>199</v>
      </c>
      <c r="D3" s="1006" t="s">
        <v>200</v>
      </c>
      <c r="E3" s="561" t="s">
        <v>201</v>
      </c>
      <c r="F3" s="562" t="s">
        <v>203</v>
      </c>
      <c r="G3" s="563" t="s">
        <v>204</v>
      </c>
      <c r="H3" s="1260"/>
      <c r="I3" s="1266"/>
      <c r="J3" s="1266"/>
      <c r="K3" s="1266"/>
      <c r="L3" s="1266"/>
      <c r="M3" s="1266"/>
      <c r="N3" s="1262"/>
      <c r="O3" s="1251"/>
      <c r="P3" s="1254"/>
      <c r="Q3" s="1251"/>
      <c r="S3" s="1255"/>
      <c r="T3" s="1255"/>
      <c r="U3" s="1255"/>
    </row>
    <row r="4" spans="1:21" s="559" customFormat="1" ht="15.75" thickTop="1">
      <c r="A4" s="564" t="s">
        <v>249</v>
      </c>
      <c r="B4" s="565">
        <f>IF(ISERROR(kWh_wind_land),0,kWh_wind_land)</f>
        <v>0</v>
      </c>
      <c r="C4" s="1267"/>
      <c r="D4" s="1270"/>
      <c r="E4" s="1270"/>
      <c r="F4" s="1273"/>
      <c r="G4" s="1276"/>
      <c r="H4" s="1279"/>
      <c r="I4" s="1270"/>
      <c r="J4" s="1270"/>
      <c r="K4" s="1270"/>
      <c r="L4" s="1270"/>
      <c r="M4" s="1270"/>
      <c r="N4" s="1041"/>
      <c r="O4" s="566"/>
      <c r="P4" s="1282"/>
      <c r="Q4" s="1283"/>
      <c r="S4" s="1007"/>
      <c r="T4" s="1238"/>
      <c r="U4" s="1238"/>
    </row>
    <row r="5" spans="1:21" s="559" customFormat="1">
      <c r="A5" s="567" t="s">
        <v>250</v>
      </c>
      <c r="B5" s="565">
        <f>IF(ISERROR(kWh_waterkracht),0,kWh_waterkracht)</f>
        <v>0</v>
      </c>
      <c r="C5" s="1268"/>
      <c r="D5" s="1271"/>
      <c r="E5" s="1271"/>
      <c r="F5" s="1274"/>
      <c r="G5" s="1277"/>
      <c r="H5" s="1280"/>
      <c r="I5" s="1271"/>
      <c r="J5" s="1271"/>
      <c r="K5" s="1271"/>
      <c r="L5" s="1271"/>
      <c r="M5" s="1271"/>
      <c r="N5" s="1041"/>
      <c r="O5" s="568"/>
      <c r="P5" s="1263"/>
      <c r="Q5" s="1264"/>
      <c r="S5" s="1007"/>
      <c r="T5" s="1238"/>
      <c r="U5" s="1238"/>
    </row>
    <row r="6" spans="1:21" s="559" customFormat="1">
      <c r="A6" s="567" t="s">
        <v>251</v>
      </c>
      <c r="B6" s="565">
        <f>IF(ISERROR((kWh_PV_kleiner_dan_10kW+kWh_PV_groter_dan_10kW)),0,(kWh_PV_kleiner_dan_10kW+kWh_PV_groter_dan_10kW))</f>
        <v>2819.787267464159</v>
      </c>
      <c r="C6" s="1268"/>
      <c r="D6" s="1271"/>
      <c r="E6" s="1271"/>
      <c r="F6" s="1274"/>
      <c r="G6" s="1277"/>
      <c r="H6" s="1280"/>
      <c r="I6" s="1271"/>
      <c r="J6" s="1271"/>
      <c r="K6" s="1271"/>
      <c r="L6" s="1271"/>
      <c r="M6" s="1271"/>
      <c r="N6" s="1041"/>
      <c r="O6" s="568"/>
      <c r="P6" s="1263"/>
      <c r="Q6" s="1264"/>
      <c r="S6" s="1007"/>
      <c r="T6" s="1238"/>
      <c r="U6" s="1238"/>
    </row>
    <row r="7" spans="1:21" s="559" customFormat="1">
      <c r="A7" s="567" t="s">
        <v>839</v>
      </c>
      <c r="B7" s="565"/>
      <c r="C7" s="1269"/>
      <c r="D7" s="1272"/>
      <c r="E7" s="1272"/>
      <c r="F7" s="1275"/>
      <c r="G7" s="1278"/>
      <c r="H7" s="1281"/>
      <c r="I7" s="1272"/>
      <c r="J7" s="1272"/>
      <c r="K7" s="1272"/>
      <c r="L7" s="1272"/>
      <c r="M7" s="1272"/>
      <c r="N7" s="1042"/>
      <c r="O7" s="568"/>
      <c r="P7" s="1009"/>
      <c r="Q7" s="1010"/>
      <c r="S7" s="1007"/>
      <c r="T7" s="1007"/>
      <c r="U7" s="1007"/>
    </row>
    <row r="8" spans="1:21" s="559" customFormat="1">
      <c r="A8" s="569" t="s">
        <v>252</v>
      </c>
      <c r="B8" s="1043">
        <f>N58</f>
        <v>3946.5</v>
      </c>
      <c r="C8" s="570">
        <f>B101</f>
        <v>4642.9411764705883</v>
      </c>
      <c r="D8" s="1044"/>
      <c r="E8" s="1044">
        <f>E101</f>
        <v>0</v>
      </c>
      <c r="F8" s="1045"/>
      <c r="G8" s="571"/>
      <c r="H8" s="1044">
        <f>I101</f>
        <v>0</v>
      </c>
      <c r="I8" s="1044">
        <f>G101+F101</f>
        <v>0</v>
      </c>
      <c r="J8" s="1044">
        <f>H101+D101+C101</f>
        <v>0</v>
      </c>
      <c r="K8" s="1044"/>
      <c r="L8" s="1044"/>
      <c r="M8" s="1044"/>
      <c r="N8" s="572"/>
      <c r="O8" s="573">
        <f>C8*$C$12+D8*$D$12+E8*$E$12+F8*$F$12+G8*$G$12+H8*$H$12+I8*$I$12+J8*$J$12</f>
        <v>937.87411764705894</v>
      </c>
      <c r="P8" s="1263"/>
      <c r="Q8" s="1264"/>
      <c r="S8" s="1007"/>
      <c r="T8" s="1238"/>
      <c r="U8" s="1238"/>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91"/>
      <c r="Q9" s="1292"/>
      <c r="R9" s="580"/>
      <c r="S9" s="1007"/>
      <c r="T9" s="1238"/>
      <c r="U9" s="1238"/>
    </row>
    <row r="10" spans="1:21" s="559" customFormat="1" ht="16.5" thickTop="1" thickBot="1">
      <c r="A10" s="581" t="s">
        <v>116</v>
      </c>
      <c r="B10" s="582">
        <f>SUM(B4:B9)</f>
        <v>6766.2872674641585</v>
      </c>
      <c r="C10" s="583">
        <f t="shared" ref="C10:L10" si="0">SUM(C8:C9)</f>
        <v>4642.9411764705883</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937.87411764705894</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3" t="s">
        <v>253</v>
      </c>
      <c r="B14" s="1243" t="s">
        <v>254</v>
      </c>
      <c r="C14" s="1246" t="s">
        <v>255</v>
      </c>
      <c r="D14" s="1247"/>
      <c r="E14" s="1247"/>
      <c r="F14" s="1247"/>
      <c r="G14" s="1247"/>
      <c r="H14" s="1247"/>
      <c r="I14" s="1247"/>
      <c r="J14" s="1247"/>
      <c r="K14" s="1247"/>
      <c r="L14" s="1247"/>
      <c r="M14" s="1247"/>
      <c r="N14" s="1248"/>
      <c r="O14" s="1249" t="s">
        <v>244</v>
      </c>
      <c r="P14" s="1252" t="s">
        <v>256</v>
      </c>
      <c r="Q14" s="1249"/>
      <c r="R14" s="1255"/>
      <c r="S14" s="1255"/>
      <c r="T14" s="1255"/>
    </row>
    <row r="15" spans="1:21" s="559" customFormat="1" ht="15.75" customHeight="1" thickBot="1">
      <c r="A15" s="1244"/>
      <c r="B15" s="1244"/>
      <c r="C15" s="1256" t="s">
        <v>197</v>
      </c>
      <c r="D15" s="1257"/>
      <c r="E15" s="1257"/>
      <c r="F15" s="1257"/>
      <c r="G15" s="1258"/>
      <c r="H15" s="1259" t="s">
        <v>245</v>
      </c>
      <c r="I15" s="1259" t="s">
        <v>246</v>
      </c>
      <c r="J15" s="1259" t="s">
        <v>234</v>
      </c>
      <c r="K15" s="1259" t="s">
        <v>257</v>
      </c>
      <c r="L15" s="1259" t="s">
        <v>127</v>
      </c>
      <c r="M15" s="1259" t="s">
        <v>841</v>
      </c>
      <c r="N15" s="1261" t="s">
        <v>842</v>
      </c>
      <c r="O15" s="1250"/>
      <c r="P15" s="1253"/>
      <c r="Q15" s="1250"/>
      <c r="R15" s="1255"/>
      <c r="S15" s="1255"/>
      <c r="T15" s="1255"/>
    </row>
    <row r="16" spans="1:21" s="559" customFormat="1" ht="40.700000000000003" customHeight="1" thickBot="1">
      <c r="A16" s="1245"/>
      <c r="B16" s="1245"/>
      <c r="C16" s="591" t="s">
        <v>199</v>
      </c>
      <c r="D16" s="1006" t="s">
        <v>200</v>
      </c>
      <c r="E16" s="1008" t="s">
        <v>201</v>
      </c>
      <c r="F16" s="1006" t="s">
        <v>203</v>
      </c>
      <c r="G16" s="592" t="s">
        <v>204</v>
      </c>
      <c r="H16" s="1260"/>
      <c r="I16" s="1260"/>
      <c r="J16" s="1260"/>
      <c r="K16" s="1260"/>
      <c r="L16" s="1260"/>
      <c r="M16" s="1260"/>
      <c r="N16" s="1262"/>
      <c r="O16" s="1251"/>
      <c r="P16" s="1254"/>
      <c r="Q16" s="1251"/>
      <c r="R16" s="1255"/>
      <c r="S16" s="1255"/>
      <c r="T16" s="1255"/>
    </row>
    <row r="17" spans="1:26" s="559" customFormat="1" ht="15.75" thickTop="1">
      <c r="A17" s="593" t="s">
        <v>252</v>
      </c>
      <c r="B17" s="594">
        <f>O58</f>
        <v>5637.8571428571431</v>
      </c>
      <c r="C17" s="595">
        <f>B102</f>
        <v>6632.7731092436979</v>
      </c>
      <c r="D17" s="596"/>
      <c r="E17" s="596">
        <f>E102</f>
        <v>0</v>
      </c>
      <c r="F17" s="1050"/>
      <c r="G17" s="597"/>
      <c r="H17" s="595">
        <f>I102</f>
        <v>0</v>
      </c>
      <c r="I17" s="596">
        <f>G102+F102</f>
        <v>0</v>
      </c>
      <c r="J17" s="596">
        <f>H102+D102+C102</f>
        <v>0</v>
      </c>
      <c r="K17" s="596"/>
      <c r="L17" s="596"/>
      <c r="M17" s="596"/>
      <c r="N17" s="1051"/>
      <c r="O17" s="598">
        <f>C17*$C$22+E17*$E$22+H17*$H$22+I17*$I$22+J17*$J$22+D17*$D$22+F17*$F$22+G17*$G$22+K17*$K$22+L17*$L$22</f>
        <v>1339.8201680672271</v>
      </c>
      <c r="P17" s="1241"/>
      <c r="Q17" s="1242"/>
      <c r="R17" s="1012"/>
      <c r="S17" s="1235"/>
      <c r="T17" s="1235"/>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36"/>
      <c r="Q18" s="1237"/>
      <c r="R18" s="1007"/>
      <c r="S18" s="1238"/>
      <c r="T18" s="1238"/>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39"/>
      <c r="Q19" s="1240"/>
      <c r="R19" s="1007"/>
      <c r="S19" s="1238"/>
      <c r="T19" s="1238"/>
    </row>
    <row r="20" spans="1:26" s="559" customFormat="1" ht="16.5" thickTop="1" thickBot="1">
      <c r="A20" s="581" t="s">
        <v>116</v>
      </c>
      <c r="B20" s="582">
        <f>SUM(B17:B19)</f>
        <v>5637.8571428571431</v>
      </c>
      <c r="C20" s="582">
        <f>SUM(C17:C19)</f>
        <v>6632.7731092436979</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1339.8201680672271</v>
      </c>
      <c r="P20" s="1232"/>
      <c r="Q20" s="1233"/>
      <c r="R20" s="1007"/>
      <c r="S20" s="1234"/>
      <c r="T20" s="1234"/>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42010</v>
      </c>
      <c r="C28" s="796">
        <v>9270</v>
      </c>
      <c r="D28" s="653" t="s">
        <v>878</v>
      </c>
      <c r="E28" s="652" t="s">
        <v>879</v>
      </c>
      <c r="F28" s="652" t="s">
        <v>880</v>
      </c>
      <c r="G28" s="652" t="s">
        <v>881</v>
      </c>
      <c r="H28" s="652" t="s">
        <v>882</v>
      </c>
      <c r="I28" s="652" t="s">
        <v>879</v>
      </c>
      <c r="J28" s="795">
        <v>40081</v>
      </c>
      <c r="K28" s="795">
        <v>40084</v>
      </c>
      <c r="L28" s="652" t="s">
        <v>883</v>
      </c>
      <c r="M28" s="652">
        <v>877</v>
      </c>
      <c r="N28" s="652">
        <v>3946.5</v>
      </c>
      <c r="O28" s="652">
        <v>5637.8571428571431</v>
      </c>
      <c r="P28" s="652">
        <v>11275.714285714286</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877</v>
      </c>
      <c r="N58" s="610">
        <f>SUM(N28:N57)</f>
        <v>3946.5</v>
      </c>
      <c r="O58" s="610">
        <f t="shared" ref="O58:W58" si="2">SUM(O28:O57)</f>
        <v>5637.8571428571431</v>
      </c>
      <c r="P58" s="610">
        <f t="shared" si="2"/>
        <v>11275.714285714286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877</v>
      </c>
      <c r="N61" s="615">
        <f t="shared" si="4"/>
        <v>3946.5</v>
      </c>
      <c r="O61" s="615">
        <f t="shared" si="4"/>
        <v>5637.8571428571431</v>
      </c>
      <c r="P61" s="615">
        <f t="shared" si="4"/>
        <v>11275.714285714286</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4642.9411764705883</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6632.7731092436979</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D13" sqref="D13"/>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847</v>
      </c>
      <c r="D13" s="941" t="s">
        <v>848</v>
      </c>
    </row>
    <row r="14" spans="1:4" s="7" customFormat="1">
      <c r="A14" s="889"/>
      <c r="B14" s="917"/>
      <c r="C14" s="917"/>
      <c r="D14" s="938"/>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2019-06-29T17:04:44Z</dcterms:modified>
</cp:coreProperties>
</file>