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C78" i="14"/>
  <c r="C8" i="61"/>
  <c r="C10" s="1"/>
  <c r="B78" i="14"/>
  <c r="B4" i="6" s="1"/>
  <c r="B8" i="61"/>
  <c r="B10" s="1"/>
  <c r="B90" i="14"/>
  <c r="B17" i="61"/>
  <c r="B20" s="1"/>
  <c r="H14" i="15"/>
  <c r="H16" s="1"/>
  <c r="G14"/>
  <c r="G16" s="1"/>
  <c r="H10" i="14" l="1"/>
  <c r="H16" s="1"/>
  <c r="G5" i="48"/>
  <c r="H5"/>
  <c r="I10" i="14"/>
  <c r="I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9"/>
  <c r="I25"/>
  <c r="I31"/>
  <c r="I27"/>
  <c r="I24"/>
  <c r="I28"/>
  <c r="I30"/>
  <c r="I22"/>
  <c r="I32"/>
  <c r="I26"/>
  <c r="D4"/>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15"/>
  <c r="O22"/>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15"/>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J4" i="48"/>
  <c r="K11" i="14"/>
  <c r="O11"/>
  <c r="N4" i="48"/>
  <c r="N22" s="1"/>
  <c r="M10"/>
  <c r="M28" s="1"/>
  <c r="N19" i="14"/>
  <c r="I23" i="48"/>
  <c r="I33" s="1"/>
  <c r="I15"/>
  <c r="H19" i="14"/>
  <c r="G10" i="48"/>
  <c r="E7"/>
  <c r="E25" s="1"/>
  <c r="F24" i="14"/>
  <c r="F26" s="1"/>
  <c r="P13"/>
  <c r="O8" i="48"/>
  <c r="M14" i="22"/>
  <c r="H14"/>
  <c r="I20" i="14" s="1"/>
  <c r="I22" s="1"/>
  <c r="I27" s="1"/>
  <c r="P16"/>
  <c r="P27" s="1"/>
  <c r="Q63"/>
  <c r="P33"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J5" i="48"/>
  <c r="J23" s="1"/>
  <c r="K10" i="14"/>
  <c r="R19"/>
  <c r="J22" i="48"/>
  <c r="F10" i="14"/>
  <c r="E5" i="48"/>
  <c r="E23" s="1"/>
  <c r="G28"/>
  <c r="Q10"/>
  <c r="O26"/>
  <c r="O33" s="1"/>
  <c r="O15"/>
  <c r="E22"/>
  <c r="Q4"/>
  <c r="Q7"/>
  <c r="N52" i="14"/>
  <c r="N61" s="1"/>
  <c r="M15" i="48"/>
  <c r="M27"/>
  <c r="M33" s="1"/>
  <c r="Q9"/>
  <c r="H15"/>
  <c r="H27"/>
  <c r="H33" s="1"/>
  <c r="N63" i="14"/>
  <c r="R24"/>
  <c r="R26" s="1"/>
  <c r="N18" i="16"/>
  <c r="E20" i="15"/>
  <c r="F40" i="14" s="1"/>
  <c r="F18" i="16"/>
  <c r="J18"/>
  <c r="E18"/>
  <c r="G18" i="22"/>
  <c r="H50" i="14" s="1"/>
  <c r="H52" s="1"/>
  <c r="H61" s="1"/>
  <c r="H18" i="22"/>
  <c r="I50" i="14" s="1"/>
  <c r="I52" s="1"/>
  <c r="I61" s="1"/>
  <c r="I63" s="1"/>
  <c r="F13" l="1"/>
  <c r="F16" s="1"/>
  <c r="F27" s="1"/>
  <c r="F63" s="1"/>
  <c r="E8" i="48"/>
  <c r="E26" s="1"/>
  <c r="E33" s="1"/>
  <c r="J8"/>
  <c r="J26" s="1"/>
  <c r="J33" s="1"/>
  <c r="K13" i="14"/>
  <c r="G27" i="48"/>
  <c r="G33" s="1"/>
  <c r="G15"/>
  <c r="H63" i="14"/>
  <c r="R20"/>
  <c r="R22" s="1"/>
  <c r="K16"/>
  <c r="K27" s="1"/>
  <c r="K63" s="1"/>
  <c r="F46"/>
  <c r="F61" s="1"/>
  <c r="N8" i="48"/>
  <c r="N26" s="1"/>
  <c r="O13" i="14"/>
  <c r="F8" i="48"/>
  <c r="G13" i="14"/>
  <c r="E22" i="16"/>
  <c r="F43" i="14" s="1"/>
  <c r="F22" i="16"/>
  <c r="G43" i="14" s="1"/>
  <c r="N22" i="16"/>
  <c r="O43" i="14" s="1"/>
  <c r="J22" i="16"/>
  <c r="K43" i="14" s="1"/>
  <c r="K46" s="1"/>
  <c r="K61" s="1"/>
  <c r="R13" l="1"/>
  <c r="E15" i="48"/>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<sst xmlns="http://schemas.openxmlformats.org/spreadsheetml/2006/main" count="2398" uniqueCount="889">
  <si>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</si>
  <si>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</si>
  <si>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</si>
  <si>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</si>
  <si>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</si>
  <si>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</si>
  <si>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</si>
  <si>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</si>
  <si>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</si>
  <si>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</si>
  <si>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</si>
  <si>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</si>
  <si>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</si>
  <si>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</si>
  <si>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</si>
  <si>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</si>
  <si>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</si>
  <si>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</si>
  <si>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</si>
  <si>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</si>
  <si>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</si>
  <si>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</si>
  <si>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</si>
  <si>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</si>
  <si>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</si>
  <si>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</si>
  <si>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</si>
  <si>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</si>
  <si>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</si>
  <si>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</si>
  <si>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</si>
  <si>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</si>
  <si>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</si>
  <si>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</si>
  <si>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</si>
  <si>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</si>
  <si>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</si>
  <si>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</si>
  <si>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</si>
  <si>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</si>
  <si>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</si>
  <si>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</si>
  <si>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</si>
  <si>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</si>
  <si>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</si>
  <si>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</si>
  <si>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</si>
  <si>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</si>
  <si>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</si>
  <si>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</si>
  <si>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</si>
  <si>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</si>
  <si>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</si>
  <si>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</si>
  <si>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</si>
  <si>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</si>
  <si>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</si>
  <si>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</si>
  <si>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</si>
  <si>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</si>
  <si>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</si>
  <si>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</si>
  <si>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</si>
  <si>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</si>
  <si>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</si>
  <si>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</si>
  <si>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</si>
  <si>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</si>
  <si>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</si>
  <si>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</si>
  <si>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</si>
  <si>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</si>
  <si>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</si>
  <si>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</si>
  <si>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</si>
  <si>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</si>
  <si>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</si>
  <si>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</si>
  <si>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</si>
  <si>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</si>
  <si>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</si>
  <si>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</si>
  <si>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</si>
  <si>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</si>
  <si>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</si>
  <si>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</si>
  <si>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</si>
  <si>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</si>
  <si>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</si>
  <si>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</si>
  <si>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</si>
  <si>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</si>
  <si>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</si>
  <si>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</si>
  <si>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</si>
  <si>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</si>
  <si>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</si>
  <si>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</si>
  <si>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</si>
  <si>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</si>
  <si>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</si>
  <si>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</si>
  <si>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</si>
  <si>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</si>
  <si>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</si>
  <si>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</si>
  <si>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</si>
  <si>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</si>
  <si>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</si>
  <si>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</si>
  <si>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</si>
  <si>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</si>
  <si>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</si>
  <si>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</si>
  <si>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</si>
  <si>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</si>
  <si>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</si>
  <si>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</si>
  <si>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</si>
  <si>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</si>
  <si>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</si>
  <si>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</si>
  <si>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</si>
  <si>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</si>
  <si>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</si>
  <si>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</si>
  <si>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</si>
  <si>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</si>
  <si>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</si>
  <si>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</si>
  <si>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</si>
  <si>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</si>
  <si>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</si>
  <si>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</si>
  <si>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</si>
  <si>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</si>
  <si>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</si>
  <si>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</si>
  <si>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</si>
  <si>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</si>
  <si>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</si>
  <si>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</si>
  <si>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</si>
  <si>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</si>
  <si>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</si>
  <si>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</si>
  <si>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</si>
  <si>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</si>
  <si>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</si>
  <si>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</si>
  <si>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</si>
  <si>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</si>
  <si>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</si>
  <si>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</si>
  <si>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</si>
  <si>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</si>
  <si>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</si>
  <si>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</si>
  <si>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</si>
  <si>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</si>
  <si>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</si>
  <si>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</si>
  <si>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</si>
  <si>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</si>
  <si>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</si>
  <si>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</si>
  <si>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</si>
  <si>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</si>
  <si>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</si>
  <si>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</si>
  <si>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</si>
  <si>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</si>
  <si>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</si>
  <si>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</si>
  <si>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</si>
  <si>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</si>
  <si>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</si>
  <si>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</si>
  <si>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</si>
  <si>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</si>
  <si>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</si>
  <si>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</si>
  <si>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</si>
  <si>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</si>
  <si>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</si>
  <si>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</si>
  <si>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</si>
  <si>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</si>
  <si>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</si>
  <si>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</si>
  <si>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</si>
  <si>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</si>
  <si>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</si>
  <si>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</si>
  <si>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</si>
  <si>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</si>
  <si>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</si>
  <si>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</si>
  <si>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</si>
  <si>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</si>
  <si>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</si>
  <si>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</si>
  <si>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</si>
  <si>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</si>
  <si>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</si>
  <si>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</si>
  <si>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</si>
  <si>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</si>
  <si>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</si>
  <si>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</si>
  <si>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</si>
  <si>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</si>
  <si>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</si>
  <si>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</si>
  <si>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</si>
  <si>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</si>
  <si>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</si>
  <si>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</si>
  <si>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</si>
  <si>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</si>
  <si>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</si>
  <si>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</si>
  <si>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</si>
  <si>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</si>
  <si>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</si>
  <si>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</si>
  <si>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</si>
  <si>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</si>
  <si>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</si>
  <si>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</si>
  <si>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</si>
  <si>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</si>
  <si>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</si>
  <si>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</si>
  <si>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</si>
  <si>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</si>
  <si>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</si>
  <si>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</si>
  <si>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</si>
  <si>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</si>
  <si>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</si>
  <si>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</si>
  <si>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</si>
  <si>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</si>
  <si>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</si>
  <si>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</si>
  <si>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</si>
  <si>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</si>
  <si>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</si>
  <si>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</si>
  <si>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</si>
  <si>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</si>
  <si>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</si>
  <si>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</si>
  <si>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</si>
  <si>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</si>
  <si>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</si>
  <si>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</si>
  <si>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</si>
  <si>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</si>
  <si>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</si>
  <si>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</si>
  <si>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</si>
  <si>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</si>
  <si>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</si>
  <si>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</si>
  <si>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</si>
  <si>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</si>
  <si>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</si>
  <si>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</si>
  <si>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</si>
  <si>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</si>
  <si>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</si>
  <si>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</si>
  <si>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</si>
  <si>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</si>
  <si>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</si>
  <si>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</si>
  <si>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</si>
  <si>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</si>
  <si>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</si>
  <si>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</si>
  <si>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</si>
  <si>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</si>
  <si>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</si>
  <si>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</si>
  <si>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</si>
  <si>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</si>
  <si>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</si>
  <si>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</si>
  <si>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</si>
  <si>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</si>
  <si>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</si>
  <si>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</si>
  <si>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</si>
  <si>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</si>
  <si>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</si>
  <si>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</si>
  <si>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</si>
  <si>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</si>
  <si>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</si>
  <si>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</si>
  <si>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</si>
  <si>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</si>
  <si>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</si>
  <si>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</si>
  <si>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</si>
  <si>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</si>
  <si>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</si>
  <si>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</si>
  <si>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</si>
  <si>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</si>
  <si>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</si>
  <si>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</si>
  <si>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</si>
  <si>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</si>
  <si>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</si>
  <si>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</si>
  <si>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</si>
  <si>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</si>
  <si>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</si>
  <si>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</si>
  <si>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</si>
  <si>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</si>
  <si>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</si>
  <si>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</si>
  <si>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</si>
  <si>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</si>
  <si>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</si>
  <si>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</si>
  <si>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</si>
  <si>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</si>
  <si>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</si>
  <si>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</si>
  <si>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</si>
  <si>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</si>
  <si>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</si>
  <si>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</si>
  <si>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</si>
  <si>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</si>
  <si>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</si>
  <si>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</si>
  <si>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</si>
  <si>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</si>
  <si>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</si>
  <si>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</si>
  <si>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</si>
  <si>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</si>
  <si>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</si>
  <si>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</si>
  <si>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</si>
  <si>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</si>
  <si>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</si>
  <si>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</si>
  <si>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</si>
  <si>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</si>
  <si>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</si>
  <si>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</si>
  <si>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</si>
  <si>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</si>
  <si>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</si>
  <si>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</si>
  <si>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</si>
  <si>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</si>
  <si>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</si>
  <si>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</si>
  <si>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</si>
  <si>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</si>
  <si>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</si>
  <si>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</si>
  <si>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</si>
  <si>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</si>
  <si>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</si>
  <si>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</si>
  <si>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</si>
  <si>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</si>
  <si>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</si>
  <si>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</si>
  <si>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</si>
  <si>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</si>
  <si>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</si>
  <si>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</si>
  <si>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</si>
  <si>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</si>
  <si>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</si>
  <si>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</si>
  <si>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</si>
  <si>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</si>
  <si>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</si>
  <si>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</si>
  <si>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</si>
  <si>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</si>
  <si>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</si>
  <si>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</si>
  <si>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</si>
  <si>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</si>
  <si>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</si>
  <si>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</si>
  <si>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</si>
  <si>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</si>
  <si>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</si>
  <si>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</si>
  <si>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</si>
  <si>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</si>
  <si>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</si>
  <si>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</si>
  <si>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</si>
  <si>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</si>
  <si>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</si>
  <si>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</si>
  <si>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</si>
  <si>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</si>
  <si>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</si>
  <si>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</si>
  <si>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</si>
  <si>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</si>
  <si>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</si>
  <si>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</si>
  <si>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</si>
  <si>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</si>
  <si>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</si>
  <si>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</si>
  <si>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</si>
  <si>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</si>
  <si>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</si>
  <si>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</si>
  <si>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</si>
  <si>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</si>
  <si>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</si>
  <si>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</si>
  <si>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</si>
  <si>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</si>
  <si>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</si>
  <si>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</si>
  <si>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</si>
  <si>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</si>
  <si>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</si>
  <si>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</si>
  <si>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</si>
  <si>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</si>
  <si>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</si>
  <si>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</si>
  <si>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</si>
  <si>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</si>
  <si>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</si>
  <si>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</si>
  <si>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</si>
  <si>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</si>
  <si>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</si>
  <si>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</si>
  <si>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</si>
  <si>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</si>
  <si>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</si>
  <si>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</si>
  <si>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</si>
  <si>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</si>
  <si>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</si>
  <si>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</si>
  <si>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</si>
  <si>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</si>
  <si>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</si>
  <si>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</si>
  <si>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</si>
  <si>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</si>
  <si>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</si>
  <si>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</si>
  <si>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</si>
  <si>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</si>
  <si>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</si>
  <si>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</si>
  <si>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</si>
  <si>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</si>
  <si>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</si>
  <si>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</si>
  <si>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</si>
  <si>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</si>
  <si>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</si>
  <si>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</si>
  <si>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</si>
  <si>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</si>
  <si>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</si>
  <si>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</si>
  <si>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</si>
  <si>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</si>
  <si>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</si>
  <si>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</si>
  <si>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</si>
  <si>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</si>
  <si>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</si>
  <si>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</si>
  <si>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</si>
  <si>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</si>
  <si>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</si>
  <si>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</si>
  <si>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</si>
  <si>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</si>
  <si>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</si>
  <si>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</si>
  <si>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</si>
  <si>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</si>
  <si>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</si>
  <si>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</si>
  <si>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</si>
  <si>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</si>
  <si>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</si>
  <si>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</si>
  <si>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</si>
  <si>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</si>
  <si>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</si>
  <si>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</si>
  <si>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</si>
  <si>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</si>
  <si>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</si>
  <si>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</si>
  <si>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</si>
  <si>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</si>
  <si>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</si>
  <si>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</si>
  <si>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</si>
  <si>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</si>
  <si>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</si>
  <si>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</si>
  <si>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</si>
  <si>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</si>
  <si>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</si>
  <si>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</si>
  <si>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</si>
  <si>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</si>
  <si>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</si>
  <si>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</si>
  <si>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</si>
  <si>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</si>
  <si>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</si>
  <si>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</si>
  <si>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</si>
  <si>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</si>
  <si>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</si>
  <si>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</si>
  <si>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</si>
  <si>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</si>
  <si>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</si>
  <si>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</si>
  <si>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</si>
  <si>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</si>
  <si>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</si>
  <si>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</si>
  <si>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</si>
  <si>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</si>
  <si>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</si>
  <si>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</si>
  <si>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</si>
  <si>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</si>
  <si>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</si>
  <si>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</si>
  <si>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</si>
  <si>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</si>
  <si>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</si>
  <si>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</si>
  <si>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</si>
  <si>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</si>
  <si>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</si>
  <si>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</si>
  <si>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</si>
  <si>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</si>
  <si>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</si>
  <si>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</si>
  <si>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</si>
  <si>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</si>
  <si>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</si>
  <si>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</si>
  <si>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</si>
  <si>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</si>
  <si>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</si>
  <si>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</si>
  <si>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</si>
  <si>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</si>
  <si>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</si>
  <si>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</si>
  <si>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</si>
  <si>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</si>
  <si>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</si>
  <si>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</si>
  <si>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</si>
  <si>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</si>
  <si>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</si>
  <si>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</si>
  <si>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</si>
  <si>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</si>
  <si>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</si>
  <si>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</si>
  <si>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</si>
  <si>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</si>
  <si>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</si>
  <si>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</si>
  <si>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</si>
  <si>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</si>
  <si>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</si>
  <si>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</si>
  <si>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</si>
  <si>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</si>
  <si>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</si>
  <si>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</si>
  <si>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</si>
  <si>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</si>
  <si>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</si>
  <si>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</si>
  <si>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</si>
  <si>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</si>
  <si>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</si>
  <si>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</si>
  <si>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</si>
  <si>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</si>
  <si>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</si>
  <si>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</si>
  <si>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</si>
  <si>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</si>
  <si>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</si>
  <si>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</si>
  <si>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</si>
  <si>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</si>
  <si>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</si>
  <si>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</si>
  <si>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</si>
  <si>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</si>
  <si>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</si>
  <si>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</si>
  <si>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</si>
  <si>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</si>
  <si>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</si>
  <si>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</si>
  <si>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</si>
  <si>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</si>
  <si>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</si>
  <si>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</si>
  <si>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</si>
  <si>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</si>
  <si>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</si>
  <si>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</si>
  <si>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</si>
  <si>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</si>
  <si>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</si>
  <si>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</si>
  <si>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</si>
  <si>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</si>
  <si>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</si>
  <si>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</si>
  <si>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</si>
  <si>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</si>
  <si>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</si>
  <si>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</si>
  <si>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</si>
  <si>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</si>
  <si>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</si>
  <si>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</si>
  <si>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</si>
  <si>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</si>
  <si>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</si>
  <si>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</si>
  <si>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</si>
  <si>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</si>
  <si>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</si>
  <si>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</si>
  <si>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</si>
  <si>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</si>
  <si>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</si>
  <si>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</si>
  <si>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</si>
  <si>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</si>
  <si>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</si>
  <si>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</si>
  <si>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</si>
  <si>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</si>
  <si>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</si>
  <si>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</si>
  <si>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</si>
  <si>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</si>
  <si>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</si>
  <si>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</si>
  <si>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</si>
  <si>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</si>
  <si>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</si>
  <si>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</si>
  <si>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</si>
  <si>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</si>
  <si>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</si>
  <si>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</si>
  <si>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</si>
  <si>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</si>
  <si>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</si>
  <si>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</si>
  <si>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</si>
  <si>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</si>
  <si>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</si>
  <si>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</si>
  <si>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</si>
  <si>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</si>
  <si>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</si>
  <si>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</si>
  <si>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</si>
  <si>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</si>
  <si>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</si>
  <si>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</si>
  <si>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</si>
  <si>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</si>
  <si>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</si>
  <si>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</si>
  <si>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</si>
  <si>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</si>
  <si>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</si>
  <si>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</si>
  <si>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</si>
  <si>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</si>
  <si>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</si>
  <si>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</si>
  <si>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</si>
  <si>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</si>
  <si>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</si>
  <si>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</si>
  <si>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</si>
  <si>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</si>
  <si>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</si>
  <si>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</si>
  <si>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</si>
  <si>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</si>
  <si>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</si>
  <si>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</si>
  <si>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</si>
  <si>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</si>
  <si>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</si>
  <si>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</si>
  <si>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</si>
  <si>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</si>
  <si>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</si>
  <si>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</si>
  <si>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</si>
  <si>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</si>
  <si>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</si>
  <si>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</si>
  <si>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</si>
  <si>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</si>
  <si>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</si>
  <si>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</si>
  <si>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</si>
  <si>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</si>
  <si>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</si>
  <si>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</si>
  <si>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</si>
  <si>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</si>
  <si>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</si>
  <si>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</si>
  <si>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</si>
  <si>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</si>
  <si>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</si>
  <si>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</si>
  <si>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</si>
  <si>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</si>
  <si>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</si>
  <si>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</si>
  <si>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</si>
  <si>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</si>
  <si>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</si>
  <si>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</si>
  <si>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</si>
  <si>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</si>
  <si>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</si>
  <si>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</si>
  <si>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</si>
  <si>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</si>
  <si>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</si>
  <si>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</si>
  <si>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</si>
  <si>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</si>
  <si>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</si>
  <si>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</si>
  <si>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</si>
  <si>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</si>
  <si>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</si>
  <si>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</si>
  <si>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</si>
  <si>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</si>
  <si>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</si>
  <si>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</si>
  <si>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</si>
  <si>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</si>
  <si>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</si>
  <si>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</si>
  <si>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</si>
  <si>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</si>
  <si>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</si>
  <si>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</si>
  <si>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</si>
  <si>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</si>
  <si>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</si>
  <si>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</si>
  <si>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</si>
  <si>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</si>
  <si>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</si>
  <si>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</si>
  <si>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</si>
  <si>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</si>
  <si>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</si>
  <si>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</si>
  <si>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</si>
  <si>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</si>
  <si>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</si>
  <si>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</si>
  <si>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</si>
  <si>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</si>
  <si>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</si>
  <si>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</si>
  <si>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</si>
  <si>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</si>
  <si>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</si>
  <si>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</si>
  <si>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</si>
  <si>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</si>
  <si>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</si>
  <si>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</si>
  <si>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</si>
  <si>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</si>
  <si>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</si>
  <si>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</si>
  <si>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</si>
  <si>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</si>
  <si>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</si>
  <si>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</si>
  <si>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</si>
  <si>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</si>
  <si>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</si>
  <si>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</si>
  <si>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</si>
  <si>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</si>
  <si>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</si>
  <si>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</si>
  <si>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</si>
  <si>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</si>
  <si>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</si>
  <si>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</si>
  <si>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</si>
  <si>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</si>
  <si>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</si>
  <si>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</si>
  <si>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</si>
  <si>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</si>
  <si>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</si>
  <si>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</si>
  <si>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</si>
  <si>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</si>
  <si>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</si>
  <si>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</si>
  <si>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</si>
  <si>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</si>
  <si>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</si>
  <si>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</si>
  <si>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</si>
  <si>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</si>
  <si>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</si>
  <si>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</si>
  <si>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</si>
  <si>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</si>
  <si>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</si>
  <si>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</si>
  <si>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</si>
  <si>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</si>
  <si>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</si>
  <si>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</si>
  <si>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</si>
  <si>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</si>
  <si>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</si>
  <si>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</si>
  <si>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38014</t>
  </si>
  <si>
    <t>KOKSIJDE</t>
  </si>
  <si>
    <t>Eandis (januari 2018); Infrax (juni 2018)</t>
  </si>
  <si>
    <t>MOW (september 2017)</t>
  </si>
  <si>
    <t>referentietaak LNE (2017); Jaarverslag De Lijn (2016)</t>
  </si>
  <si>
    <t>VEA (april 2018)</t>
  </si>
  <si>
    <t>VEA (januari 2017)</t>
  </si>
  <si>
    <t>VEA (juni 2018)</t>
  </si>
  <si>
    <t>Filip Dekeerle</t>
  </si>
  <si>
    <t>Witte Burg 60 , 8670 Oostduinkerke</t>
  </si>
  <si>
    <t>WKK-0427 Filip Dekeerle</t>
  </si>
  <si>
    <t>interne verbrandingsmotor</t>
  </si>
  <si>
    <t>WKK interne verbrandinsgmotor (gas)</t>
  </si>
  <si>
    <t>GASELWEST</t>
  </si>
  <si>
    <t>Domein Westhoek vzw</t>
  </si>
  <si>
    <t>Noordzeedreef 6-8 , 8670 Oostduinkerke</t>
  </si>
  <si>
    <t>WKK-0588 Domein Westhoek</t>
  </si>
  <si>
    <t>Noordzeedreef 6 , 8670 Oostduinkerke</t>
  </si>
  <si>
    <t>hotels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</si>
</sst>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169620.77731012748</c:v>
                </c:pt>
                <c:pt idx="1">
                  <c:v>130968.79572476378</c:v>
                </c:pt>
                <c:pt idx="2">
                  <c:v>2915.848</c:v>
                </c:pt>
                <c:pt idx="3">
                  <c:v>6866.3027883956229</c:v>
                </c:pt>
                <c:pt idx="4">
                  <c:v>11305.859601413207</c:v>
                </c:pt>
                <c:pt idx="5">
                  <c:v>101746.41781292758</c:v>
                </c:pt>
                <c:pt idx="6">
                  <c:v>2659.8781715743085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0393984"/>
        <c:axId val="170395520"/>
      </c:barChart>
      <c:catAx>
        <c:axId val="170393984"/>
        <c:scaling>
          <c:orientation val="minMax"/>
        </c:scaling>
        <c:axPos val="b"/>
        <c:numFmt formatCode="General" sourceLinked="0"/>
        <c:tickLblPos val="nextTo"/>
        <c:crossAx val="170395520"/>
        <c:crosses val="autoZero"/>
        <c:auto val="1"/>
        <c:lblAlgn val="ctr"/>
        <c:lblOffset val="100"/>
      </c:catAx>
      <c:valAx>
        <c:axId val="170395520"/>
        <c:scaling>
          <c:orientation val="minMax"/>
        </c:scaling>
        <c:axPos val="l"/>
        <c:majorGridlines>
          <c:spPr>
            <a:ln>
              <a:noFill/>
            </a:ln>
          </c:spPr>
        </c:majorGridlines>
        <c:numFmt formatCode="#,##0" sourceLinked="1"/>
        <c:tickLblPos val="nextTo"/>
        <c:crossAx val="17039398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169620.77731012748</c:v>
                </c:pt>
                <c:pt idx="1">
                  <c:v>130968.79572476378</c:v>
                </c:pt>
                <c:pt idx="2">
                  <c:v>2915.848</c:v>
                </c:pt>
                <c:pt idx="3">
                  <c:v>6866.3027883956229</c:v>
                </c:pt>
                <c:pt idx="4">
                  <c:v>11305.859601413207</c:v>
                </c:pt>
                <c:pt idx="5">
                  <c:v>101746.41781292758</c:v>
                </c:pt>
                <c:pt idx="6">
                  <c:v>2659.8781715743085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34691.055150045642</c:v>
                </c:pt>
                <c:pt idx="2">
                  <c:v>26236.605904108852</c:v>
                </c:pt>
                <c:pt idx="3">
                  <c:v>626.35264035811986</c:v>
                </c:pt>
                <c:pt idx="4">
                  <c:v>1771.44890795062</c:v>
                </c:pt>
                <c:pt idx="5">
                  <c:v>2276.7523225019613</c:v>
                </c:pt>
                <c:pt idx="6">
                  <c:v>25502.52819575799</c:v>
                </c:pt>
                <c:pt idx="7">
                  <c:v>620.48429098405268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0777216"/>
        <c:axId val="170779008"/>
      </c:barChart>
      <c:catAx>
        <c:axId val="170777216"/>
        <c:scaling>
          <c:orientation val="minMax"/>
        </c:scaling>
        <c:axPos val="b"/>
        <c:numFmt formatCode="General" sourceLinked="0"/>
        <c:tickLblPos val="nextTo"/>
        <c:crossAx val="170779008"/>
        <c:crosses val="autoZero"/>
        <c:auto val="1"/>
        <c:lblAlgn val="ctr"/>
        <c:lblOffset val="100"/>
      </c:catAx>
      <c:valAx>
        <c:axId val="170779008"/>
        <c:scaling>
          <c:orientation val="minMax"/>
        </c:scaling>
        <c:axPos val="l"/>
        <c:majorGridlines>
          <c:spPr>
            <a:ln>
              <a:noFill/>
            </a:ln>
          </c:spPr>
        </c:majorGridlines>
        <c:numFmt formatCode="#,##0" sourceLinked="1"/>
        <c:tickLblPos val="nextTo"/>
        <c:crossAx val="170777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34691.055150045642</c:v>
                </c:pt>
                <c:pt idx="2">
                  <c:v>26236.605904108852</c:v>
                </c:pt>
                <c:pt idx="3">
                  <c:v>626.35264035811986</c:v>
                </c:pt>
                <c:pt idx="4">
                  <c:v>1771.44890795062</c:v>
                </c:pt>
                <c:pt idx="5">
                  <c:v>2276.7523225019613</c:v>
                </c:pt>
                <c:pt idx="6">
                  <c:v>25502.52819575799</c:v>
                </c:pt>
                <c:pt idx="7">
                  <c:v>620.48429098405268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38014</v>
      </c>
      <c r="B6" s="415"/>
      <c r="C6" s="416"/>
    </row>
    <row r="7" spans="1:7" s="413" customFormat="1" ht="15.75" customHeight="1">
      <c r="A7" s="417" t="str">
        <f>txtMunicipality</f>
        <v>KOKSIJDE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0.21480977072814492</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0.21480977072814492</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38014</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11288</v>
      </c>
      <c r="C9" s="342">
        <v>11661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2153.04</v>
      </c>
    </row>
    <row r="15" spans="1:6">
      <c r="A15" s="348" t="s">
        <v>184</v>
      </c>
      <c r="B15" s="334">
        <v>7</v>
      </c>
    </row>
    <row r="16" spans="1:6">
      <c r="A16" s="348" t="s">
        <v>6</v>
      </c>
      <c r="B16" s="334">
        <v>238</v>
      </c>
    </row>
    <row r="17" spans="1:6">
      <c r="A17" s="348" t="s">
        <v>7</v>
      </c>
      <c r="B17" s="334">
        <v>170</v>
      </c>
    </row>
    <row r="18" spans="1:6">
      <c r="A18" s="348" t="s">
        <v>8</v>
      </c>
      <c r="B18" s="334">
        <v>243</v>
      </c>
    </row>
    <row r="19" spans="1:6">
      <c r="A19" s="348" t="s">
        <v>9</v>
      </c>
      <c r="B19" s="334">
        <v>242</v>
      </c>
    </row>
    <row r="20" spans="1:6">
      <c r="A20" s="348" t="s">
        <v>10</v>
      </c>
      <c r="B20" s="334">
        <v>383</v>
      </c>
    </row>
    <row r="21" spans="1:6">
      <c r="A21" s="348" t="s">
        <v>11</v>
      </c>
      <c r="B21" s="334">
        <v>6279</v>
      </c>
    </row>
    <row r="22" spans="1:6">
      <c r="A22" s="348" t="s">
        <v>12</v>
      </c>
      <c r="B22" s="334">
        <v>7427</v>
      </c>
    </row>
    <row r="23" spans="1:6">
      <c r="A23" s="348" t="s">
        <v>13</v>
      </c>
      <c r="B23" s="334">
        <v>233</v>
      </c>
    </row>
    <row r="24" spans="1:6">
      <c r="A24" s="348" t="s">
        <v>14</v>
      </c>
      <c r="B24" s="334">
        <v>91</v>
      </c>
    </row>
    <row r="25" spans="1:6">
      <c r="A25" s="348" t="s">
        <v>15</v>
      </c>
      <c r="B25" s="334">
        <v>1536</v>
      </c>
    </row>
    <row r="26" spans="1:6">
      <c r="A26" s="348" t="s">
        <v>16</v>
      </c>
      <c r="B26" s="334">
        <v>136</v>
      </c>
    </row>
    <row r="27" spans="1:6">
      <c r="A27" s="348" t="s">
        <v>17</v>
      </c>
      <c r="B27" s="334">
        <v>2</v>
      </c>
    </row>
    <row r="28" spans="1:6" s="356" customFormat="1">
      <c r="A28" s="355" t="s">
        <v>18</v>
      </c>
      <c r="B28" s="355">
        <v>278284</v>
      </c>
    </row>
    <row r="29" spans="1:6">
      <c r="A29" s="355" t="s">
        <v>744</v>
      </c>
      <c r="B29" s="355">
        <v>203</v>
      </c>
      <c r="C29" s="356"/>
      <c r="D29" s="356"/>
      <c r="E29" s="356"/>
      <c r="F29" s="356"/>
    </row>
    <row r="30" spans="1:6">
      <c r="A30" s="341" t="s">
        <v>745</v>
      </c>
      <c r="B30" s="341">
        <v>30</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1162298.8441081799</v>
      </c>
      <c r="E36" s="334">
        <v>3</v>
      </c>
      <c r="F36" s="334">
        <v>7985.9907594823999</v>
      </c>
    </row>
    <row r="37" spans="1:6">
      <c r="A37" s="348" t="s">
        <v>25</v>
      </c>
      <c r="B37" s="348" t="s">
        <v>28</v>
      </c>
      <c r="C37" s="334">
        <v>0</v>
      </c>
      <c r="D37" s="334">
        <v>0</v>
      </c>
      <c r="E37" s="334">
        <v>0</v>
      </c>
      <c r="F37" s="334">
        <v>0</v>
      </c>
    </row>
    <row r="38" spans="1:6">
      <c r="A38" s="348" t="s">
        <v>25</v>
      </c>
      <c r="B38" s="348" t="s">
        <v>29</v>
      </c>
      <c r="C38" s="334">
        <v>1</v>
      </c>
      <c r="D38" s="334">
        <v>7419.0638394492998</v>
      </c>
      <c r="E38" s="334">
        <v>1</v>
      </c>
      <c r="F38" s="334">
        <v>904.17639258780002</v>
      </c>
    </row>
    <row r="39" spans="1:6">
      <c r="A39" s="348" t="s">
        <v>30</v>
      </c>
      <c r="B39" s="348" t="s">
        <v>31</v>
      </c>
      <c r="C39" s="334">
        <v>11671</v>
      </c>
      <c r="D39" s="334">
        <v>131387939.31261399</v>
      </c>
      <c r="E39" s="334">
        <v>20600</v>
      </c>
      <c r="F39" s="334">
        <v>47049509.2433981</v>
      </c>
    </row>
    <row r="40" spans="1:6">
      <c r="A40" s="348" t="s">
        <v>30</v>
      </c>
      <c r="B40" s="348" t="s">
        <v>29</v>
      </c>
      <c r="C40" s="334">
        <v>0</v>
      </c>
      <c r="D40" s="334">
        <v>0</v>
      </c>
      <c r="E40" s="334">
        <v>0</v>
      </c>
      <c r="F40" s="334">
        <v>0</v>
      </c>
    </row>
    <row r="41" spans="1:6">
      <c r="A41" s="348" t="s">
        <v>32</v>
      </c>
      <c r="B41" s="348" t="s">
        <v>33</v>
      </c>
      <c r="C41" s="334">
        <v>203</v>
      </c>
      <c r="D41" s="334">
        <v>3221114.1034259899</v>
      </c>
      <c r="E41" s="334">
        <v>417</v>
      </c>
      <c r="F41" s="334">
        <v>1941609.41997165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14807.112034260001</v>
      </c>
      <c r="E44" s="334">
        <v>11</v>
      </c>
      <c r="F44" s="334">
        <v>122314.60210050301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90834.400500447897</v>
      </c>
      <c r="E47" s="334">
        <v>6</v>
      </c>
      <c r="F47" s="334">
        <v>33186.060691646402</v>
      </c>
    </row>
    <row r="48" spans="1:6">
      <c r="A48" s="348" t="s">
        <v>32</v>
      </c>
      <c r="B48" s="348" t="s">
        <v>29</v>
      </c>
      <c r="C48" s="334">
        <v>23</v>
      </c>
      <c r="D48" s="334">
        <v>292181.28159518901</v>
      </c>
      <c r="E48" s="334">
        <v>39</v>
      </c>
      <c r="F48" s="334">
        <v>238683.03586621699</v>
      </c>
    </row>
    <row r="49" spans="1:6">
      <c r="A49" s="348" t="s">
        <v>32</v>
      </c>
      <c r="B49" s="348" t="s">
        <v>40</v>
      </c>
      <c r="C49" s="334">
        <v>0</v>
      </c>
      <c r="D49" s="334">
        <v>0</v>
      </c>
      <c r="E49" s="334">
        <v>5</v>
      </c>
      <c r="F49" s="334">
        <v>7126.9185292170996</v>
      </c>
    </row>
    <row r="50" spans="1:6">
      <c r="A50" s="348" t="s">
        <v>32</v>
      </c>
      <c r="B50" s="348" t="s">
        <v>41</v>
      </c>
      <c r="C50" s="334">
        <v>22</v>
      </c>
      <c r="D50" s="334">
        <v>1649783.35982802</v>
      </c>
      <c r="E50" s="334">
        <v>29</v>
      </c>
      <c r="F50" s="334">
        <v>1069498.1874172899</v>
      </c>
    </row>
    <row r="51" spans="1:6">
      <c r="A51" s="348" t="s">
        <v>42</v>
      </c>
      <c r="B51" s="348" t="s">
        <v>43</v>
      </c>
      <c r="C51" s="334">
        <v>7</v>
      </c>
      <c r="D51" s="334">
        <v>38841.797425345598</v>
      </c>
      <c r="E51" s="334">
        <v>129</v>
      </c>
      <c r="F51" s="334">
        <v>1207720.9389881899</v>
      </c>
    </row>
    <row r="52" spans="1:6">
      <c r="A52" s="348" t="s">
        <v>42</v>
      </c>
      <c r="B52" s="348" t="s">
        <v>29</v>
      </c>
      <c r="C52" s="334">
        <v>8</v>
      </c>
      <c r="D52" s="334">
        <v>207222.58653328099</v>
      </c>
      <c r="E52" s="334">
        <v>10</v>
      </c>
      <c r="F52" s="334">
        <v>43110.100095607901</v>
      </c>
    </row>
    <row r="53" spans="1:6">
      <c r="A53" s="348" t="s">
        <v>44</v>
      </c>
      <c r="B53" s="348" t="s">
        <v>45</v>
      </c>
      <c r="C53" s="334">
        <v>2426</v>
      </c>
      <c r="D53" s="334">
        <v>21822711.751770299</v>
      </c>
      <c r="E53" s="334">
        <v>5651</v>
      </c>
      <c r="F53" s="334">
        <v>10332563.2424099</v>
      </c>
    </row>
    <row r="54" spans="1:6">
      <c r="A54" s="348" t="s">
        <v>46</v>
      </c>
      <c r="B54" s="348" t="s">
        <v>47</v>
      </c>
      <c r="C54" s="334">
        <v>0</v>
      </c>
      <c r="D54" s="334">
        <v>0</v>
      </c>
      <c r="E54" s="334">
        <v>1</v>
      </c>
      <c r="F54" s="334">
        <v>2915848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72</v>
      </c>
      <c r="D57" s="334">
        <v>4332108.5553393699</v>
      </c>
      <c r="E57" s="334">
        <v>167</v>
      </c>
      <c r="F57" s="334">
        <v>7883824.6546714501</v>
      </c>
    </row>
    <row r="58" spans="1:6">
      <c r="A58" s="348" t="s">
        <v>49</v>
      </c>
      <c r="B58" s="348" t="s">
        <v>51</v>
      </c>
      <c r="C58" s="334">
        <v>76</v>
      </c>
      <c r="D58" s="334">
        <v>3087609.7194160102</v>
      </c>
      <c r="E58" s="334">
        <v>141</v>
      </c>
      <c r="F58" s="334">
        <v>1394924.6281675701</v>
      </c>
    </row>
    <row r="59" spans="1:6">
      <c r="A59" s="348" t="s">
        <v>49</v>
      </c>
      <c r="B59" s="348" t="s">
        <v>52</v>
      </c>
      <c r="C59" s="334">
        <v>264</v>
      </c>
      <c r="D59" s="334">
        <v>5448241.3658232698</v>
      </c>
      <c r="E59" s="334">
        <v>531</v>
      </c>
      <c r="F59" s="334">
        <v>10059068.4912332</v>
      </c>
    </row>
    <row r="60" spans="1:6">
      <c r="A60" s="348" t="s">
        <v>49</v>
      </c>
      <c r="B60" s="348" t="s">
        <v>53</v>
      </c>
      <c r="C60" s="334">
        <v>600</v>
      </c>
      <c r="D60" s="334">
        <v>23422414.341568701</v>
      </c>
      <c r="E60" s="334">
        <v>593</v>
      </c>
      <c r="F60" s="334">
        <v>11948876.8474843</v>
      </c>
    </row>
    <row r="61" spans="1:6">
      <c r="A61" s="348" t="s">
        <v>49</v>
      </c>
      <c r="B61" s="348" t="s">
        <v>54</v>
      </c>
      <c r="C61" s="334">
        <v>843</v>
      </c>
      <c r="D61" s="334">
        <v>27164840.692097198</v>
      </c>
      <c r="E61" s="334">
        <v>2981</v>
      </c>
      <c r="F61" s="334">
        <v>13893509.4844954</v>
      </c>
    </row>
    <row r="62" spans="1:6">
      <c r="A62" s="348" t="s">
        <v>49</v>
      </c>
      <c r="B62" s="348" t="s">
        <v>55</v>
      </c>
      <c r="C62" s="334">
        <v>8</v>
      </c>
      <c r="D62" s="334">
        <v>2707390.7757923901</v>
      </c>
      <c r="E62" s="334">
        <v>8</v>
      </c>
      <c r="F62" s="334">
        <v>883725.27475588105</v>
      </c>
    </row>
    <row r="63" spans="1:6">
      <c r="A63" s="348" t="s">
        <v>49</v>
      </c>
      <c r="B63" s="348" t="s">
        <v>29</v>
      </c>
      <c r="C63" s="334">
        <v>99</v>
      </c>
      <c r="D63" s="334">
        <v>5622688.2321069697</v>
      </c>
      <c r="E63" s="334">
        <v>102</v>
      </c>
      <c r="F63" s="334">
        <v>3842541.95445944</v>
      </c>
    </row>
    <row r="64" spans="1:6">
      <c r="A64" s="348" t="s">
        <v>56</v>
      </c>
      <c r="B64" s="348" t="s">
        <v>57</v>
      </c>
      <c r="C64" s="334">
        <v>0</v>
      </c>
      <c r="D64" s="334">
        <v>0</v>
      </c>
      <c r="E64" s="334">
        <v>0</v>
      </c>
      <c r="F64" s="334">
        <v>0</v>
      </c>
    </row>
    <row r="65" spans="1:6">
      <c r="A65" s="348" t="s">
        <v>56</v>
      </c>
      <c r="B65" s="348" t="s">
        <v>29</v>
      </c>
      <c r="C65" s="334">
        <v>2</v>
      </c>
      <c r="D65" s="334">
        <v>69213.376106020907</v>
      </c>
      <c r="E65" s="334">
        <v>2</v>
      </c>
      <c r="F65" s="334">
        <v>19093.023013844198</v>
      </c>
    </row>
    <row r="66" spans="1:6">
      <c r="A66" s="348" t="s">
        <v>56</v>
      </c>
      <c r="B66" s="348" t="s">
        <v>58</v>
      </c>
      <c r="C66" s="334">
        <v>0</v>
      </c>
      <c r="D66" s="334">
        <v>0</v>
      </c>
      <c r="E66" s="334">
        <v>24</v>
      </c>
      <c r="F66" s="334">
        <v>546068.43862835399</v>
      </c>
    </row>
    <row r="67" spans="1:6">
      <c r="A67" s="355" t="s">
        <v>56</v>
      </c>
      <c r="B67" s="355" t="s">
        <v>59</v>
      </c>
      <c r="C67" s="334">
        <v>0</v>
      </c>
      <c r="D67" s="334">
        <v>0</v>
      </c>
      <c r="E67" s="334">
        <v>0</v>
      </c>
      <c r="F67" s="334">
        <v>0</v>
      </c>
    </row>
    <row r="68" spans="1:6">
      <c r="A68" s="341" t="s">
        <v>56</v>
      </c>
      <c r="B68" s="341" t="s">
        <v>60</v>
      </c>
      <c r="C68" s="334">
        <v>6</v>
      </c>
      <c r="D68" s="334">
        <v>81196.332469486704</v>
      </c>
      <c r="E68" s="334">
        <v>21</v>
      </c>
      <c r="F68" s="334">
        <v>846705.58199405298</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79788306</v>
      </c>
      <c r="E73" s="475">
        <v>91517359.836604685</v>
      </c>
    </row>
    <row r="74" spans="1:6">
      <c r="A74" s="348" t="s">
        <v>64</v>
      </c>
      <c r="B74" s="348" t="s">
        <v>657</v>
      </c>
      <c r="C74" s="1295" t="s">
        <v>659</v>
      </c>
      <c r="D74" s="475">
        <v>9533233.5</v>
      </c>
      <c r="E74" s="475">
        <v>10488950.538261123</v>
      </c>
    </row>
    <row r="75" spans="1:6">
      <c r="A75" s="348" t="s">
        <v>65</v>
      </c>
      <c r="B75" s="348" t="s">
        <v>656</v>
      </c>
      <c r="C75" s="1295" t="s">
        <v>660</v>
      </c>
      <c r="D75" s="475">
        <v>5776888</v>
      </c>
      <c r="E75" s="475">
        <v>6737600.970772231</v>
      </c>
    </row>
    <row r="76" spans="1:6">
      <c r="A76" s="348" t="s">
        <v>65</v>
      </c>
      <c r="B76" s="348" t="s">
        <v>657</v>
      </c>
      <c r="C76" s="1295" t="s">
        <v>661</v>
      </c>
      <c r="D76" s="475">
        <v>91046.5</v>
      </c>
      <c r="E76" s="475">
        <v>124725.40553353674</v>
      </c>
    </row>
    <row r="77" spans="1:6">
      <c r="A77" s="348" t="s">
        <v>66</v>
      </c>
      <c r="B77" s="348" t="s">
        <v>656</v>
      </c>
      <c r="C77" s="1295" t="s">
        <v>662</v>
      </c>
      <c r="D77" s="475">
        <v>14659546</v>
      </c>
      <c r="E77" s="475">
        <v>13985286.513891501</v>
      </c>
    </row>
    <row r="78" spans="1:6">
      <c r="A78" s="341" t="s">
        <v>66</v>
      </c>
      <c r="B78" s="341" t="s">
        <v>657</v>
      </c>
      <c r="C78" s="341" t="s">
        <v>663</v>
      </c>
      <c r="D78" s="1296">
        <v>5149933</v>
      </c>
      <c r="E78" s="1296">
        <v>5373030.847144709</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352033</v>
      </c>
      <c r="C83" s="475">
        <v>351738.10482869518</v>
      </c>
    </row>
    <row r="84" spans="1:6">
      <c r="A84" s="341" t="s">
        <v>337</v>
      </c>
      <c r="B84" s="1296">
        <v>386355</v>
      </c>
      <c r="C84" s="1296">
        <v>385129.99932499946</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3002.4368067515234</v>
      </c>
    </row>
    <row r="92" spans="1:6">
      <c r="A92" s="341" t="s">
        <v>69</v>
      </c>
      <c r="B92" s="342">
        <v>592.54313235455504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5266</v>
      </c>
    </row>
    <row r="98" spans="1:6">
      <c r="A98" s="348" t="s">
        <v>72</v>
      </c>
      <c r="B98" s="334">
        <v>0</v>
      </c>
    </row>
    <row r="99" spans="1:6">
      <c r="A99" s="348" t="s">
        <v>73</v>
      </c>
      <c r="B99" s="334">
        <v>87</v>
      </c>
    </row>
    <row r="100" spans="1:6">
      <c r="A100" s="348" t="s">
        <v>74</v>
      </c>
      <c r="B100" s="334">
        <v>1499</v>
      </c>
    </row>
    <row r="101" spans="1:6">
      <c r="A101" s="348" t="s">
        <v>75</v>
      </c>
      <c r="B101" s="334">
        <v>72</v>
      </c>
    </row>
    <row r="102" spans="1:6">
      <c r="A102" s="348" t="s">
        <v>76</v>
      </c>
      <c r="B102" s="334">
        <v>190</v>
      </c>
    </row>
    <row r="103" spans="1:6">
      <c r="A103" s="348" t="s">
        <v>77</v>
      </c>
      <c r="B103" s="334">
        <v>69</v>
      </c>
    </row>
    <row r="104" spans="1:6">
      <c r="A104" s="348" t="s">
        <v>78</v>
      </c>
      <c r="B104" s="334">
        <v>1638</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45</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188</v>
      </c>
    </row>
    <row r="130" spans="1:6">
      <c r="A130" s="348" t="s">
        <v>295</v>
      </c>
      <c r="B130" s="334">
        <v>4</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119477.65801129483</v>
      </c>
      <c r="C3" s="43" t="s">
        <v>170</v>
      </c>
      <c r="D3" s="43"/>
      <c r="E3" s="154"/>
      <c r="F3" s="43"/>
      <c r="G3" s="43"/>
      <c r="H3" s="43"/>
      <c r="I3" s="43"/>
      <c r="J3" s="43"/>
      <c r="K3" s="96"/>
    </row>
    <row r="4" spans="1:11">
      <c r="A4" s="383" t="s">
        <v>171</v>
      </c>
      <c r="B4" s="49">
        <f>IF(ISERROR('SEAP template'!B78),0,'SEAP template'!B78)</f>
        <v>3594.9799391060783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54.896470588235296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0.21480977072814492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78.423529411764719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330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2915.848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2915.848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0.21480977072814492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626.35264035811986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47049.509243398097</v>
      </c>
      <c r="C5" s="17">
        <f>IF(ISERROR('Eigen informatie GS &amp; warmtenet'!B57),0,'Eigen informatie GS &amp; warmtenet'!B57)</f>
        <v>0</v>
      </c>
      <c r="D5" s="30">
        <f>(SUM(HH_hh_gas_kWh,HH_rest_gas_kWh)/1000)*0.902</f>
        <v>118511.92125997784</v>
      </c>
      <c r="E5" s="17">
        <f>B46*B57</f>
        <v>0</v>
      </c>
      <c r="F5" s="17">
        <f>B51*B62</f>
        <v>0</v>
      </c>
      <c r="G5" s="18"/>
      <c r="H5" s="17"/>
      <c r="I5" s="17"/>
      <c r="J5" s="17">
        <f>B50*B61+C50*C61</f>
        <v>0</v>
      </c>
      <c r="K5" s="17"/>
      <c r="L5" s="17"/>
      <c r="M5" s="17"/>
      <c r="N5" s="17">
        <f>B48*B59+C48*C59</f>
        <v>0</v>
      </c>
      <c r="O5" s="17">
        <f>B69*B70*B71</f>
        <v>370.51000000000005</v>
      </c>
      <c r="P5" s="17">
        <f>B77*B78*B79/1000-B77*B78*B79/1000/B80</f>
        <v>686.4</v>
      </c>
    </row>
    <row r="6" spans="1:16">
      <c r="A6" s="16" t="s">
        <v>621</v>
      </c>
      <c r="B6" s="788">
        <f>kWh_PV_kleiner_dan_10kW</f>
        <v>3002.4368067515234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50051.946050149621</v>
      </c>
      <c r="C8" s="21">
        <f>C5</f>
        <v>0</v>
      </c>
      <c r="D8" s="21">
        <f>D5</f>
        <v>118511.92125997784</v>
      </c>
      <c r="E8" s="21">
        <f>E5</f>
        <v>0</v>
      </c>
      <c r="F8" s="21">
        <f>F5</f>
        <v>0</v>
      </c>
      <c r="G8" s="21"/>
      <c r="H8" s="21"/>
      <c r="I8" s="21"/>
      <c r="J8" s="21">
        <f>J5</f>
        <v>0</v>
      </c>
      <c r="K8" s="21"/>
      <c r="L8" s="21">
        <f>L5</f>
        <v>0</v>
      </c>
      <c r="M8" s="21">
        <f>M5</f>
        <v>0</v>
      </c>
      <c r="N8" s="21">
        <f>N5</f>
        <v>0</v>
      </c>
      <c r="O8" s="21">
        <f>O5</f>
        <v>370.51000000000005</v>
      </c>
      <c r="P8" s="21">
        <f>P5</f>
        <v>686.4</v>
      </c>
    </row>
    <row r="9" spans="1:16">
      <c r="B9" s="19"/>
      <c r="C9" s="19"/>
      <c r="D9" s="258"/>
      <c r="E9" s="19"/>
      <c r="F9" s="19"/>
      <c r="G9" s="19"/>
      <c r="H9" s="19"/>
      <c r="I9" s="19"/>
      <c r="J9" s="19"/>
      <c r="K9" s="19"/>
      <c r="L9" s="19"/>
      <c r="M9" s="19"/>
      <c r="N9" s="19"/>
      <c r="O9" s="19"/>
      <c r="P9" s="19"/>
    </row>
    <row r="10" spans="1:16">
      <c r="A10" s="24" t="s">
        <v>214</v>
      </c>
      <c r="B10" s="25">
        <f ca="1">'EF ele_warmte'!B12</f>
        <v>0.21480977072814492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10751.647055530118</v>
      </c>
      <c r="C12" s="23">
        <f ca="1">C10*C8</f>
        <v>0</v>
      </c>
      <c r="D12" s="23">
        <f>D8*D10</f>
        <v>23939.408094515526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5266</v>
      </c>
      <c r="C18" s="166" t="s">
        <v>111</v>
      </c>
      <c r="D18" s="228"/>
      <c r="E18" s="15"/>
    </row>
    <row r="19" spans="1:7">
      <c r="A19" s="171" t="s">
        <v>72</v>
      </c>
      <c r="B19" s="37">
        <f>aantalw2001_ander</f>
        <v>0</v>
      </c>
      <c r="C19" s="166" t="s">
        <v>111</v>
      </c>
      <c r="D19" s="229"/>
      <c r="E19" s="15"/>
    </row>
    <row r="20" spans="1:7">
      <c r="A20" s="171" t="s">
        <v>73</v>
      </c>
      <c r="B20" s="37">
        <f>aantalw2001_propaan</f>
        <v>87</v>
      </c>
      <c r="C20" s="167">
        <f>IF(ISERROR(B20/SUM($B$20,$B$21,$B$22)*100),0,B20/SUM($B$20,$B$21,$B$22)*100)</f>
        <v>5.2472858866103742</v>
      </c>
      <c r="D20" s="229"/>
      <c r="E20" s="15"/>
    </row>
    <row r="21" spans="1:7">
      <c r="A21" s="171" t="s">
        <v>74</v>
      </c>
      <c r="B21" s="37">
        <f>aantalw2001_elektriciteit</f>
        <v>1499</v>
      </c>
      <c r="C21" s="167">
        <f>IF(ISERROR(B21/SUM($B$20,$B$21,$B$22)*100),0,B21/SUM($B$20,$B$21,$B$22)*100)</f>
        <v>90.410132689987933</v>
      </c>
      <c r="D21" s="229"/>
      <c r="E21" s="15"/>
    </row>
    <row r="22" spans="1:7">
      <c r="A22" s="171" t="s">
        <v>75</v>
      </c>
      <c r="B22" s="37">
        <f>aantalw2001_hout</f>
        <v>72</v>
      </c>
      <c r="C22" s="167">
        <f>IF(ISERROR(B22/SUM($B$20,$B$21,$B$22)*100),0,B22/SUM($B$20,$B$21,$B$22)*100)</f>
        <v>4.3425814234016888</v>
      </c>
      <c r="D22" s="229"/>
      <c r="E22" s="15"/>
    </row>
    <row r="23" spans="1:7">
      <c r="A23" s="171" t="s">
        <v>76</v>
      </c>
      <c r="B23" s="37">
        <f>aantalw2001_niet_gespec</f>
        <v>190</v>
      </c>
      <c r="C23" s="166" t="s">
        <v>111</v>
      </c>
      <c r="D23" s="228"/>
      <c r="E23" s="15"/>
    </row>
    <row r="24" spans="1:7">
      <c r="A24" s="171" t="s">
        <v>77</v>
      </c>
      <c r="B24" s="37">
        <f>aantalw2001_steenkool</f>
        <v>69</v>
      </c>
      <c r="C24" s="166" t="s">
        <v>111</v>
      </c>
      <c r="D24" s="229"/>
      <c r="E24" s="15"/>
    </row>
    <row r="25" spans="1:7">
      <c r="A25" s="171" t="s">
        <v>78</v>
      </c>
      <c r="B25" s="37">
        <f>aantalw2001_stookolie</f>
        <v>1638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11288</v>
      </c>
      <c r="C28" s="36"/>
      <c r="D28" s="228"/>
    </row>
    <row r="29" spans="1:7" s="15" customFormat="1">
      <c r="A29" s="230" t="s">
        <v>794</v>
      </c>
      <c r="B29" s="37">
        <f>SUM(HH_hh_gas_aantal,HH_rest_gas_aantal)</f>
        <v>11671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11671</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11671</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49906.471335267248</v>
      </c>
      <c r="C5" s="17">
        <f>IF(ISERROR('Eigen informatie GS &amp; warmtenet'!B58),0,'Eigen informatie GS &amp; warmtenet'!B58)</f>
        <v>0</v>
      </c>
      <c r="D5" s="30">
        <f>SUM(D6:D12)</f>
        <v>64750.334901293805</v>
      </c>
      <c r="E5" s="17">
        <f>SUM(E6:E12)</f>
        <v>606.56936236157276</v>
      </c>
      <c r="F5" s="17">
        <f>SUM(F6:F12)</f>
        <v>8627.6991057865307</v>
      </c>
      <c r="G5" s="18"/>
      <c r="H5" s="17"/>
      <c r="I5" s="17"/>
      <c r="J5" s="17">
        <f>SUM(J6:J12)</f>
        <v>0.18043174182868688</v>
      </c>
      <c r="K5" s="17"/>
      <c r="L5" s="17"/>
      <c r="M5" s="17"/>
      <c r="N5" s="17">
        <f>SUM(N6:N12)</f>
        <v>7121.5467787889893</v>
      </c>
      <c r="O5" s="17">
        <f>B38*B39*B40</f>
        <v>6.2533333333333339</v>
      </c>
      <c r="P5" s="17">
        <f>B46*B47*B48/1000-B46*B47*B48/1000/B49</f>
        <v>38.133333333333333</v>
      </c>
      <c r="R5" s="32"/>
    </row>
    <row r="6" spans="1:18">
      <c r="A6" s="32" t="s">
        <v>54</v>
      </c>
      <c r="B6" s="37">
        <f>B26</f>
        <v>13893.5094844954</v>
      </c>
      <c r="C6" s="33"/>
      <c r="D6" s="37">
        <f>IF(ISERROR(TER_kantoor_gas_kWh/1000),0,TER_kantoor_gas_kWh/1000)*0.902</f>
        <v>24502.686304271672</v>
      </c>
      <c r="E6" s="33">
        <f>$C$26*'E Balans VL '!I12/100/3.6*1000000</f>
        <v>8.7079896539955695E-2</v>
      </c>
      <c r="F6" s="33">
        <f>$C$26*('E Balans VL '!L12+'E Balans VL '!N12)/100/3.6*1000000</f>
        <v>2087.8062538384993</v>
      </c>
      <c r="G6" s="34"/>
      <c r="H6" s="33"/>
      <c r="I6" s="33"/>
      <c r="J6" s="33">
        <f>$C$26*('E Balans VL '!D12+'E Balans VL '!E12)/100/3.6*1000000</f>
        <v>0</v>
      </c>
      <c r="K6" s="33"/>
      <c r="L6" s="33"/>
      <c r="M6" s="33"/>
      <c r="N6" s="33">
        <f>$C$26*'E Balans VL '!Y12/100/3.6*1000000</f>
        <v>13.287081883072505</v>
      </c>
      <c r="O6" s="33"/>
      <c r="P6" s="33"/>
      <c r="R6" s="32"/>
    </row>
    <row r="7" spans="1:18">
      <c r="A7" s="32" t="s">
        <v>53</v>
      </c>
      <c r="B7" s="37">
        <f t="shared" ref="B7:B12" si="0">B27</f>
        <v>11948.8768474843</v>
      </c>
      <c r="C7" s="33"/>
      <c r="D7" s="37">
        <f>IF(ISERROR(TER_horeca_gas_kWh/1000),0,TER_horeca_gas_kWh/1000)*0.902</f>
        <v>21127.017736094967</v>
      </c>
      <c r="E7" s="33">
        <f>$C$27*'E Balans VL '!I9/100/3.6*1000000</f>
        <v>171.10592615303744</v>
      </c>
      <c r="F7" s="33">
        <f>$C$27*('E Balans VL '!L9+'E Balans VL '!N9)/100/3.6*1000000</f>
        <v>1513.1218980325671</v>
      </c>
      <c r="G7" s="34"/>
      <c r="H7" s="33"/>
      <c r="I7" s="33"/>
      <c r="J7" s="33">
        <f>$C$27*('E Balans VL '!D9+'E Balans VL '!E9)/100/3.6*1000000</f>
        <v>0</v>
      </c>
      <c r="K7" s="33"/>
      <c r="L7" s="33"/>
      <c r="M7" s="33"/>
      <c r="N7" s="33">
        <f>$C$27*'E Balans VL '!Y9/100/3.6*1000000</f>
        <v>3.4350386435317195</v>
      </c>
      <c r="O7" s="33"/>
      <c r="P7" s="33"/>
      <c r="R7" s="32"/>
    </row>
    <row r="8" spans="1:18">
      <c r="A8" s="6" t="s">
        <v>52</v>
      </c>
      <c r="B8" s="37">
        <f t="shared" si="0"/>
        <v>10059.0684912332</v>
      </c>
      <c r="C8" s="33"/>
      <c r="D8" s="37">
        <f>IF(ISERROR(TER_handel_gas_kWh/1000),0,TER_handel_gas_kWh/1000)*0.902</f>
        <v>4914.3137119725898</v>
      </c>
      <c r="E8" s="33">
        <f>$C$28*'E Balans VL '!I13/100/3.6*1000000</f>
        <v>364.84117374827503</v>
      </c>
      <c r="F8" s="33">
        <f>$C$28*('E Balans VL '!L13+'E Balans VL '!N13)/100/3.6*1000000</f>
        <v>1937.4784459556979</v>
      </c>
      <c r="G8" s="34"/>
      <c r="H8" s="33"/>
      <c r="I8" s="33"/>
      <c r="J8" s="33">
        <f>$C$28*('E Balans VL '!D13+'E Balans VL '!E13)/100/3.6*1000000</f>
        <v>0</v>
      </c>
      <c r="K8" s="33"/>
      <c r="L8" s="33"/>
      <c r="M8" s="33"/>
      <c r="N8" s="33">
        <f>$C$28*'E Balans VL '!Y13/100/3.6*1000000</f>
        <v>13.934124348794725</v>
      </c>
      <c r="O8" s="33"/>
      <c r="P8" s="33"/>
      <c r="R8" s="32"/>
    </row>
    <row r="9" spans="1:18">
      <c r="A9" s="32" t="s">
        <v>51</v>
      </c>
      <c r="B9" s="37">
        <f t="shared" si="0"/>
        <v>1394.9246281675701</v>
      </c>
      <c r="C9" s="33"/>
      <c r="D9" s="37">
        <f>IF(ISERROR(TER_gezond_gas_kWh/1000),0,TER_gezond_gas_kWh/1000)*0.902</f>
        <v>2785.0239669132411</v>
      </c>
      <c r="E9" s="33">
        <f>$C$29*'E Balans VL '!I10/100/3.6*1000000</f>
        <v>8.7336054115866438E-2</v>
      </c>
      <c r="F9" s="33">
        <f>$C$29*('E Balans VL '!L10+'E Balans VL '!N10)/100/3.6*1000000</f>
        <v>207.22030065530899</v>
      </c>
      <c r="G9" s="34"/>
      <c r="H9" s="33"/>
      <c r="I9" s="33"/>
      <c r="J9" s="33">
        <f>$C$29*('E Balans VL '!D10+'E Balans VL '!E10)/100/3.6*1000000</f>
        <v>0</v>
      </c>
      <c r="K9" s="33"/>
      <c r="L9" s="33"/>
      <c r="M9" s="33"/>
      <c r="N9" s="33">
        <f>$C$29*'E Balans VL '!Y10/100/3.6*1000000</f>
        <v>21.576828747217075</v>
      </c>
      <c r="O9" s="33"/>
      <c r="P9" s="33"/>
      <c r="R9" s="32"/>
    </row>
    <row r="10" spans="1:18">
      <c r="A10" s="32" t="s">
        <v>50</v>
      </c>
      <c r="B10" s="37">
        <f t="shared" si="0"/>
        <v>7883.8246546714499</v>
      </c>
      <c r="C10" s="33"/>
      <c r="D10" s="37">
        <f>IF(ISERROR(TER_ander_gas_kWh/1000),0,TER_ander_gas_kWh/1000)*0.902</f>
        <v>3907.5619169161114</v>
      </c>
      <c r="E10" s="33">
        <f>$C$30*'E Balans VL '!I14/100/3.6*1000000</f>
        <v>9.3972372680775749</v>
      </c>
      <c r="F10" s="33">
        <f>$C$30*('E Balans VL '!L14+'E Balans VL '!N14)/100/3.6*1000000</f>
        <v>2062.7590169778227</v>
      </c>
      <c r="G10" s="34"/>
      <c r="H10" s="33"/>
      <c r="I10" s="33"/>
      <c r="J10" s="33">
        <f>$C$30*('E Balans VL '!D14+'E Balans VL '!E14)/100/3.6*1000000</f>
        <v>0.17112692951358363</v>
      </c>
      <c r="K10" s="33"/>
      <c r="L10" s="33"/>
      <c r="M10" s="33"/>
      <c r="N10" s="33">
        <f>$C$30*'E Balans VL '!Y14/100/3.6*1000000</f>
        <v>6694.7509822731599</v>
      </c>
      <c r="O10" s="33"/>
      <c r="P10" s="33"/>
      <c r="R10" s="32"/>
    </row>
    <row r="11" spans="1:18">
      <c r="A11" s="32" t="s">
        <v>55</v>
      </c>
      <c r="B11" s="37">
        <f t="shared" si="0"/>
        <v>883.72527475588106</v>
      </c>
      <c r="C11" s="33"/>
      <c r="D11" s="37">
        <f>IF(ISERROR(TER_onderwijs_gas_kWh/1000),0,TER_onderwijs_gas_kWh/1000)*0.902</f>
        <v>2442.066479764736</v>
      </c>
      <c r="E11" s="33">
        <f>$C$31*'E Balans VL '!I11/100/3.6*1000000</f>
        <v>13.333991021162966</v>
      </c>
      <c r="F11" s="33">
        <f>$C$31*('E Balans VL '!L11+'E Balans VL '!N11)/100/3.6*1000000</f>
        <v>154.84278606849833</v>
      </c>
      <c r="G11" s="34"/>
      <c r="H11" s="33"/>
      <c r="I11" s="33"/>
      <c r="J11" s="33">
        <f>$C$31*('E Balans VL '!D11+'E Balans VL '!E11)/100/3.6*1000000</f>
        <v>0</v>
      </c>
      <c r="K11" s="33"/>
      <c r="L11" s="33"/>
      <c r="M11" s="33"/>
      <c r="N11" s="33">
        <f>$C$31*'E Balans VL '!Y11/100/3.6*1000000</f>
        <v>2.4868701065169043</v>
      </c>
      <c r="O11" s="33"/>
      <c r="P11" s="33"/>
      <c r="R11" s="32"/>
    </row>
    <row r="12" spans="1:18">
      <c r="A12" s="32" t="s">
        <v>260</v>
      </c>
      <c r="B12" s="37">
        <f t="shared" si="0"/>
        <v>3842.5419544594401</v>
      </c>
      <c r="C12" s="33"/>
      <c r="D12" s="37">
        <f>IF(ISERROR(TER_rest_gas_kWh/1000),0,TER_rest_gas_kWh/1000)*0.902</f>
        <v>5071.6647853604873</v>
      </c>
      <c r="E12" s="33">
        <f>$C$32*'E Balans VL '!I8/100/3.6*1000000</f>
        <v>47.716618220363905</v>
      </c>
      <c r="F12" s="33">
        <f>$C$32*('E Balans VL '!L8+'E Balans VL '!N8)/100/3.6*1000000</f>
        <v>664.470404258136</v>
      </c>
      <c r="G12" s="34"/>
      <c r="H12" s="33"/>
      <c r="I12" s="33"/>
      <c r="J12" s="33">
        <f>$C$32*('E Balans VL '!D8+'E Balans VL '!E8)/100/3.6*1000000</f>
        <v>9.3048123151032447E-3</v>
      </c>
      <c r="K12" s="33"/>
      <c r="L12" s="33"/>
      <c r="M12" s="33"/>
      <c r="N12" s="33">
        <f>$C$32*'E Balans VL '!Y8/100/3.6*1000000</f>
        <v>372.07585278669643</v>
      </c>
      <c r="O12" s="33"/>
      <c r="P12" s="33"/>
      <c r="R12" s="32"/>
    </row>
    <row r="13" spans="1:18">
      <c r="A13" s="16" t="s">
        <v>488</v>
      </c>
      <c r="B13" s="247">
        <f ca="1">'lokale energieproductie'!N91+'lokale energieproductie'!N60</f>
        <v>206.25</v>
      </c>
      <c r="C13" s="247">
        <f ca="1">'lokale energieproductie'!O91+'lokale energieproductie'!O60</f>
        <v>294.64285714285717</v>
      </c>
      <c r="D13" s="310">
        <f ca="1">('lokale energieproductie'!P60+'lokale energieproductie'!P91)*(-1)</f>
        <v>-589.28571428571433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50112.721335267248</v>
      </c>
      <c r="C16" s="21">
        <f t="shared" ca="1" si="1"/>
        <v>294.64285714285717</v>
      </c>
      <c r="D16" s="21">
        <f t="shared" ca="1" si="1"/>
        <v>64161.049187008088</v>
      </c>
      <c r="E16" s="21">
        <f t="shared" si="1"/>
        <v>606.56936236157276</v>
      </c>
      <c r="F16" s="21">
        <f t="shared" ca="1" si="1"/>
        <v>8627.6991057865307</v>
      </c>
      <c r="G16" s="21">
        <f t="shared" si="1"/>
        <v>0</v>
      </c>
      <c r="H16" s="21">
        <f t="shared" si="1"/>
        <v>0</v>
      </c>
      <c r="I16" s="21">
        <f t="shared" si="1"/>
        <v>0</v>
      </c>
      <c r="J16" s="21">
        <f t="shared" si="1"/>
        <v>0.18043174182868688</v>
      </c>
      <c r="K16" s="21">
        <f t="shared" si="1"/>
        <v>0</v>
      </c>
      <c r="L16" s="21">
        <f t="shared" ca="1" si="1"/>
        <v>0</v>
      </c>
      <c r="M16" s="21">
        <f t="shared" si="1"/>
        <v>0</v>
      </c>
      <c r="N16" s="21">
        <f t="shared" ca="1" si="1"/>
        <v>7121.5467787889893</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0.21480977072814492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10764.702180592174</v>
      </c>
      <c r="C20" s="23">
        <f t="shared" ref="C20:P20" ca="1" si="2">C16*C18</f>
        <v>70.021008403361364</v>
      </c>
      <c r="D20" s="23">
        <f t="shared" ca="1" si="2"/>
        <v>12960.531935775634</v>
      </c>
      <c r="E20" s="23">
        <f t="shared" si="2"/>
        <v>137.69124525607702</v>
      </c>
      <c r="F20" s="23">
        <f t="shared" ca="1" si="2"/>
        <v>2303.5956612450036</v>
      </c>
      <c r="G20" s="23">
        <f t="shared" si="2"/>
        <v>0</v>
      </c>
      <c r="H20" s="23">
        <f t="shared" si="2"/>
        <v>0</v>
      </c>
      <c r="I20" s="23">
        <f t="shared" si="2"/>
        <v>0</v>
      </c>
      <c r="J20" s="23">
        <f t="shared" si="2"/>
        <v>6.3872836607355155E-2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13893.5094844954</v>
      </c>
      <c r="C26" s="39">
        <f>IF(ISERROR(B26*3.6/1000000/'E Balans VL '!Z12*100),0,B26*3.6/1000000/'E Balans VL '!Z12*100)</f>
        <v>0.29368678140542304</v>
      </c>
      <c r="D26" s="237" t="s">
        <v>754</v>
      </c>
      <c r="F26" s="6"/>
    </row>
    <row r="27" spans="1:18">
      <c r="A27" s="231" t="s">
        <v>53</v>
      </c>
      <c r="B27" s="33">
        <f>IF(ISERROR(TER_horeca_ele_kWh/1000),0,TER_horeca_ele_kWh/1000)</f>
        <v>11948.8768474843</v>
      </c>
      <c r="C27" s="39">
        <f>IF(ISERROR(B27*3.6/1000000/'E Balans VL '!Z9*100),0,B27*3.6/1000000/'E Balans VL '!Z9*100)</f>
        <v>0.94192550831342314</v>
      </c>
      <c r="D27" s="237" t="s">
        <v>754</v>
      </c>
      <c r="F27" s="6"/>
    </row>
    <row r="28" spans="1:18">
      <c r="A28" s="171" t="s">
        <v>52</v>
      </c>
      <c r="B28" s="33">
        <f>IF(ISERROR(TER_handel_ele_kWh/1000),0,TER_handel_ele_kWh/1000)</f>
        <v>10059.0684912332</v>
      </c>
      <c r="C28" s="39">
        <f>IF(ISERROR(B28*3.6/1000000/'E Balans VL '!Z13*100),0,B28*3.6/1000000/'E Balans VL '!Z13*100)</f>
        <v>0.29195481080660973</v>
      </c>
      <c r="D28" s="237" t="s">
        <v>754</v>
      </c>
      <c r="F28" s="6"/>
    </row>
    <row r="29" spans="1:18">
      <c r="A29" s="231" t="s">
        <v>51</v>
      </c>
      <c r="B29" s="33">
        <f>IF(ISERROR(TER_gezond_ele_kWh/1000),0,TER_gezond_ele_kWh/1000)</f>
        <v>1394.9246281675701</v>
      </c>
      <c r="C29" s="39">
        <f>IF(ISERROR(B29*3.6/1000000/'E Balans VL '!Z10*100),0,B29*3.6/1000000/'E Balans VL '!Z10*100)</f>
        <v>0.14690846861305015</v>
      </c>
      <c r="D29" s="237" t="s">
        <v>754</v>
      </c>
      <c r="F29" s="6"/>
    </row>
    <row r="30" spans="1:18">
      <c r="A30" s="231" t="s">
        <v>50</v>
      </c>
      <c r="B30" s="33">
        <f>IF(ISERROR(TER_ander_ele_kWh/1000),0,TER_ander_ele_kWh/1000)</f>
        <v>7883.8246546714499</v>
      </c>
      <c r="C30" s="39">
        <f>IF(ISERROR(B30*3.6/1000000/'E Balans VL '!Z14*100),0,B30*3.6/1000000/'E Balans VL '!Z14*100)</f>
        <v>0.5815126188867632</v>
      </c>
      <c r="D30" s="237" t="s">
        <v>754</v>
      </c>
      <c r="F30" s="6"/>
    </row>
    <row r="31" spans="1:18">
      <c r="A31" s="231" t="s">
        <v>55</v>
      </c>
      <c r="B31" s="33">
        <f>IF(ISERROR(TER_onderwijs_ele_kWh/1000),0,TER_onderwijs_ele_kWh/1000)</f>
        <v>883.72527475588106</v>
      </c>
      <c r="C31" s="39">
        <f>IF(ISERROR(B31*3.6/1000000/'E Balans VL '!Z11*100),0,B31*3.6/1000000/'E Balans VL '!Z11*100)</f>
        <v>0.21947038185165818</v>
      </c>
      <c r="D31" s="237" t="s">
        <v>754</v>
      </c>
    </row>
    <row r="32" spans="1:18">
      <c r="A32" s="231" t="s">
        <v>260</v>
      </c>
      <c r="B32" s="33">
        <f>IF(ISERROR(TER_rest_ele_kWh/1000),0,TER_rest_ele_kWh/1000)</f>
        <v>3842.5419544594401</v>
      </c>
      <c r="C32" s="39">
        <f>IF(ISERROR(B32*3.6/1000000/'E Balans VL '!Z8*100),0,B32*3.6/1000000/'E Balans VL '!Z8*100)</f>
        <v>3.1619019829231453E-2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3412.4182245765237</v>
      </c>
      <c r="C5" s="17">
        <f>IF(ISERROR('Eigen informatie GS &amp; warmtenet'!B59),0,'Eigen informatie GS &amp; warmtenet'!B59)</f>
        <v>0</v>
      </c>
      <c r="D5" s="30">
        <f>SUM(D6:D15)</f>
        <v>4752.3856721602842</v>
      </c>
      <c r="E5" s="17">
        <f>SUM(E6:E15)</f>
        <v>584.20469501993307</v>
      </c>
      <c r="F5" s="17">
        <f>SUM(F6:F15)</f>
        <v>1688.5051363678958</v>
      </c>
      <c r="G5" s="18"/>
      <c r="H5" s="17"/>
      <c r="I5" s="17"/>
      <c r="J5" s="17">
        <f>SUM(J6:J15)</f>
        <v>0.8596132655489801</v>
      </c>
      <c r="K5" s="17"/>
      <c r="L5" s="17"/>
      <c r="M5" s="17"/>
      <c r="N5" s="17">
        <f>SUM(N6:N15)</f>
        <v>867.48626002302092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122.31460210050301</v>
      </c>
      <c r="C8" s="33"/>
      <c r="D8" s="37">
        <f>IF( ISERROR(IND_metaal_Gas_kWH/1000),0,IND_metaal_Gas_kWH/1000)*0.902</f>
        <v>13.356015054902521</v>
      </c>
      <c r="E8" s="33">
        <f>C30*'E Balans VL '!I18/100/3.6*1000000</f>
        <v>1.1245646337479724</v>
      </c>
      <c r="F8" s="33">
        <f>C30*'E Balans VL '!L18/100/3.6*1000000+C30*'E Balans VL '!N18/100/3.6*1000000</f>
        <v>11.469037411709891</v>
      </c>
      <c r="G8" s="34"/>
      <c r="H8" s="33"/>
      <c r="I8" s="33"/>
      <c r="J8" s="40">
        <f>C30*'E Balans VL '!D18/100/3.6*1000000+C30*'E Balans VL '!E18/100/3.6*1000000</f>
        <v>0</v>
      </c>
      <c r="K8" s="33"/>
      <c r="L8" s="33"/>
      <c r="M8" s="33"/>
      <c r="N8" s="33">
        <f>C30*'E Balans VL '!Y18/100/3.6*1000000</f>
        <v>1.7450199323556952</v>
      </c>
      <c r="O8" s="33"/>
      <c r="P8" s="33"/>
      <c r="R8" s="32"/>
    </row>
    <row r="9" spans="1:18">
      <c r="A9" s="6" t="s">
        <v>33</v>
      </c>
      <c r="B9" s="37">
        <f t="shared" si="0"/>
        <v>1941.6094199716499</v>
      </c>
      <c r="C9" s="33"/>
      <c r="D9" s="37">
        <f>IF( ISERROR(IND_andere_gas_kWh/1000),0,IND_andere_gas_kWh/1000)*0.902</f>
        <v>2905.4449212902432</v>
      </c>
      <c r="E9" s="33">
        <f>C31*'E Balans VL '!I19/100/3.6*1000000</f>
        <v>567.57023213479181</v>
      </c>
      <c r="F9" s="33">
        <f>C31*'E Balans VL '!L19/100/3.6*1000000+C31*'E Balans VL '!N19/100/3.6*1000000</f>
        <v>1560.2301352761758</v>
      </c>
      <c r="G9" s="34"/>
      <c r="H9" s="33"/>
      <c r="I9" s="33"/>
      <c r="J9" s="40">
        <f>C31*'E Balans VL '!D19/100/3.6*1000000+C31*'E Balans VL '!E19/100/3.6*1000000</f>
        <v>0</v>
      </c>
      <c r="K9" s="33"/>
      <c r="L9" s="33"/>
      <c r="M9" s="33"/>
      <c r="N9" s="33">
        <f>C31*'E Balans VL '!Y19/100/3.6*1000000</f>
        <v>641.53786458577827</v>
      </c>
      <c r="O9" s="33"/>
      <c r="P9" s="33"/>
      <c r="R9" s="32"/>
    </row>
    <row r="10" spans="1:18">
      <c r="A10" s="6" t="s">
        <v>41</v>
      </c>
      <c r="B10" s="37">
        <f t="shared" si="0"/>
        <v>1069.49818741729</v>
      </c>
      <c r="C10" s="33"/>
      <c r="D10" s="37">
        <f>IF( ISERROR(IND_voed_gas_kWh/1000),0,IND_voed_gas_kWh/1000)*0.902</f>
        <v>1488.1045905648739</v>
      </c>
      <c r="E10" s="33">
        <f>C32*'E Balans VL '!I20/100/3.6*1000000</f>
        <v>2.2625399982470764</v>
      </c>
      <c r="F10" s="33">
        <f>C32*'E Balans VL '!L20/100/3.6*1000000+C32*'E Balans VL '!N20/100/3.6*1000000</f>
        <v>67.999787216353823</v>
      </c>
      <c r="G10" s="34"/>
      <c r="H10" s="33"/>
      <c r="I10" s="33"/>
      <c r="J10" s="40">
        <f>C32*'E Balans VL '!D20/100/3.6*1000000+C32*'E Balans VL '!E20/100/3.6*1000000</f>
        <v>0</v>
      </c>
      <c r="K10" s="33"/>
      <c r="L10" s="33"/>
      <c r="M10" s="33"/>
      <c r="N10" s="33">
        <f>C32*'E Balans VL '!Y20/100/3.6*1000000</f>
        <v>73.805928997790616</v>
      </c>
      <c r="O10" s="33"/>
      <c r="P10" s="33"/>
      <c r="R10" s="32"/>
    </row>
    <row r="11" spans="1:18">
      <c r="A11" s="6" t="s">
        <v>40</v>
      </c>
      <c r="B11" s="37">
        <f t="shared" si="0"/>
        <v>7.1269185292170993</v>
      </c>
      <c r="C11" s="33"/>
      <c r="D11" s="37">
        <f>IF( ISERROR(IND_textiel_gas_kWh/1000),0,IND_textiel_gas_kWh/1000)*0.902</f>
        <v>0</v>
      </c>
      <c r="E11" s="33">
        <f>C33*'E Balans VL '!I21/100/3.6*1000000</f>
        <v>2.1166333573272481E-2</v>
      </c>
      <c r="F11" s="33">
        <f>C33*'E Balans VL '!L21/100/3.6*1000000+C33*'E Balans VL '!N21/100/3.6*1000000</f>
        <v>0.72001443470331883</v>
      </c>
      <c r="G11" s="34"/>
      <c r="H11" s="33"/>
      <c r="I11" s="33"/>
      <c r="J11" s="40">
        <f>C33*'E Balans VL '!D21/100/3.6*1000000+C33*'E Balans VL '!E21/100/3.6*1000000</f>
        <v>0</v>
      </c>
      <c r="K11" s="33"/>
      <c r="L11" s="33"/>
      <c r="M11" s="33"/>
      <c r="N11" s="33">
        <f>C33*'E Balans VL '!Y21/100/3.6*1000000</f>
        <v>0.3930723014080697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33.186060691646404</v>
      </c>
      <c r="C13" s="33"/>
      <c r="D13" s="37">
        <f>IF( ISERROR(IND_papier_gas_kWh/1000),0,IND_papier_gas_kWh/1000)*0.902</f>
        <v>81.932629251404009</v>
      </c>
      <c r="E13" s="33">
        <f>C35*'E Balans VL '!I23/100/3.6*1000000</f>
        <v>4.7083430528283919E-2</v>
      </c>
      <c r="F13" s="33">
        <f>C35*'E Balans VL '!L23/100/3.6*1000000+C35*'E Balans VL '!N23/100/3.6*1000000</f>
        <v>0.81019652911689832</v>
      </c>
      <c r="G13" s="34"/>
      <c r="H13" s="33"/>
      <c r="I13" s="33"/>
      <c r="J13" s="40">
        <f>C35*'E Balans VL '!D23/100/3.6*1000000+C35*'E Balans VL '!E23/100/3.6*1000000</f>
        <v>5.1325358556871545E-3</v>
      </c>
      <c r="K13" s="33"/>
      <c r="L13" s="33"/>
      <c r="M13" s="33"/>
      <c r="N13" s="33">
        <f>C35*'E Balans VL '!Y23/100/3.6*1000000</f>
        <v>96.464022750470747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238.68303586621698</v>
      </c>
      <c r="C15" s="33"/>
      <c r="D15" s="37">
        <f>IF( ISERROR(IND_rest_gas_kWh/1000),0,IND_rest_gas_kWh/1000)*0.902</f>
        <v>263.54751599886049</v>
      </c>
      <c r="E15" s="33">
        <f>C37*'E Balans VL '!I15/100/3.6*1000000</f>
        <v>13.179108489044641</v>
      </c>
      <c r="F15" s="33">
        <f>C37*'E Balans VL '!L15/100/3.6*1000000+C37*'E Balans VL '!N15/100/3.6*1000000</f>
        <v>47.275965499836317</v>
      </c>
      <c r="G15" s="34"/>
      <c r="H15" s="33"/>
      <c r="I15" s="33"/>
      <c r="J15" s="40">
        <f>C37*'E Balans VL '!D15/100/3.6*1000000+C37*'E Balans VL '!E15/100/3.6*1000000</f>
        <v>0.85448072969329292</v>
      </c>
      <c r="K15" s="33"/>
      <c r="L15" s="33"/>
      <c r="M15" s="33"/>
      <c r="N15" s="33">
        <f>C37*'E Balans VL '!Y15/100/3.6*1000000</f>
        <v>53.540351455217525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3412.4182245765237</v>
      </c>
      <c r="C18" s="21">
        <f>C5+C16</f>
        <v>0</v>
      </c>
      <c r="D18" s="21">
        <f>MAX((D5+D16),0)</f>
        <v>4752.3856721602842</v>
      </c>
      <c r="E18" s="21">
        <f>MAX((E5+E16),0)</f>
        <v>584.20469501993307</v>
      </c>
      <c r="F18" s="21">
        <f>MAX((F5+F16),0)</f>
        <v>1688.5051363678958</v>
      </c>
      <c r="G18" s="21"/>
      <c r="H18" s="21"/>
      <c r="I18" s="21"/>
      <c r="J18" s="21">
        <f>MAX((J5+J16),0)</f>
        <v>0.8596132655489801</v>
      </c>
      <c r="K18" s="21"/>
      <c r="L18" s="21">
        <f>MAX((L5+L16),0)</f>
        <v>0</v>
      </c>
      <c r="M18" s="21"/>
      <c r="N18" s="21">
        <f>MAX((N5+N16),0)</f>
        <v>867.48626002302092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0.21480977072814492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733.02077644982637</v>
      </c>
      <c r="C22" s="23">
        <f ca="1">C18*C20</f>
        <v>0</v>
      </c>
      <c r="D22" s="23">
        <f>D18*D20</f>
        <v>959.98190577637752</v>
      </c>
      <c r="E22" s="23">
        <f>E18*E20</f>
        <v>132.6144657695248</v>
      </c>
      <c r="F22" s="23">
        <f>F18*F20</f>
        <v>450.83087141022821</v>
      </c>
      <c r="G22" s="23"/>
      <c r="H22" s="23"/>
      <c r="I22" s="23"/>
      <c r="J22" s="23">
        <f>J18*J20</f>
        <v>0.30430309600433891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122.31460210050301</v>
      </c>
      <c r="C30" s="39">
        <f>IF(ISERROR(B30*3.6/1000000/'E Balans VL '!Z18*100),0,B30*3.6/1000000/'E Balans VL '!Z18*100)</f>
        <v>6.9318821361885477E-3</v>
      </c>
      <c r="D30" s="237" t="s">
        <v>754</v>
      </c>
    </row>
    <row r="31" spans="1:18">
      <c r="A31" s="6" t="s">
        <v>33</v>
      </c>
      <c r="B31" s="37">
        <f>IF( ISERROR(IND_ander_ele_kWh/1000),0,IND_ander_ele_kWh/1000)</f>
        <v>1941.6094199716499</v>
      </c>
      <c r="C31" s="39">
        <f>IF(ISERROR(B31*3.6/1000000/'E Balans VL '!Z19*100),0,B31*3.6/1000000/'E Balans VL '!Z19*100)</f>
        <v>8.8063318569001375E-2</v>
      </c>
      <c r="D31" s="237" t="s">
        <v>754</v>
      </c>
    </row>
    <row r="32" spans="1:18">
      <c r="A32" s="171" t="s">
        <v>41</v>
      </c>
      <c r="B32" s="37">
        <f>IF( ISERROR(IND_voed_ele_kWh/1000),0,IND_voed_ele_kWh/1000)</f>
        <v>1069.49818741729</v>
      </c>
      <c r="C32" s="39">
        <f>IF(ISERROR(B32*3.6/1000000/'E Balans VL '!Z20*100),0,B32*3.6/1000000/'E Balans VL '!Z20*100)</f>
        <v>3.3084434048643883E-2</v>
      </c>
      <c r="D32" s="237" t="s">
        <v>754</v>
      </c>
    </row>
    <row r="33" spans="1:5">
      <c r="A33" s="171" t="s">
        <v>40</v>
      </c>
      <c r="B33" s="37">
        <f>IF( ISERROR(IND_textiel_ele_kWh/1000),0,IND_textiel_ele_kWh/1000)</f>
        <v>7.1269185292170993</v>
      </c>
      <c r="C33" s="39">
        <f>IF(ISERROR(B33*3.6/1000000/'E Balans VL '!Z21*100),0,B33*3.6/1000000/'E Balans VL '!Z21*100)</f>
        <v>9.2927095647657779E-4</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33.186060691646404</v>
      </c>
      <c r="C35" s="39">
        <f>IF(ISERROR(B35*3.6/1000000/'E Balans VL '!Z22*100),0,B35*3.6/1000000/'E Balans VL '!Z22*100)</f>
        <v>5.9691369252581443E-3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238.68303586621698</v>
      </c>
      <c r="C37" s="39">
        <f>IF(ISERROR(B37*3.6/1000000/'E Balans VL '!Z15*100),0,B37*3.6/1000000/'E Balans VL '!Z15*100)</f>
        <v>1.8918561898859487E-3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1250.8310390837978</v>
      </c>
      <c r="C5" s="17">
        <f>'Eigen informatie GS &amp; warmtenet'!B60</f>
        <v>0</v>
      </c>
      <c r="D5" s="30">
        <f>IF(ISERROR(SUM(LB_lb_gas_kWh,LB_rest_gas_kWh)/1000),0,SUM(LB_lb_gas_kWh,LB_rest_gas_kWh)/1000)*0.902</f>
        <v>221.95007433068119</v>
      </c>
      <c r="E5" s="17">
        <f>B17*'E Balans VL '!I25/3.6*1000000/100</f>
        <v>36.765744717631584</v>
      </c>
      <c r="F5" s="17">
        <f>B17*('E Balans VL '!L25/3.6*1000000+'E Balans VL '!N25/3.6*1000000)/100</f>
        <v>5210.8945174614619</v>
      </c>
      <c r="G5" s="18"/>
      <c r="H5" s="17"/>
      <c r="I5" s="17"/>
      <c r="J5" s="17">
        <f>('E Balans VL '!D25+'E Balans VL '!E25)/3.6*1000000*landbouw!B17/100</f>
        <v>181.21855565919276</v>
      </c>
      <c r="K5" s="17"/>
      <c r="L5" s="17">
        <f>L6*(-1)</f>
        <v>0</v>
      </c>
      <c r="M5" s="17"/>
      <c r="N5" s="17">
        <f>N6*(-1)</f>
        <v>0</v>
      </c>
      <c r="O5" s="17"/>
      <c r="P5" s="17"/>
      <c r="R5" s="32"/>
    </row>
    <row r="6" spans="1:18">
      <c r="A6" s="16" t="s">
        <v>488</v>
      </c>
      <c r="B6" s="17" t="s">
        <v>211</v>
      </c>
      <c r="C6" s="17">
        <f>'lokale energieproductie'!O92+'lokale energieproductie'!O61</f>
        <v>35.357142857142861</v>
      </c>
      <c r="D6" s="310">
        <f>('lokale energieproductie'!P61+'lokale energieproductie'!P92)*(-1)</f>
        <v>-70.714285714285722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1250.8310390837978</v>
      </c>
      <c r="C8" s="21">
        <f>C5+C6</f>
        <v>35.357142857142861</v>
      </c>
      <c r="D8" s="21">
        <f>MAX((D5+D6),0)</f>
        <v>151.23578861639547</v>
      </c>
      <c r="E8" s="21">
        <f>MAX((E5+E6),0)</f>
        <v>36.765744717631584</v>
      </c>
      <c r="F8" s="21">
        <f>MAX((F5+F6),0)</f>
        <v>5210.8945174614619</v>
      </c>
      <c r="G8" s="21"/>
      <c r="H8" s="21"/>
      <c r="I8" s="21"/>
      <c r="J8" s="21">
        <f>MAX((J5+J6),0)</f>
        <v>181.21855565919276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0.21480977072814492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268.69072872523788</v>
      </c>
      <c r="C12" s="23">
        <f ca="1">C8*C10</f>
        <v>8.4025210084033635</v>
      </c>
      <c r="D12" s="23">
        <f>D8*D10</f>
        <v>30.549629300511885</v>
      </c>
      <c r="E12" s="23">
        <f>E8*E10</f>
        <v>8.3458240509023707</v>
      </c>
      <c r="F12" s="23">
        <f>F8*F10</f>
        <v>1391.3088361622104</v>
      </c>
      <c r="G12" s="23"/>
      <c r="H12" s="23"/>
      <c r="I12" s="23"/>
      <c r="J12" s="23">
        <f>J8*J10</f>
        <v>64.151368703354237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0.17749684880869515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117.72379362743628</v>
      </c>
      <c r="C26" s="247">
        <f>B26*'GWP N2O_CH4'!B5</f>
        <v>2472.1996661761618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86.015313189442537</v>
      </c>
      <c r="C27" s="247">
        <f>B27*'GWP N2O_CH4'!B5</f>
        <v>1806.3215769782933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1.9141541256401389</v>
      </c>
      <c r="C28" s="247">
        <f>B28*'GWP N2O_CH4'!B4</f>
        <v>593.38777894844304</v>
      </c>
      <c r="D28" s="50"/>
    </row>
    <row r="29" spans="1:4">
      <c r="A29" s="41" t="s">
        <v>277</v>
      </c>
      <c r="B29" s="247">
        <f>B34*'ha_N2O bodem landbouw'!B4</f>
        <v>14.008195798561847</v>
      </c>
      <c r="C29" s="247">
        <f>B29*'GWP N2O_CH4'!B4</f>
        <v>4342.5406975541728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3.1966220068415049E-3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1.4194348130787122E-4</v>
      </c>
      <c r="C5" s="463" t="s">
        <v>211</v>
      </c>
      <c r="D5" s="448">
        <f>SUM(D6:D11)</f>
        <v>4.4770850960350046E-4</v>
      </c>
      <c r="E5" s="448">
        <f>SUM(E6:E11)</f>
        <v>6.2906624871750965E-4</v>
      </c>
      <c r="F5" s="461" t="s">
        <v>211</v>
      </c>
      <c r="G5" s="448">
        <f>SUM(G6:G11)</f>
        <v>0.29518049009066072</v>
      </c>
      <c r="H5" s="448">
        <f>SUM(H6:H11)</f>
        <v>5.1133271672479837E-2</v>
      </c>
      <c r="I5" s="463" t="s">
        <v>211</v>
      </c>
      <c r="J5" s="463" t="s">
        <v>211</v>
      </c>
      <c r="K5" s="463" t="s">
        <v>211</v>
      </c>
      <c r="L5" s="463" t="s">
        <v>211</v>
      </c>
      <c r="M5" s="448">
        <f>SUM(M6:M11)</f>
        <v>1.8754624123769836E-2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1.1300034224381835E-4</v>
      </c>
      <c r="C6" s="449"/>
      <c r="D6" s="892">
        <f>vkm_2011_GW_PW*SUMIFS(TableVerdeelsleutelVkm[CNG],TableVerdeelsleutelVkm[Voertuigtype],"Lichte voertuigen")*SUMIFS(TableECFTransport[EnergieConsumptieFactor (PJ per km)],TableECFTransport[Index],CONCATENATE($A6,"_CNG_CNG"))</f>
        <v>3.3893617043439991E-4</v>
      </c>
      <c r="E6" s="892">
        <f>vkm_2011_GW_PW*SUMIFS(TableVerdeelsleutelVkm[LPG],TableVerdeelsleutelVkm[Voertuigtype],"Lichte voertuigen")*SUMIFS(TableECFTransport[EnergieConsumptieFactor (PJ per km)],TableECFTransport[Index],CONCATENATE($A6,"_LPG_LPG"))</f>
        <v>4.6303549459492804E-4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0.11971975302526902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3.8550089405731909E-2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8.1317883682396497E-3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8.9460331127405618E-2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2.7265691084467953E-5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5.2277599290602404E-3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8.1815287706973905E-6</v>
      </c>
      <c r="C8" s="449"/>
      <c r="D8" s="451">
        <f>vkm_2011_NGW_PW*SUMIFS(TableVerdeelsleutelVkm[CNG],TableVerdeelsleutelVkm[Voertuigtype],"Lichte voertuigen")*SUMIFS(TableECFTransport[EnergieConsumptieFactor (PJ per km)],TableECFTransport[Index],CONCATENATE($A8,"_CNG_CNG"))</f>
        <v>4.363220028783473E-5</v>
      </c>
      <c r="E8" s="451">
        <f>vkm_2011_NGW_PW*SUMIFS(TableVerdeelsleutelVkm[LPG],TableVerdeelsleutelVkm[Voertuigtype],"Lichte voertuigen")*SUMIFS(TableECFTransport[EnergieConsumptieFactor (PJ per km)],TableECFTransport[Index],CONCATENATE($A8,"_LPG_LPG"))</f>
        <v>5.5203635855498991E-5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1.3301046621521309E-2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4.8226192629701381E-3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9.1936825918000585E-4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1.0955295584410673E-3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3.1433342172224949E-7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6.4018474411114338E-5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2.0761610293355498E-5</v>
      </c>
      <c r="C10" s="449"/>
      <c r="D10" s="451">
        <f>vkm_2011_SW_PW*SUMIFS(TableVerdeelsleutelVkm[CNG],TableVerdeelsleutelVkm[Voertuigtype],"Lichte voertuigen")*SUMIFS(TableECFTransport[EnergieConsumptieFactor (PJ per km)],TableECFTransport[Index],CONCATENATE($A10,"_CNG_CNG"))</f>
        <v>6.5140138881265825E-5</v>
      </c>
      <c r="E10" s="451">
        <f>vkm_2011_SW_PW*SUMIFS(TableVerdeelsleutelVkm[LPG],TableVerdeelsleutelVkm[Voertuigtype],"Lichte voertuigen")*SUMIFS(TableECFTransport[EnergieConsumptieFactor (PJ per km)],TableECFTransport[Index],CONCATENATE($A10,"_LPG_LPG"))</f>
        <v>1.108271182670826E-4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2.5545901861297002E-2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7.7178240009742874E-3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1.7201861053218162E-3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4.6057927896726698E-2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1.5158978297310555E-5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2.6915029875570116E-3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39.428744807742007</v>
      </c>
      <c r="C14" s="21"/>
      <c r="D14" s="21">
        <f t="shared" ref="D14:M14" si="0">((D5)*10^9/3600)+D12</f>
        <v>124.36347488986125</v>
      </c>
      <c r="E14" s="21">
        <f t="shared" si="0"/>
        <v>174.74062464375268</v>
      </c>
      <c r="F14" s="21"/>
      <c r="G14" s="21">
        <f t="shared" si="0"/>
        <v>81994.580580739086</v>
      </c>
      <c r="H14" s="21">
        <f t="shared" si="0"/>
        <v>14203.686575688844</v>
      </c>
      <c r="I14" s="21"/>
      <c r="J14" s="21"/>
      <c r="K14" s="21"/>
      <c r="L14" s="21"/>
      <c r="M14" s="21">
        <f t="shared" si="0"/>
        <v>5209.6178121582871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0.21480977072814492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8.4696796322495942</v>
      </c>
      <c r="C18" s="23"/>
      <c r="D18" s="23">
        <f t="shared" ref="D18:M18" si="1">D14*D16</f>
        <v>25.121421927751975</v>
      </c>
      <c r="E18" s="23">
        <f t="shared" si="1"/>
        <v>39.666121794131861</v>
      </c>
      <c r="F18" s="23"/>
      <c r="G18" s="23">
        <f t="shared" si="1"/>
        <v>21892.553015057336</v>
      </c>
      <c r="H18" s="23">
        <f t="shared" si="1"/>
        <v>3536.7179573465219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4.9028449499999996E-3</v>
      </c>
      <c r="C50" s="321">
        <f t="shared" ref="C50:P50" si="2">SUM(C51:C52)</f>
        <v>0</v>
      </c>
      <c r="D50" s="321">
        <f t="shared" si="2"/>
        <v>0</v>
      </c>
      <c r="E50" s="321">
        <f t="shared" si="2"/>
        <v>0</v>
      </c>
      <c r="F50" s="321">
        <f t="shared" si="2"/>
        <v>0</v>
      </c>
      <c r="G50" s="321">
        <f t="shared" si="2"/>
        <v>4.4215896925747069E-3</v>
      </c>
      <c r="H50" s="321">
        <f t="shared" si="2"/>
        <v>0</v>
      </c>
      <c r="I50" s="321">
        <f t="shared" si="2"/>
        <v>0</v>
      </c>
      <c r="J50" s="321">
        <f t="shared" si="2"/>
        <v>0</v>
      </c>
      <c r="K50" s="321">
        <f t="shared" si="2"/>
        <v>0</v>
      </c>
      <c r="L50" s="321">
        <f t="shared" si="2"/>
        <v>0</v>
      </c>
      <c r="M50" s="321">
        <f t="shared" si="2"/>
        <v>2.5112677509280424E-4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4.4215896925747069E-3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2.5112677509280424E-4</v>
      </c>
      <c r="N51" s="323"/>
      <c r="O51" s="323"/>
      <c r="P51" s="326"/>
    </row>
    <row r="52" spans="1:18">
      <c r="A52" s="4" t="s">
        <v>330</v>
      </c>
      <c r="B52" s="893">
        <f>vkm_2011_tram*SUMIFS(TableECFTransport[EnergieConsumptieFactor (PJ per km)],TableECFTransport[Index],"Tram_gemiddeld_Electric_Electric")</f>
        <v>4.9028449499999996E-3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1361.9013749999997</v>
      </c>
      <c r="C54" s="21">
        <f t="shared" ref="C54:P54" si="3">(C50)*10^9/3600</f>
        <v>0</v>
      </c>
      <c r="D54" s="21">
        <f t="shared" si="3"/>
        <v>0</v>
      </c>
      <c r="E54" s="21">
        <f t="shared" si="3"/>
        <v>0</v>
      </c>
      <c r="F54" s="21">
        <f t="shared" si="3"/>
        <v>0</v>
      </c>
      <c r="G54" s="21">
        <f t="shared" si="3"/>
        <v>1228.2193590485297</v>
      </c>
      <c r="H54" s="21">
        <f t="shared" si="3"/>
        <v>0</v>
      </c>
      <c r="I54" s="21">
        <f t="shared" si="3"/>
        <v>0</v>
      </c>
      <c r="J54" s="21">
        <f t="shared" si="3"/>
        <v>0</v>
      </c>
      <c r="K54" s="21">
        <f t="shared" si="3"/>
        <v>0</v>
      </c>
      <c r="L54" s="21">
        <f t="shared" si="3"/>
        <v>0</v>
      </c>
      <c r="M54" s="21">
        <f t="shared" si="3"/>
        <v>69.757437525778954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0.21480977072814492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292.54972211809525</v>
      </c>
      <c r="C58" s="23">
        <f t="shared" ref="C58:P58" ca="1" si="4">C54*C56</f>
        <v>0</v>
      </c>
      <c r="D58" s="23">
        <f t="shared" si="4"/>
        <v>0</v>
      </c>
      <c r="E58" s="23">
        <f t="shared" si="4"/>
        <v>0</v>
      </c>
      <c r="F58" s="23">
        <f t="shared" si="4"/>
        <v>0</v>
      </c>
      <c r="G58" s="23">
        <f t="shared" si="4"/>
        <v>327.93456886595743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53028.569335267246</v>
      </c>
      <c r="D10" s="1013">
        <f ca="1">tertiair!C16</f>
        <v>294.64285714285717</v>
      </c>
      <c r="E10" s="1013">
        <f ca="1">tertiair!D16</f>
        <v>64161.049187008088</v>
      </c>
      <c r="F10" s="1013">
        <f>tertiair!E16</f>
        <v>606.56936236157276</v>
      </c>
      <c r="G10" s="1013">
        <f ca="1">tertiair!F16</f>
        <v>8627.6991057865307</v>
      </c>
      <c r="H10" s="1013">
        <f>tertiair!G16</f>
        <v>0</v>
      </c>
      <c r="I10" s="1013">
        <f>tertiair!H16</f>
        <v>0</v>
      </c>
      <c r="J10" s="1013">
        <f>tertiair!I16</f>
        <v>0</v>
      </c>
      <c r="K10" s="1013">
        <f>tertiair!J16</f>
        <v>0.18043174182868688</v>
      </c>
      <c r="L10" s="1013">
        <f>tertiair!K16</f>
        <v>0</v>
      </c>
      <c r="M10" s="1013">
        <f ca="1">tertiair!L16</f>
        <v>0</v>
      </c>
      <c r="N10" s="1013">
        <f>tertiair!M16</f>
        <v>0</v>
      </c>
      <c r="O10" s="1013">
        <f ca="1">tertiair!N16</f>
        <v>7121.5467787889893</v>
      </c>
      <c r="P10" s="1013">
        <f>tertiair!O16</f>
        <v>6.2533333333333339</v>
      </c>
      <c r="Q10" s="1014">
        <f>tertiair!P16</f>
        <v>38.133333333333333</v>
      </c>
      <c r="R10" s="700">
        <f ca="1">SUM(C10:Q10)</f>
        <v>133884.64372476377</v>
      </c>
      <c r="S10" s="67"/>
    </row>
    <row r="11" spans="1:19" s="473" customFormat="1">
      <c r="A11" s="809" t="s">
        <v>225</v>
      </c>
      <c r="B11" s="814"/>
      <c r="C11" s="1013">
        <f>huishoudens!B8</f>
        <v>50051.946050149621</v>
      </c>
      <c r="D11" s="1013">
        <f>huishoudens!C8</f>
        <v>0</v>
      </c>
      <c r="E11" s="1013">
        <f>huishoudens!D8</f>
        <v>118511.92125997784</v>
      </c>
      <c r="F11" s="1013">
        <f>huishoudens!E8</f>
        <v>0</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0</v>
      </c>
      <c r="P11" s="1013">
        <f>huishoudens!O8</f>
        <v>370.51000000000005</v>
      </c>
      <c r="Q11" s="1014">
        <f>huishoudens!P8</f>
        <v>686.4</v>
      </c>
      <c r="R11" s="700">
        <f>SUM(C11:Q11)</f>
        <v>169620.77731012748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3412.4182245765237</v>
      </c>
      <c r="D13" s="1013">
        <f>industrie!C18</f>
        <v>0</v>
      </c>
      <c r="E13" s="1013">
        <f>industrie!D18</f>
        <v>4752.3856721602842</v>
      </c>
      <c r="F13" s="1013">
        <f>industrie!E18</f>
        <v>584.20469501993307</v>
      </c>
      <c r="G13" s="1013">
        <f>industrie!F18</f>
        <v>1688.5051363678958</v>
      </c>
      <c r="H13" s="1013">
        <f>industrie!G18</f>
        <v>0</v>
      </c>
      <c r="I13" s="1013">
        <f>industrie!H18</f>
        <v>0</v>
      </c>
      <c r="J13" s="1013">
        <f>industrie!I18</f>
        <v>0</v>
      </c>
      <c r="K13" s="1013">
        <f>industrie!J18</f>
        <v>0.8596132655489801</v>
      </c>
      <c r="L13" s="1013">
        <f>industrie!K18</f>
        <v>0</v>
      </c>
      <c r="M13" s="1013">
        <f>industrie!L18</f>
        <v>0</v>
      </c>
      <c r="N13" s="1013">
        <f>industrie!M18</f>
        <v>0</v>
      </c>
      <c r="O13" s="1013">
        <f>industrie!N18</f>
        <v>867.48626002302092</v>
      </c>
      <c r="P13" s="1013">
        <f>industrie!O18</f>
        <v>0</v>
      </c>
      <c r="Q13" s="1014">
        <f>industrie!P18</f>
        <v>0</v>
      </c>
      <c r="R13" s="700">
        <f>SUM(C13:Q13)</f>
        <v>11305.859601413207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106492.93360999339</v>
      </c>
      <c r="D16" s="732">
        <f t="shared" ref="D16:R16" ca="1" si="0">SUM(D9:D15)</f>
        <v>294.64285714285717</v>
      </c>
      <c r="E16" s="732">
        <f t="shared" ca="1" si="0"/>
        <v>187425.35611914619</v>
      </c>
      <c r="F16" s="732">
        <f t="shared" si="0"/>
        <v>1190.7740573815058</v>
      </c>
      <c r="G16" s="732">
        <f t="shared" ca="1" si="0"/>
        <v>10316.204242154427</v>
      </c>
      <c r="H16" s="732">
        <f t="shared" si="0"/>
        <v>0</v>
      </c>
      <c r="I16" s="732">
        <f t="shared" si="0"/>
        <v>0</v>
      </c>
      <c r="J16" s="732">
        <f t="shared" si="0"/>
        <v>0</v>
      </c>
      <c r="K16" s="732">
        <f t="shared" si="0"/>
        <v>1.040045007377667</v>
      </c>
      <c r="L16" s="732">
        <f t="shared" si="0"/>
        <v>0</v>
      </c>
      <c r="M16" s="732">
        <f t="shared" ca="1" si="0"/>
        <v>0</v>
      </c>
      <c r="N16" s="732">
        <f t="shared" si="0"/>
        <v>0</v>
      </c>
      <c r="O16" s="732">
        <f t="shared" ca="1" si="0"/>
        <v>7989.0330388120101</v>
      </c>
      <c r="P16" s="732">
        <f t="shared" si="0"/>
        <v>376.76333333333338</v>
      </c>
      <c r="Q16" s="732">
        <f t="shared" si="0"/>
        <v>724.5333333333333</v>
      </c>
      <c r="R16" s="732">
        <f t="shared" ca="1" si="0"/>
        <v>314811.28063630447</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1361.9013749999997</v>
      </c>
      <c r="D19" s="1013">
        <f>transport!C54</f>
        <v>0</v>
      </c>
      <c r="E19" s="1013">
        <f>transport!D54</f>
        <v>0</v>
      </c>
      <c r="F19" s="1013">
        <f>transport!E54</f>
        <v>0</v>
      </c>
      <c r="G19" s="1013">
        <f>transport!F54</f>
        <v>0</v>
      </c>
      <c r="H19" s="1013">
        <f>transport!G54</f>
        <v>1228.2193590485297</v>
      </c>
      <c r="I19" s="1013">
        <f>transport!H54</f>
        <v>0</v>
      </c>
      <c r="J19" s="1013">
        <f>transport!I54</f>
        <v>0</v>
      </c>
      <c r="K19" s="1013">
        <f>transport!J54</f>
        <v>0</v>
      </c>
      <c r="L19" s="1013">
        <f>transport!K54</f>
        <v>0</v>
      </c>
      <c r="M19" s="1013">
        <f>transport!L54</f>
        <v>0</v>
      </c>
      <c r="N19" s="1013">
        <f>transport!M54</f>
        <v>69.757437525778954</v>
      </c>
      <c r="O19" s="1013">
        <f>transport!N54</f>
        <v>0</v>
      </c>
      <c r="P19" s="1013">
        <f>transport!O54</f>
        <v>0</v>
      </c>
      <c r="Q19" s="1014">
        <f>transport!P54</f>
        <v>0</v>
      </c>
      <c r="R19" s="700">
        <f>SUM(C19:Q19)</f>
        <v>2659.8781715743085</v>
      </c>
      <c r="S19" s="67"/>
    </row>
    <row r="20" spans="1:19" s="473" customFormat="1">
      <c r="A20" s="809" t="s">
        <v>307</v>
      </c>
      <c r="B20" s="814"/>
      <c r="C20" s="1013">
        <f>transport!B14</f>
        <v>39.428744807742007</v>
      </c>
      <c r="D20" s="1013">
        <f>transport!C14</f>
        <v>0</v>
      </c>
      <c r="E20" s="1013">
        <f>transport!D14</f>
        <v>124.36347488986125</v>
      </c>
      <c r="F20" s="1013">
        <f>transport!E14</f>
        <v>174.74062464375268</v>
      </c>
      <c r="G20" s="1013">
        <f>transport!F14</f>
        <v>0</v>
      </c>
      <c r="H20" s="1013">
        <f>transport!G14</f>
        <v>81994.580580739086</v>
      </c>
      <c r="I20" s="1013">
        <f>transport!H14</f>
        <v>14203.686575688844</v>
      </c>
      <c r="J20" s="1013">
        <f>transport!I14</f>
        <v>0</v>
      </c>
      <c r="K20" s="1013">
        <f>transport!J14</f>
        <v>0</v>
      </c>
      <c r="L20" s="1013">
        <f>transport!K14</f>
        <v>0</v>
      </c>
      <c r="M20" s="1013">
        <f>transport!L14</f>
        <v>0</v>
      </c>
      <c r="N20" s="1013">
        <f>transport!M14</f>
        <v>5209.6178121582871</v>
      </c>
      <c r="O20" s="1013">
        <f>transport!N14</f>
        <v>0</v>
      </c>
      <c r="P20" s="1013">
        <f>transport!O14</f>
        <v>0</v>
      </c>
      <c r="Q20" s="1014">
        <f>transport!P14</f>
        <v>0</v>
      </c>
      <c r="R20" s="700">
        <f>SUM(C20:Q20)</f>
        <v>101746.41781292758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1401.3301198077418</v>
      </c>
      <c r="D22" s="812">
        <f t="shared" ref="D22:R22" si="1">SUM(D18:D21)</f>
        <v>0</v>
      </c>
      <c r="E22" s="812">
        <f t="shared" si="1"/>
        <v>124.36347488986125</v>
      </c>
      <c r="F22" s="812">
        <f t="shared" si="1"/>
        <v>174.74062464375268</v>
      </c>
      <c r="G22" s="812">
        <f t="shared" si="1"/>
        <v>0</v>
      </c>
      <c r="H22" s="812">
        <f t="shared" si="1"/>
        <v>83222.799939787612</v>
      </c>
      <c r="I22" s="812">
        <f t="shared" si="1"/>
        <v>14203.686575688844</v>
      </c>
      <c r="J22" s="812">
        <f t="shared" si="1"/>
        <v>0</v>
      </c>
      <c r="K22" s="812">
        <f t="shared" si="1"/>
        <v>0</v>
      </c>
      <c r="L22" s="812">
        <f t="shared" si="1"/>
        <v>0</v>
      </c>
      <c r="M22" s="812">
        <f t="shared" si="1"/>
        <v>0</v>
      </c>
      <c r="N22" s="812">
        <f t="shared" si="1"/>
        <v>5279.3752496840661</v>
      </c>
      <c r="O22" s="812">
        <f t="shared" si="1"/>
        <v>0</v>
      </c>
      <c r="P22" s="812">
        <f t="shared" si="1"/>
        <v>0</v>
      </c>
      <c r="Q22" s="812">
        <f t="shared" si="1"/>
        <v>0</v>
      </c>
      <c r="R22" s="812">
        <f t="shared" si="1"/>
        <v>104406.29598450189</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1250.8310390837978</v>
      </c>
      <c r="D24" s="1013">
        <f>+landbouw!C8</f>
        <v>35.357142857142861</v>
      </c>
      <c r="E24" s="1013">
        <f>+landbouw!D8</f>
        <v>151.23578861639547</v>
      </c>
      <c r="F24" s="1013">
        <f>+landbouw!E8</f>
        <v>36.765744717631584</v>
      </c>
      <c r="G24" s="1013">
        <f>+landbouw!F8</f>
        <v>5210.8945174614619</v>
      </c>
      <c r="H24" s="1013">
        <f>+landbouw!G8</f>
        <v>0</v>
      </c>
      <c r="I24" s="1013">
        <f>+landbouw!H8</f>
        <v>0</v>
      </c>
      <c r="J24" s="1013">
        <f>+landbouw!I8</f>
        <v>0</v>
      </c>
      <c r="K24" s="1013">
        <f>+landbouw!J8</f>
        <v>181.21855565919276</v>
      </c>
      <c r="L24" s="1013">
        <f>+landbouw!K8</f>
        <v>0</v>
      </c>
      <c r="M24" s="1013">
        <f>+landbouw!L8</f>
        <v>0</v>
      </c>
      <c r="N24" s="1013">
        <f>+landbouw!M8</f>
        <v>0</v>
      </c>
      <c r="O24" s="1013">
        <f>+landbouw!N8</f>
        <v>0</v>
      </c>
      <c r="P24" s="1013">
        <f>+landbouw!O8</f>
        <v>0</v>
      </c>
      <c r="Q24" s="1014">
        <f>+landbouw!P8</f>
        <v>0</v>
      </c>
      <c r="R24" s="700">
        <f>SUM(C24:Q24)</f>
        <v>6866.3027883956229</v>
      </c>
      <c r="S24" s="67"/>
    </row>
    <row r="25" spans="1:19" s="473" customFormat="1" ht="15" thickBot="1">
      <c r="A25" s="831" t="s">
        <v>836</v>
      </c>
      <c r="B25" s="1016"/>
      <c r="C25" s="1017">
        <f>IF(Onbekend_ele_kWh="---",0,Onbekend_ele_kWh)/1000+IF(REST_rest_ele_kWh="---",0,REST_rest_ele_kWh)/1000</f>
        <v>10332.5632424099</v>
      </c>
      <c r="D25" s="1017"/>
      <c r="E25" s="1017">
        <f>IF(onbekend_gas_kWh="---",0,onbekend_gas_kWh)/1000+IF(REST_rest_gas_kWh="---",0,REST_rest_gas_kWh)/1000</f>
        <v>21822.711751770297</v>
      </c>
      <c r="F25" s="1017"/>
      <c r="G25" s="1017"/>
      <c r="H25" s="1017"/>
      <c r="I25" s="1017"/>
      <c r="J25" s="1017"/>
      <c r="K25" s="1017"/>
      <c r="L25" s="1017"/>
      <c r="M25" s="1017"/>
      <c r="N25" s="1017"/>
      <c r="O25" s="1017"/>
      <c r="P25" s="1017"/>
      <c r="Q25" s="1018"/>
      <c r="R25" s="700">
        <f>SUM(C25:Q25)</f>
        <v>32155.274994180196</v>
      </c>
      <c r="S25" s="67"/>
    </row>
    <row r="26" spans="1:19" s="473" customFormat="1" ht="15.75" thickBot="1">
      <c r="A26" s="705" t="s">
        <v>837</v>
      </c>
      <c r="B26" s="817"/>
      <c r="C26" s="812">
        <f>SUM(C24:C25)</f>
        <v>11583.394281493698</v>
      </c>
      <c r="D26" s="812">
        <f t="shared" ref="D26:R26" si="2">SUM(D24:D25)</f>
        <v>35.357142857142861</v>
      </c>
      <c r="E26" s="812">
        <f t="shared" si="2"/>
        <v>21973.947540386693</v>
      </c>
      <c r="F26" s="812">
        <f t="shared" si="2"/>
        <v>36.765744717631584</v>
      </c>
      <c r="G26" s="812">
        <f t="shared" si="2"/>
        <v>5210.8945174614619</v>
      </c>
      <c r="H26" s="812">
        <f t="shared" si="2"/>
        <v>0</v>
      </c>
      <c r="I26" s="812">
        <f t="shared" si="2"/>
        <v>0</v>
      </c>
      <c r="J26" s="812">
        <f t="shared" si="2"/>
        <v>0</v>
      </c>
      <c r="K26" s="812">
        <f t="shared" si="2"/>
        <v>181.21855565919276</v>
      </c>
      <c r="L26" s="812">
        <f t="shared" si="2"/>
        <v>0</v>
      </c>
      <c r="M26" s="812">
        <f t="shared" si="2"/>
        <v>0</v>
      </c>
      <c r="N26" s="812">
        <f t="shared" si="2"/>
        <v>0</v>
      </c>
      <c r="O26" s="812">
        <f t="shared" si="2"/>
        <v>0</v>
      </c>
      <c r="P26" s="812">
        <f t="shared" si="2"/>
        <v>0</v>
      </c>
      <c r="Q26" s="812">
        <f t="shared" si="2"/>
        <v>0</v>
      </c>
      <c r="R26" s="812">
        <f t="shared" si="2"/>
        <v>39021.57778257582</v>
      </c>
      <c r="S26" s="67"/>
    </row>
    <row r="27" spans="1:19" s="473" customFormat="1" ht="17.25" thickTop="1" thickBot="1">
      <c r="A27" s="706" t="s">
        <v>116</v>
      </c>
      <c r="B27" s="805"/>
      <c r="C27" s="707">
        <f ca="1">C22+C16+C26</f>
        <v>119477.65801129483</v>
      </c>
      <c r="D27" s="707">
        <f t="shared" ref="D27:R27" ca="1" si="3">D22+D16+D26</f>
        <v>330</v>
      </c>
      <c r="E27" s="707">
        <f t="shared" ca="1" si="3"/>
        <v>209523.66713442275</v>
      </c>
      <c r="F27" s="707">
        <f t="shared" si="3"/>
        <v>1402.2804267428901</v>
      </c>
      <c r="G27" s="707">
        <f t="shared" ca="1" si="3"/>
        <v>15527.098759615888</v>
      </c>
      <c r="H27" s="707">
        <f t="shared" si="3"/>
        <v>83222.799939787612</v>
      </c>
      <c r="I27" s="707">
        <f t="shared" si="3"/>
        <v>14203.686575688844</v>
      </c>
      <c r="J27" s="707">
        <f t="shared" si="3"/>
        <v>0</v>
      </c>
      <c r="K27" s="707">
        <f t="shared" si="3"/>
        <v>182.25860066657043</v>
      </c>
      <c r="L27" s="707">
        <f t="shared" si="3"/>
        <v>0</v>
      </c>
      <c r="M27" s="707">
        <f t="shared" ca="1" si="3"/>
        <v>0</v>
      </c>
      <c r="N27" s="707">
        <f t="shared" si="3"/>
        <v>5279.3752496840661</v>
      </c>
      <c r="O27" s="707">
        <f t="shared" ca="1" si="3"/>
        <v>7989.0330388120101</v>
      </c>
      <c r="P27" s="707">
        <f t="shared" si="3"/>
        <v>376.76333333333338</v>
      </c>
      <c r="Q27" s="707">
        <f t="shared" si="3"/>
        <v>724.5333333333333</v>
      </c>
      <c r="R27" s="707">
        <f t="shared" ca="1" si="3"/>
        <v>458239.15440338216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11391.054820950294</v>
      </c>
      <c r="D40" s="1013">
        <f ca="1">tertiair!C20</f>
        <v>70.021008403361364</v>
      </c>
      <c r="E40" s="1013">
        <f ca="1">tertiair!D20</f>
        <v>12960.531935775634</v>
      </c>
      <c r="F40" s="1013">
        <f>tertiair!E20</f>
        <v>137.69124525607702</v>
      </c>
      <c r="G40" s="1013">
        <f ca="1">tertiair!F20</f>
        <v>2303.5956612450036</v>
      </c>
      <c r="H40" s="1013">
        <f>tertiair!G20</f>
        <v>0</v>
      </c>
      <c r="I40" s="1013">
        <f>tertiair!H20</f>
        <v>0</v>
      </c>
      <c r="J40" s="1013">
        <f>tertiair!I20</f>
        <v>0</v>
      </c>
      <c r="K40" s="1013">
        <f>tertiair!J20</f>
        <v>6.3872836607355155E-2</v>
      </c>
      <c r="L40" s="1013">
        <f>tertiair!K20</f>
        <v>0</v>
      </c>
      <c r="M40" s="1013">
        <f ca="1">tertiair!L20</f>
        <v>0</v>
      </c>
      <c r="N40" s="1013">
        <f>tertiair!M20</f>
        <v>0</v>
      </c>
      <c r="O40" s="1013">
        <f ca="1">tertiair!N20</f>
        <v>0</v>
      </c>
      <c r="P40" s="1013">
        <f>tertiair!O20</f>
        <v>0</v>
      </c>
      <c r="Q40" s="774">
        <f>tertiair!P20</f>
        <v>0</v>
      </c>
      <c r="R40" s="850">
        <f t="shared" ca="1" si="4"/>
        <v>26862.958544466972</v>
      </c>
    </row>
    <row r="41" spans="1:18">
      <c r="A41" s="822" t="s">
        <v>225</v>
      </c>
      <c r="B41" s="829"/>
      <c r="C41" s="1013">
        <f ca="1">huishoudens!B12</f>
        <v>10751.647055530118</v>
      </c>
      <c r="D41" s="1013">
        <f ca="1">huishoudens!C12</f>
        <v>0</v>
      </c>
      <c r="E41" s="1013">
        <f>huishoudens!D12</f>
        <v>23939.408094515526</v>
      </c>
      <c r="F41" s="1013">
        <f>huishoudens!E12</f>
        <v>0</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34691.055150045642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733.02077644982637</v>
      </c>
      <c r="D43" s="1013">
        <f ca="1">industrie!C22</f>
        <v>0</v>
      </c>
      <c r="E43" s="1013">
        <f>industrie!D22</f>
        <v>959.98190577637752</v>
      </c>
      <c r="F43" s="1013">
        <f>industrie!E22</f>
        <v>132.6144657695248</v>
      </c>
      <c r="G43" s="1013">
        <f>industrie!F22</f>
        <v>450.83087141022821</v>
      </c>
      <c r="H43" s="1013">
        <f>industrie!G22</f>
        <v>0</v>
      </c>
      <c r="I43" s="1013">
        <f>industrie!H22</f>
        <v>0</v>
      </c>
      <c r="J43" s="1013">
        <f>industrie!I22</f>
        <v>0</v>
      </c>
      <c r="K43" s="1013">
        <f>industrie!J22</f>
        <v>0.30430309600433891</v>
      </c>
      <c r="L43" s="1013">
        <f>industrie!K22</f>
        <v>0</v>
      </c>
      <c r="M43" s="1013">
        <f>industrie!L22</f>
        <v>0</v>
      </c>
      <c r="N43" s="1013">
        <f>industrie!M22</f>
        <v>0</v>
      </c>
      <c r="O43" s="1013">
        <f>industrie!N22</f>
        <v>0</v>
      </c>
      <c r="P43" s="1013">
        <f>industrie!O22</f>
        <v>0</v>
      </c>
      <c r="Q43" s="774">
        <f>industrie!P22</f>
        <v>0</v>
      </c>
      <c r="R43" s="849">
        <f t="shared" ca="1" si="4"/>
        <v>2276.7523225019613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22875.722652930239</v>
      </c>
      <c r="D46" s="732">
        <f t="shared" ref="D46:Q46" ca="1" si="5">SUM(D39:D45)</f>
        <v>70.021008403361364</v>
      </c>
      <c r="E46" s="732">
        <f t="shared" ca="1" si="5"/>
        <v>37859.921936067534</v>
      </c>
      <c r="F46" s="732">
        <f t="shared" si="5"/>
        <v>270.30571102560179</v>
      </c>
      <c r="G46" s="732">
        <f t="shared" ca="1" si="5"/>
        <v>2754.4265326552318</v>
      </c>
      <c r="H46" s="732">
        <f t="shared" si="5"/>
        <v>0</v>
      </c>
      <c r="I46" s="732">
        <f t="shared" si="5"/>
        <v>0</v>
      </c>
      <c r="J46" s="732">
        <f t="shared" si="5"/>
        <v>0</v>
      </c>
      <c r="K46" s="732">
        <f t="shared" si="5"/>
        <v>0.36817593261169407</v>
      </c>
      <c r="L46" s="732">
        <f t="shared" si="5"/>
        <v>0</v>
      </c>
      <c r="M46" s="732">
        <f t="shared" ca="1" si="5"/>
        <v>0</v>
      </c>
      <c r="N46" s="732">
        <f t="shared" si="5"/>
        <v>0</v>
      </c>
      <c r="O46" s="732">
        <f t="shared" ca="1" si="5"/>
        <v>0</v>
      </c>
      <c r="P46" s="732">
        <f t="shared" si="5"/>
        <v>0</v>
      </c>
      <c r="Q46" s="732">
        <f t="shared" si="5"/>
        <v>0</v>
      </c>
      <c r="R46" s="732">
        <f ca="1">SUM(R39:R45)</f>
        <v>63830.766017014575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292.54972211809525</v>
      </c>
      <c r="D49" s="1013">
        <f ca="1">transport!C58</f>
        <v>0</v>
      </c>
      <c r="E49" s="1013">
        <f>transport!D58</f>
        <v>0</v>
      </c>
      <c r="F49" s="1013">
        <f>transport!E58</f>
        <v>0</v>
      </c>
      <c r="G49" s="1013">
        <f>transport!F58</f>
        <v>0</v>
      </c>
      <c r="H49" s="1013">
        <f>transport!G58</f>
        <v>327.93456886595743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620.48429098405268</v>
      </c>
    </row>
    <row r="50" spans="1:18">
      <c r="A50" s="825" t="s">
        <v>307</v>
      </c>
      <c r="B50" s="835"/>
      <c r="C50" s="703">
        <f ca="1">transport!B18</f>
        <v>8.4696796322495942</v>
      </c>
      <c r="D50" s="703">
        <f>transport!C18</f>
        <v>0</v>
      </c>
      <c r="E50" s="703">
        <f>transport!D18</f>
        <v>25.121421927751975</v>
      </c>
      <c r="F50" s="703">
        <f>transport!E18</f>
        <v>39.666121794131861</v>
      </c>
      <c r="G50" s="703">
        <f>transport!F18</f>
        <v>0</v>
      </c>
      <c r="H50" s="703">
        <f>transport!G18</f>
        <v>21892.553015057336</v>
      </c>
      <c r="I50" s="703">
        <f>transport!H18</f>
        <v>3536.7179573465219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25502.52819575799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301.01940175034485</v>
      </c>
      <c r="D52" s="732">
        <f t="shared" ref="D52:Q52" ca="1" si="6">SUM(D48:D51)</f>
        <v>0</v>
      </c>
      <c r="E52" s="732">
        <f t="shared" si="6"/>
        <v>25.121421927751975</v>
      </c>
      <c r="F52" s="732">
        <f t="shared" si="6"/>
        <v>39.666121794131861</v>
      </c>
      <c r="G52" s="732">
        <f t="shared" si="6"/>
        <v>0</v>
      </c>
      <c r="H52" s="732">
        <f t="shared" si="6"/>
        <v>22220.487583923292</v>
      </c>
      <c r="I52" s="732">
        <f t="shared" si="6"/>
        <v>3536.7179573465219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26123.012486742042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268.69072872523788</v>
      </c>
      <c r="D54" s="703">
        <f ca="1">+landbouw!C12</f>
        <v>8.4025210084033635</v>
      </c>
      <c r="E54" s="703">
        <f>+landbouw!D12</f>
        <v>30.549629300511885</v>
      </c>
      <c r="F54" s="703">
        <f>+landbouw!E12</f>
        <v>8.3458240509023707</v>
      </c>
      <c r="G54" s="703">
        <f>+landbouw!F12</f>
        <v>1391.3088361622104</v>
      </c>
      <c r="H54" s="703">
        <f>+landbouw!G12</f>
        <v>0</v>
      </c>
      <c r="I54" s="703">
        <f>+landbouw!H12</f>
        <v>0</v>
      </c>
      <c r="J54" s="703">
        <f>+landbouw!I12</f>
        <v>0</v>
      </c>
      <c r="K54" s="703">
        <f>+landbouw!J12</f>
        <v>64.151368703354237</v>
      </c>
      <c r="L54" s="703">
        <f>+landbouw!K12</f>
        <v>0</v>
      </c>
      <c r="M54" s="703">
        <f>+landbouw!L12</f>
        <v>0</v>
      </c>
      <c r="N54" s="703">
        <f>+landbouw!M12</f>
        <v>0</v>
      </c>
      <c r="O54" s="703">
        <f>+landbouw!N12</f>
        <v>0</v>
      </c>
      <c r="P54" s="703">
        <f>+landbouw!O12</f>
        <v>0</v>
      </c>
      <c r="Q54" s="704">
        <f>+landbouw!P12</f>
        <v>0</v>
      </c>
      <c r="R54" s="731">
        <f ca="1">SUM(C54:Q54)</f>
        <v>1771.44890795062</v>
      </c>
    </row>
    <row r="55" spans="1:18" ht="15" thickBot="1">
      <c r="A55" s="825" t="s">
        <v>836</v>
      </c>
      <c r="B55" s="835"/>
      <c r="C55" s="703">
        <f ca="1">C25*'EF ele_warmte'!B12</f>
        <v>2219.5355411361284</v>
      </c>
      <c r="D55" s="703"/>
      <c r="E55" s="703">
        <f>E25*EF_CO2_aardgas</f>
        <v>4408.1877738576004</v>
      </c>
      <c r="F55" s="703"/>
      <c r="G55" s="703"/>
      <c r="H55" s="703"/>
      <c r="I55" s="703"/>
      <c r="J55" s="703"/>
      <c r="K55" s="703"/>
      <c r="L55" s="703"/>
      <c r="M55" s="703"/>
      <c r="N55" s="703"/>
      <c r="O55" s="703"/>
      <c r="P55" s="703"/>
      <c r="Q55" s="704"/>
      <c r="R55" s="731">
        <f ca="1">SUM(C55:Q55)</f>
        <v>6627.7233149937292</v>
      </c>
    </row>
    <row r="56" spans="1:18" ht="15.75" thickBot="1">
      <c r="A56" s="823" t="s">
        <v>837</v>
      </c>
      <c r="B56" s="836"/>
      <c r="C56" s="732">
        <f ca="1">SUM(C54:C55)</f>
        <v>2488.2262698613663</v>
      </c>
      <c r="D56" s="732">
        <f t="shared" ref="D56:Q56" ca="1" si="7">SUM(D54:D55)</f>
        <v>8.4025210084033635</v>
      </c>
      <c r="E56" s="732">
        <f t="shared" si="7"/>
        <v>4438.7374031581121</v>
      </c>
      <c r="F56" s="732">
        <f t="shared" si="7"/>
        <v>8.3458240509023707</v>
      </c>
      <c r="G56" s="732">
        <f t="shared" si="7"/>
        <v>1391.3088361622104</v>
      </c>
      <c r="H56" s="732">
        <f t="shared" si="7"/>
        <v>0</v>
      </c>
      <c r="I56" s="732">
        <f t="shared" si="7"/>
        <v>0</v>
      </c>
      <c r="J56" s="732">
        <f t="shared" si="7"/>
        <v>0</v>
      </c>
      <c r="K56" s="732">
        <f t="shared" si="7"/>
        <v>64.151368703354237</v>
      </c>
      <c r="L56" s="732">
        <f t="shared" si="7"/>
        <v>0</v>
      </c>
      <c r="M56" s="732">
        <f t="shared" si="7"/>
        <v>0</v>
      </c>
      <c r="N56" s="732">
        <f t="shared" si="7"/>
        <v>0</v>
      </c>
      <c r="O56" s="732">
        <f t="shared" si="7"/>
        <v>0</v>
      </c>
      <c r="P56" s="732">
        <f t="shared" si="7"/>
        <v>0</v>
      </c>
      <c r="Q56" s="733">
        <f t="shared" si="7"/>
        <v>0</v>
      </c>
      <c r="R56" s="734">
        <f ca="1">SUM(R54:R55)</f>
        <v>8399.1722229443494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25664.968324541951</v>
      </c>
      <c r="D61" s="740">
        <f t="shared" ref="D61:Q61" ca="1" si="8">D46+D52+D56</f>
        <v>78.423529411764733</v>
      </c>
      <c r="E61" s="740">
        <f t="shared" ca="1" si="8"/>
        <v>42323.780761153401</v>
      </c>
      <c r="F61" s="740">
        <f t="shared" si="8"/>
        <v>318.31765687063603</v>
      </c>
      <c r="G61" s="740">
        <f t="shared" ca="1" si="8"/>
        <v>4145.7353688174426</v>
      </c>
      <c r="H61" s="740">
        <f t="shared" si="8"/>
        <v>22220.487583923292</v>
      </c>
      <c r="I61" s="740">
        <f t="shared" si="8"/>
        <v>3536.7179573465219</v>
      </c>
      <c r="J61" s="740">
        <f t="shared" si="8"/>
        <v>0</v>
      </c>
      <c r="K61" s="740">
        <f t="shared" si="8"/>
        <v>64.519544635965929</v>
      </c>
      <c r="L61" s="740">
        <f t="shared" si="8"/>
        <v>0</v>
      </c>
      <c r="M61" s="740">
        <f t="shared" ca="1" si="8"/>
        <v>0</v>
      </c>
      <c r="N61" s="740">
        <f t="shared" si="8"/>
        <v>0</v>
      </c>
      <c r="O61" s="740">
        <f t="shared" ca="1" si="8"/>
        <v>0</v>
      </c>
      <c r="P61" s="740">
        <f t="shared" si="8"/>
        <v>0</v>
      </c>
      <c r="Q61" s="740">
        <f t="shared" si="8"/>
        <v>0</v>
      </c>
      <c r="R61" s="740">
        <f ca="1">R46+R52+R56</f>
        <v>98352.950726700976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0.21480977072814494</v>
      </c>
      <c r="D63" s="781">
        <f t="shared" ca="1" si="9"/>
        <v>0.23764705882352949</v>
      </c>
      <c r="E63" s="1024">
        <f t="shared" ca="1" si="9"/>
        <v>0.20200000000000001</v>
      </c>
      <c r="F63" s="781">
        <f t="shared" si="9"/>
        <v>0.22699999999999998</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3594.9799391060783</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0</v>
      </c>
      <c r="C76" s="750">
        <f>'lokale energieproductie'!B8*IFERROR(SUM(D76:H76)/SUM(D76:O76),0)</f>
        <v>231</v>
      </c>
      <c r="D76" s="1034">
        <f>'lokale energieproductie'!C8</f>
        <v>271.76470588235293</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54.896470588235296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3594.9799391060783</v>
      </c>
      <c r="C78" s="755">
        <f>SUM(C72:C77)</f>
        <v>231</v>
      </c>
      <c r="D78" s="756">
        <f t="shared" ref="D78:H78" si="10">SUM(D76:D77)</f>
        <v>271.76470588235293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54.896470588235296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0</v>
      </c>
      <c r="C87" s="766">
        <f>'lokale energieproductie'!B17*IFERROR(SUM(D87:H87)/SUM(D87:O87),0)</f>
        <v>330</v>
      </c>
      <c r="D87" s="777">
        <f>'lokale energieproductie'!C17</f>
        <v>388.23529411764707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78.423529411764719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330</v>
      </c>
      <c r="D90" s="755">
        <f t="shared" ref="D90:H90" si="12">SUM(D87:D89)</f>
        <v>388.23529411764707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78.423529411764719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0</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3594.9799391060783</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231</v>
      </c>
      <c r="C8" s="570">
        <f>B101</f>
        <v>271.76470588235293</v>
      </c>
      <c r="D8" s="1044"/>
      <c r="E8" s="1044">
        <f>E101</f>
        <v>0</v>
      </c>
      <c r="F8" s="1045"/>
      <c r="G8" s="571"/>
      <c r="H8" s="1044">
        <f>I101</f>
        <v>0</v>
      </c>
      <c r="I8" s="1044">
        <f>G101+F101</f>
        <v>0</v>
      </c>
      <c r="J8" s="1044">
        <f>H101+D101+C101</f>
        <v>0</v>
      </c>
      <c r="K8" s="1044"/>
      <c r="L8" s="1044"/>
      <c r="M8" s="1044"/>
      <c r="N8" s="572"/>
      <c r="O8" s="573">
        <f>C8*$C$12+D8*$D$12+E8*$E$12+F8*$F$12+G8*$G$12+H8*$H$12+I8*$I$12+J8*$J$12</f>
        <v>54.896470588235296</v>
      </c>
      <c r="P8" s="1263"/>
      <c r="Q8" s="1264"/>
      <c r="S8" s="1007"/>
      <c r="T8" s="1238"/>
      <c r="U8" s="1238"/>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3825.9799391060783</v>
      </c>
      <c r="C10" s="583">
        <f t="shared" ref="C10:L10" si="0">SUM(C8:C9)</f>
        <v>271.76470588235293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54.896470588235296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330</v>
      </c>
      <c r="C17" s="595">
        <f>B102</f>
        <v>388.23529411764707</v>
      </c>
      <c r="D17" s="596"/>
      <c r="E17" s="596">
        <f>E102</f>
        <v>0</v>
      </c>
      <c r="F17" s="1050"/>
      <c r="G17" s="597"/>
      <c r="H17" s="595">
        <f>I102</f>
        <v>0</v>
      </c>
      <c r="I17" s="596">
        <f>G102+F102</f>
        <v>0</v>
      </c>
      <c r="J17" s="596">
        <f>H102+D102+C102</f>
        <v>0</v>
      </c>
      <c r="K17" s="596"/>
      <c r="L17" s="596"/>
      <c r="M17" s="596"/>
      <c r="N17" s="1051"/>
      <c r="O17" s="598">
        <f>C17*$C$22+E17*$E$22+H17*$H$22+I17*$I$22+J17*$J$22+D17*$D$22+F17*$F$22+G17*$G$22+K17*$K$22+L17*$L$22</f>
        <v>78.423529411764719</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330</v>
      </c>
      <c r="C20" s="582">
        <f>SUM(C17:C19)</f>
        <v>388.23529411764707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78.423529411764719</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38014</v>
      </c>
      <c r="C28" s="796">
        <v>8670</v>
      </c>
      <c r="D28" s="653" t="s">
        <v>878</v>
      </c>
      <c r="E28" s="652" t="s">
        <v>879</v>
      </c>
      <c r="F28" s="652" t="s">
        <v>880</v>
      </c>
      <c r="G28" s="652" t="s">
        <v>881</v>
      </c>
      <c r="H28" s="652" t="s">
        <v>882</v>
      </c>
      <c r="I28" s="652" t="s">
        <v>879</v>
      </c>
      <c r="J28" s="795">
        <v>41074</v>
      </c>
      <c r="K28" s="795">
        <v>41183</v>
      </c>
      <c r="L28" s="652" t="s">
        <v>883</v>
      </c>
      <c r="M28" s="652">
        <v>5.5</v>
      </c>
      <c r="N28" s="652">
        <v>24.75</v>
      </c>
      <c r="O28" s="652">
        <v>35.357142857142861</v>
      </c>
      <c r="P28" s="652">
        <v>70.714285714285722</v>
      </c>
      <c r="Q28" s="652">
        <v>0</v>
      </c>
      <c r="R28" s="652">
        <v>0</v>
      </c>
      <c r="S28" s="652">
        <v>0</v>
      </c>
      <c r="T28" s="652">
        <v>0</v>
      </c>
      <c r="U28" s="652">
        <v>0</v>
      </c>
      <c r="V28" s="652">
        <v>0</v>
      </c>
      <c r="W28" s="652">
        <v>0</v>
      </c>
      <c r="X28" s="652">
        <v>10</v>
      </c>
      <c r="Y28" s="652" t="s">
        <v>112</v>
      </c>
      <c r="Z28" s="654" t="s">
        <v>112</v>
      </c>
    </row>
    <row r="29" spans="1:26" s="606" customFormat="1" ht="25.5">
      <c r="A29" s="605"/>
      <c r="B29" s="796">
        <v>38014</v>
      </c>
      <c r="C29" s="796">
        <v>8670</v>
      </c>
      <c r="D29" s="653" t="s">
        <v>884</v>
      </c>
      <c r="E29" s="652" t="s">
        <v>885</v>
      </c>
      <c r="F29" s="652" t="s">
        <v>886</v>
      </c>
      <c r="G29" s="652" t="s">
        <v>881</v>
      </c>
      <c r="H29" s="652" t="s">
        <v>882</v>
      </c>
      <c r="I29" s="652" t="s">
        <v>887</v>
      </c>
      <c r="J29" s="795">
        <v>41093</v>
      </c>
      <c r="K29" s="795">
        <v>42019</v>
      </c>
      <c r="L29" s="652" t="s">
        <v>883</v>
      </c>
      <c r="M29" s="652">
        <v>50</v>
      </c>
      <c r="N29" s="652">
        <v>206.25</v>
      </c>
      <c r="O29" s="652">
        <v>294.64285714285717</v>
      </c>
      <c r="P29" s="652">
        <v>589.28571428571433</v>
      </c>
      <c r="Q29" s="652">
        <v>0</v>
      </c>
      <c r="R29" s="652">
        <v>0</v>
      </c>
      <c r="S29" s="652">
        <v>0</v>
      </c>
      <c r="T29" s="652">
        <v>0</v>
      </c>
      <c r="U29" s="652">
        <v>0</v>
      </c>
      <c r="V29" s="652">
        <v>0</v>
      </c>
      <c r="W29" s="652">
        <v>0</v>
      </c>
      <c r="X29" s="652">
        <v>1200</v>
      </c>
      <c r="Y29" s="652" t="s">
        <v>888</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55.5</v>
      </c>
      <c r="N58" s="610">
        <f>SUM(N28:N57)</f>
        <v>231</v>
      </c>
      <c r="O58" s="610">
        <f t="shared" ref="O58:W58" si="2">SUM(O28:O57)</f>
        <v>330</v>
      </c>
      <c r="P58" s="610">
        <f t="shared" si="2"/>
        <v>660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50</v>
      </c>
      <c r="N60" s="610">
        <f ca="1">SUMIF($Z$28:AD57,"tertiair",N28:N57)</f>
        <v>206.25</v>
      </c>
      <c r="O60" s="610">
        <f ca="1">SUMIF($Z$28:AE57,"tertiair",O28:O57)</f>
        <v>294.64285714285717</v>
      </c>
      <c r="P60" s="610">
        <f ca="1">SUMIF($Z$28:AF57,"tertiair",P28:P57)</f>
        <v>589.28571428571433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5.5</v>
      </c>
      <c r="N61" s="615">
        <f t="shared" si="4"/>
        <v>24.75</v>
      </c>
      <c r="O61" s="615">
        <f t="shared" si="4"/>
        <v>35.357142857142861</v>
      </c>
      <c r="P61" s="615">
        <f t="shared" si="4"/>
        <v>70.714285714285722</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271.76470588235293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388.23529411764707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50051.946050149621</v>
      </c>
      <c r="C4" s="477">
        <f>huishoudens!C8</f>
        <v>0</v>
      </c>
      <c r="D4" s="477">
        <f>huishoudens!D8</f>
        <v>118511.92125997784</v>
      </c>
      <c r="E4" s="477">
        <f>huishoudens!E8</f>
        <v>0</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0</v>
      </c>
      <c r="O4" s="477">
        <f>huishoudens!O8</f>
        <v>370.51000000000005</v>
      </c>
      <c r="P4" s="478">
        <f>huishoudens!P8</f>
        <v>686.4</v>
      </c>
      <c r="Q4" s="479">
        <f>SUM(B4:P4)</f>
        <v>169620.77731012748</v>
      </c>
    </row>
    <row r="5" spans="1:17">
      <c r="A5" s="476" t="s">
        <v>156</v>
      </c>
      <c r="B5" s="477">
        <f ca="1">tertiair!B16</f>
        <v>50112.721335267248</v>
      </c>
      <c r="C5" s="477">
        <f ca="1">tertiair!C16</f>
        <v>294.64285714285717</v>
      </c>
      <c r="D5" s="477">
        <f ca="1">tertiair!D16</f>
        <v>64161.049187008088</v>
      </c>
      <c r="E5" s="477">
        <f>tertiair!E16</f>
        <v>606.56936236157276</v>
      </c>
      <c r="F5" s="477">
        <f ca="1">tertiair!F16</f>
        <v>8627.6991057865307</v>
      </c>
      <c r="G5" s="477">
        <f>tertiair!G16</f>
        <v>0</v>
      </c>
      <c r="H5" s="477">
        <f>tertiair!H16</f>
        <v>0</v>
      </c>
      <c r="I5" s="477">
        <f>tertiair!I16</f>
        <v>0</v>
      </c>
      <c r="J5" s="477">
        <f>tertiair!J16</f>
        <v>0.18043174182868688</v>
      </c>
      <c r="K5" s="477">
        <f>tertiair!K16</f>
        <v>0</v>
      </c>
      <c r="L5" s="477">
        <f ca="1">tertiair!L16</f>
        <v>0</v>
      </c>
      <c r="M5" s="477">
        <f>tertiair!M16</f>
        <v>0</v>
      </c>
      <c r="N5" s="477">
        <f ca="1">tertiair!N16</f>
        <v>7121.5467787889893</v>
      </c>
      <c r="O5" s="477">
        <f>tertiair!O16</f>
        <v>6.2533333333333339</v>
      </c>
      <c r="P5" s="478">
        <f>tertiair!P16</f>
        <v>38.133333333333333</v>
      </c>
      <c r="Q5" s="476">
        <f t="shared" ref="Q5:Q14" ca="1" si="0">SUM(B5:P5)</f>
        <v>130968.79572476378</v>
      </c>
    </row>
    <row r="6" spans="1:17">
      <c r="A6" s="476" t="s">
        <v>194</v>
      </c>
      <c r="B6" s="477">
        <f>'openbare verlichting'!B8</f>
        <v>2915.848</v>
      </c>
      <c r="C6" s="477"/>
      <c r="D6" s="477"/>
      <c r="E6" s="477"/>
      <c r="F6" s="477"/>
      <c r="G6" s="477"/>
      <c r="H6" s="477"/>
      <c r="I6" s="477"/>
      <c r="J6" s="477"/>
      <c r="K6" s="477"/>
      <c r="L6" s="477"/>
      <c r="M6" s="477"/>
      <c r="N6" s="477"/>
      <c r="O6" s="477"/>
      <c r="P6" s="478"/>
      <c r="Q6" s="476">
        <f t="shared" si="0"/>
        <v>2915.848</v>
      </c>
    </row>
    <row r="7" spans="1:17">
      <c r="A7" s="476" t="s">
        <v>112</v>
      </c>
      <c r="B7" s="477">
        <f>landbouw!B8</f>
        <v>1250.8310390837978</v>
      </c>
      <c r="C7" s="477">
        <f>landbouw!C8</f>
        <v>35.357142857142861</v>
      </c>
      <c r="D7" s="477">
        <f>landbouw!D8</f>
        <v>151.23578861639547</v>
      </c>
      <c r="E7" s="477">
        <f>landbouw!E8</f>
        <v>36.765744717631584</v>
      </c>
      <c r="F7" s="477">
        <f>landbouw!F8</f>
        <v>5210.8945174614619</v>
      </c>
      <c r="G7" s="477">
        <f>landbouw!G8</f>
        <v>0</v>
      </c>
      <c r="H7" s="477">
        <f>landbouw!H8</f>
        <v>0</v>
      </c>
      <c r="I7" s="477">
        <f>landbouw!I8</f>
        <v>0</v>
      </c>
      <c r="J7" s="477">
        <f>landbouw!J8</f>
        <v>181.21855565919276</v>
      </c>
      <c r="K7" s="477">
        <f>landbouw!K8</f>
        <v>0</v>
      </c>
      <c r="L7" s="477">
        <f>landbouw!L8</f>
        <v>0</v>
      </c>
      <c r="M7" s="477">
        <f>landbouw!M8</f>
        <v>0</v>
      </c>
      <c r="N7" s="477">
        <f>landbouw!N8</f>
        <v>0</v>
      </c>
      <c r="O7" s="477">
        <f>landbouw!O8</f>
        <v>0</v>
      </c>
      <c r="P7" s="478">
        <f>landbouw!P8</f>
        <v>0</v>
      </c>
      <c r="Q7" s="476">
        <f t="shared" si="0"/>
        <v>6866.3027883956229</v>
      </c>
    </row>
    <row r="8" spans="1:17">
      <c r="A8" s="476" t="s">
        <v>635</v>
      </c>
      <c r="B8" s="477">
        <f>industrie!B18</f>
        <v>3412.4182245765237</v>
      </c>
      <c r="C8" s="477">
        <f>industrie!C18</f>
        <v>0</v>
      </c>
      <c r="D8" s="477">
        <f>industrie!D18</f>
        <v>4752.3856721602842</v>
      </c>
      <c r="E8" s="477">
        <f>industrie!E18</f>
        <v>584.20469501993307</v>
      </c>
      <c r="F8" s="477">
        <f>industrie!F18</f>
        <v>1688.5051363678958</v>
      </c>
      <c r="G8" s="477">
        <f>industrie!G18</f>
        <v>0</v>
      </c>
      <c r="H8" s="477">
        <f>industrie!H18</f>
        <v>0</v>
      </c>
      <c r="I8" s="477">
        <f>industrie!I18</f>
        <v>0</v>
      </c>
      <c r="J8" s="477">
        <f>industrie!J18</f>
        <v>0.8596132655489801</v>
      </c>
      <c r="K8" s="477">
        <f>industrie!K18</f>
        <v>0</v>
      </c>
      <c r="L8" s="477">
        <f>industrie!L18</f>
        <v>0</v>
      </c>
      <c r="M8" s="477">
        <f>industrie!M18</f>
        <v>0</v>
      </c>
      <c r="N8" s="477">
        <f>industrie!N18</f>
        <v>867.48626002302092</v>
      </c>
      <c r="O8" s="477">
        <f>industrie!O18</f>
        <v>0</v>
      </c>
      <c r="P8" s="478">
        <f>industrie!P18</f>
        <v>0</v>
      </c>
      <c r="Q8" s="476">
        <f t="shared" si="0"/>
        <v>11305.859601413207</v>
      </c>
    </row>
    <row r="9" spans="1:17" s="482" customFormat="1">
      <c r="A9" s="480" t="s">
        <v>561</v>
      </c>
      <c r="B9" s="481">
        <f>transport!B14</f>
        <v>39.428744807742007</v>
      </c>
      <c r="C9" s="481">
        <f>transport!C14</f>
        <v>0</v>
      </c>
      <c r="D9" s="481">
        <f>transport!D14</f>
        <v>124.36347488986125</v>
      </c>
      <c r="E9" s="481">
        <f>transport!E14</f>
        <v>174.74062464375268</v>
      </c>
      <c r="F9" s="481">
        <f>transport!F14</f>
        <v>0</v>
      </c>
      <c r="G9" s="481">
        <f>transport!G14</f>
        <v>81994.580580739086</v>
      </c>
      <c r="H9" s="481">
        <f>transport!H14</f>
        <v>14203.686575688844</v>
      </c>
      <c r="I9" s="481">
        <f>transport!I14</f>
        <v>0</v>
      </c>
      <c r="J9" s="481">
        <f>transport!J14</f>
        <v>0</v>
      </c>
      <c r="K9" s="481">
        <f>transport!K14</f>
        <v>0</v>
      </c>
      <c r="L9" s="481">
        <f>transport!L14</f>
        <v>0</v>
      </c>
      <c r="M9" s="481">
        <f>transport!M14</f>
        <v>5209.6178121582871</v>
      </c>
      <c r="N9" s="481">
        <f>transport!N14</f>
        <v>0</v>
      </c>
      <c r="O9" s="481">
        <f>transport!O14</f>
        <v>0</v>
      </c>
      <c r="P9" s="481">
        <f>transport!P14</f>
        <v>0</v>
      </c>
      <c r="Q9" s="480">
        <f>SUM(B9:P9)</f>
        <v>101746.41781292758</v>
      </c>
    </row>
    <row r="10" spans="1:17">
      <c r="A10" s="476" t="s">
        <v>551</v>
      </c>
      <c r="B10" s="477">
        <f>transport!B54</f>
        <v>1361.9013749999997</v>
      </c>
      <c r="C10" s="477">
        <f>transport!C54</f>
        <v>0</v>
      </c>
      <c r="D10" s="477">
        <f>transport!D54</f>
        <v>0</v>
      </c>
      <c r="E10" s="477">
        <f>transport!E54</f>
        <v>0</v>
      </c>
      <c r="F10" s="477">
        <f>transport!F54</f>
        <v>0</v>
      </c>
      <c r="G10" s="477">
        <f>transport!G54</f>
        <v>1228.2193590485297</v>
      </c>
      <c r="H10" s="477">
        <f>transport!H54</f>
        <v>0</v>
      </c>
      <c r="I10" s="477">
        <f>transport!I54</f>
        <v>0</v>
      </c>
      <c r="J10" s="477">
        <f>transport!J54</f>
        <v>0</v>
      </c>
      <c r="K10" s="477">
        <f>transport!K54</f>
        <v>0</v>
      </c>
      <c r="L10" s="477">
        <f>transport!L54</f>
        <v>0</v>
      </c>
      <c r="M10" s="477">
        <f>transport!M54</f>
        <v>69.757437525778954</v>
      </c>
      <c r="N10" s="477">
        <f>transport!N54</f>
        <v>0</v>
      </c>
      <c r="O10" s="477">
        <f>transport!O54</f>
        <v>0</v>
      </c>
      <c r="P10" s="478">
        <f>transport!P54</f>
        <v>0</v>
      </c>
      <c r="Q10" s="476">
        <f t="shared" si="0"/>
        <v>2659.8781715743085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10332.5632424099</v>
      </c>
      <c r="C14" s="484"/>
      <c r="D14" s="484">
        <f>'SEAP template'!E25</f>
        <v>21822.711751770297</v>
      </c>
      <c r="E14" s="484"/>
      <c r="F14" s="484"/>
      <c r="G14" s="484"/>
      <c r="H14" s="484"/>
      <c r="I14" s="484"/>
      <c r="J14" s="484"/>
      <c r="K14" s="484"/>
      <c r="L14" s="484"/>
      <c r="M14" s="484"/>
      <c r="N14" s="484"/>
      <c r="O14" s="484"/>
      <c r="P14" s="485"/>
      <c r="Q14" s="476">
        <f t="shared" si="0"/>
        <v>32155.274994180196</v>
      </c>
    </row>
    <row r="15" spans="1:17" s="486" customFormat="1">
      <c r="A15" s="1039" t="s">
        <v>555</v>
      </c>
      <c r="B15" s="987">
        <f ca="1">SUM(B4:B14)</f>
        <v>119477.65801129483</v>
      </c>
      <c r="C15" s="987">
        <f t="shared" ref="C15:Q15" ca="1" si="1">SUM(C4:C14)</f>
        <v>330</v>
      </c>
      <c r="D15" s="987">
        <f t="shared" ca="1" si="1"/>
        <v>209523.66713442275</v>
      </c>
      <c r="E15" s="987">
        <f t="shared" si="1"/>
        <v>1402.2804267428901</v>
      </c>
      <c r="F15" s="987">
        <f t="shared" ca="1" si="1"/>
        <v>15527.098759615888</v>
      </c>
      <c r="G15" s="987">
        <f t="shared" si="1"/>
        <v>83222.799939787612</v>
      </c>
      <c r="H15" s="987">
        <f t="shared" si="1"/>
        <v>14203.686575688844</v>
      </c>
      <c r="I15" s="987">
        <f t="shared" si="1"/>
        <v>0</v>
      </c>
      <c r="J15" s="987">
        <f t="shared" si="1"/>
        <v>182.25860066657043</v>
      </c>
      <c r="K15" s="987">
        <f t="shared" si="1"/>
        <v>0</v>
      </c>
      <c r="L15" s="987">
        <f t="shared" ca="1" si="1"/>
        <v>0</v>
      </c>
      <c r="M15" s="987">
        <f t="shared" si="1"/>
        <v>5279.3752496840661</v>
      </c>
      <c r="N15" s="987">
        <f t="shared" ca="1" si="1"/>
        <v>7989.0330388120101</v>
      </c>
      <c r="O15" s="987">
        <f t="shared" si="1"/>
        <v>376.76333333333338</v>
      </c>
      <c r="P15" s="987">
        <f t="shared" si="1"/>
        <v>724.5333333333333</v>
      </c>
      <c r="Q15" s="987">
        <f t="shared" ca="1" si="1"/>
        <v>458239.15440338216</v>
      </c>
    </row>
    <row r="17" spans="1:17">
      <c r="A17" s="487" t="s">
        <v>556</v>
      </c>
      <c r="B17" s="786">
        <f ca="1">huishoudens!B10</f>
        <v>0.21480977072814492</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10751.647055530118</v>
      </c>
      <c r="C22" s="477">
        <f t="shared" ref="C22:C32" ca="1" si="3">C4*$C$17</f>
        <v>0</v>
      </c>
      <c r="D22" s="477">
        <f t="shared" ref="D22:D32" si="4">D4*$D$17</f>
        <v>23939.408094515526</v>
      </c>
      <c r="E22" s="477">
        <f t="shared" ref="E22:E32" si="5">E4*$E$17</f>
        <v>0</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34691.055150045642</v>
      </c>
    </row>
    <row r="23" spans="1:17">
      <c r="A23" s="476" t="s">
        <v>156</v>
      </c>
      <c r="B23" s="477">
        <f t="shared" ca="1" si="2"/>
        <v>10764.702180592174</v>
      </c>
      <c r="C23" s="477">
        <f t="shared" ca="1" si="3"/>
        <v>70.021008403361364</v>
      </c>
      <c r="D23" s="477">
        <f t="shared" ca="1" si="4"/>
        <v>12960.531935775634</v>
      </c>
      <c r="E23" s="477">
        <f t="shared" si="5"/>
        <v>137.69124525607702</v>
      </c>
      <c r="F23" s="477">
        <f t="shared" ca="1" si="6"/>
        <v>2303.5956612450036</v>
      </c>
      <c r="G23" s="477">
        <f t="shared" si="7"/>
        <v>0</v>
      </c>
      <c r="H23" s="477">
        <f t="shared" si="8"/>
        <v>0</v>
      </c>
      <c r="I23" s="477">
        <f t="shared" si="9"/>
        <v>0</v>
      </c>
      <c r="J23" s="477">
        <f t="shared" si="10"/>
        <v>6.3872836607355155E-2</v>
      </c>
      <c r="K23" s="477">
        <f t="shared" si="11"/>
        <v>0</v>
      </c>
      <c r="L23" s="477">
        <f t="shared" ca="1" si="12"/>
        <v>0</v>
      </c>
      <c r="M23" s="477">
        <f t="shared" si="13"/>
        <v>0</v>
      </c>
      <c r="N23" s="477">
        <f t="shared" ca="1" si="14"/>
        <v>0</v>
      </c>
      <c r="O23" s="477">
        <f t="shared" si="15"/>
        <v>0</v>
      </c>
      <c r="P23" s="478">
        <f t="shared" si="16"/>
        <v>0</v>
      </c>
      <c r="Q23" s="476">
        <f t="shared" ref="Q23:Q32" ca="1" si="17">SUM(B23:P23)</f>
        <v>26236.605904108852</v>
      </c>
    </row>
    <row r="24" spans="1:17">
      <c r="A24" s="476" t="s">
        <v>194</v>
      </c>
      <c r="B24" s="477">
        <f t="shared" ca="1" si="2"/>
        <v>626.35264035811986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626.35264035811986</v>
      </c>
    </row>
    <row r="25" spans="1:17">
      <c r="A25" s="476" t="s">
        <v>112</v>
      </c>
      <c r="B25" s="477">
        <f t="shared" ca="1" si="2"/>
        <v>268.69072872523788</v>
      </c>
      <c r="C25" s="477">
        <f t="shared" ca="1" si="3"/>
        <v>8.4025210084033635</v>
      </c>
      <c r="D25" s="477">
        <f t="shared" si="4"/>
        <v>30.549629300511885</v>
      </c>
      <c r="E25" s="477">
        <f t="shared" si="5"/>
        <v>8.3458240509023707</v>
      </c>
      <c r="F25" s="477">
        <f t="shared" si="6"/>
        <v>1391.3088361622104</v>
      </c>
      <c r="G25" s="477">
        <f t="shared" si="7"/>
        <v>0</v>
      </c>
      <c r="H25" s="477">
        <f t="shared" si="8"/>
        <v>0</v>
      </c>
      <c r="I25" s="477">
        <f t="shared" si="9"/>
        <v>0</v>
      </c>
      <c r="J25" s="477">
        <f t="shared" si="10"/>
        <v>64.151368703354237</v>
      </c>
      <c r="K25" s="477">
        <f t="shared" si="11"/>
        <v>0</v>
      </c>
      <c r="L25" s="477">
        <f t="shared" si="12"/>
        <v>0</v>
      </c>
      <c r="M25" s="477">
        <f t="shared" si="13"/>
        <v>0</v>
      </c>
      <c r="N25" s="477">
        <f t="shared" si="14"/>
        <v>0</v>
      </c>
      <c r="O25" s="477">
        <f t="shared" si="15"/>
        <v>0</v>
      </c>
      <c r="P25" s="478">
        <f t="shared" si="16"/>
        <v>0</v>
      </c>
      <c r="Q25" s="476">
        <f t="shared" ca="1" si="17"/>
        <v>1771.44890795062</v>
      </c>
    </row>
    <row r="26" spans="1:17">
      <c r="A26" s="476" t="s">
        <v>635</v>
      </c>
      <c r="B26" s="477">
        <f t="shared" ca="1" si="2"/>
        <v>733.02077644982637</v>
      </c>
      <c r="C26" s="477">
        <f t="shared" ca="1" si="3"/>
        <v>0</v>
      </c>
      <c r="D26" s="477">
        <f t="shared" si="4"/>
        <v>959.98190577637752</v>
      </c>
      <c r="E26" s="477">
        <f t="shared" si="5"/>
        <v>132.6144657695248</v>
      </c>
      <c r="F26" s="477">
        <f t="shared" si="6"/>
        <v>450.83087141022821</v>
      </c>
      <c r="G26" s="477">
        <f t="shared" si="7"/>
        <v>0</v>
      </c>
      <c r="H26" s="477">
        <f t="shared" si="8"/>
        <v>0</v>
      </c>
      <c r="I26" s="477">
        <f t="shared" si="9"/>
        <v>0</v>
      </c>
      <c r="J26" s="477">
        <f t="shared" si="10"/>
        <v>0.30430309600433891</v>
      </c>
      <c r="K26" s="477">
        <f t="shared" si="11"/>
        <v>0</v>
      </c>
      <c r="L26" s="477">
        <f t="shared" si="12"/>
        <v>0</v>
      </c>
      <c r="M26" s="477">
        <f t="shared" si="13"/>
        <v>0</v>
      </c>
      <c r="N26" s="477">
        <f t="shared" si="14"/>
        <v>0</v>
      </c>
      <c r="O26" s="477">
        <f t="shared" si="15"/>
        <v>0</v>
      </c>
      <c r="P26" s="478">
        <f t="shared" si="16"/>
        <v>0</v>
      </c>
      <c r="Q26" s="476">
        <f t="shared" ca="1" si="17"/>
        <v>2276.7523225019613</v>
      </c>
    </row>
    <row r="27" spans="1:17" s="482" customFormat="1">
      <c r="A27" s="480" t="s">
        <v>561</v>
      </c>
      <c r="B27" s="780">
        <f t="shared" ca="1" si="2"/>
        <v>8.4696796322495942</v>
      </c>
      <c r="C27" s="481">
        <f t="shared" ca="1" si="3"/>
        <v>0</v>
      </c>
      <c r="D27" s="481">
        <f t="shared" si="4"/>
        <v>25.121421927751975</v>
      </c>
      <c r="E27" s="481">
        <f t="shared" si="5"/>
        <v>39.666121794131861</v>
      </c>
      <c r="F27" s="481">
        <f t="shared" si="6"/>
        <v>0</v>
      </c>
      <c r="G27" s="481">
        <f t="shared" si="7"/>
        <v>21892.553015057336</v>
      </c>
      <c r="H27" s="481">
        <f t="shared" si="8"/>
        <v>3536.7179573465219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25502.52819575799</v>
      </c>
    </row>
    <row r="28" spans="1:17">
      <c r="A28" s="476" t="s">
        <v>551</v>
      </c>
      <c r="B28" s="477">
        <f t="shared" ca="1" si="2"/>
        <v>292.54972211809525</v>
      </c>
      <c r="C28" s="477">
        <f t="shared" ca="1" si="3"/>
        <v>0</v>
      </c>
      <c r="D28" s="477">
        <f t="shared" si="4"/>
        <v>0</v>
      </c>
      <c r="E28" s="477">
        <f t="shared" si="5"/>
        <v>0</v>
      </c>
      <c r="F28" s="477">
        <f t="shared" si="6"/>
        <v>0</v>
      </c>
      <c r="G28" s="477">
        <f t="shared" si="7"/>
        <v>327.93456886595743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620.48429098405268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2219.5355411361284</v>
      </c>
      <c r="C32" s="477">
        <f t="shared" ca="1" si="3"/>
        <v>0</v>
      </c>
      <c r="D32" s="477">
        <f t="shared" si="4"/>
        <v>4408.1877738576004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6627.7233149937292</v>
      </c>
    </row>
    <row r="33" spans="1:17" s="486" customFormat="1">
      <c r="A33" s="1039" t="s">
        <v>555</v>
      </c>
      <c r="B33" s="987">
        <f ca="1">SUM(B22:B32)</f>
        <v>25664.968324541947</v>
      </c>
      <c r="C33" s="987">
        <f t="shared" ref="C33:Q33" ca="1" si="18">SUM(C22:C32)</f>
        <v>78.423529411764733</v>
      </c>
      <c r="D33" s="987">
        <f t="shared" ca="1" si="18"/>
        <v>42323.780761153401</v>
      </c>
      <c r="E33" s="987">
        <f t="shared" si="18"/>
        <v>318.31765687063603</v>
      </c>
      <c r="F33" s="987">
        <f t="shared" ca="1" si="18"/>
        <v>4145.7353688174426</v>
      </c>
      <c r="G33" s="987">
        <f t="shared" si="18"/>
        <v>22220.487583923292</v>
      </c>
      <c r="H33" s="987">
        <f t="shared" si="18"/>
        <v>3536.7179573465219</v>
      </c>
      <c r="I33" s="987">
        <f t="shared" si="18"/>
        <v>0</v>
      </c>
      <c r="J33" s="987">
        <f t="shared" si="18"/>
        <v>64.519544635965929</v>
      </c>
      <c r="K33" s="987">
        <f t="shared" si="18"/>
        <v>0</v>
      </c>
      <c r="L33" s="987">
        <f t="shared" ca="1" si="18"/>
        <v>0</v>
      </c>
      <c r="M33" s="987">
        <f t="shared" si="18"/>
        <v>0</v>
      </c>
      <c r="N33" s="987">
        <f t="shared" ca="1" si="18"/>
        <v>0</v>
      </c>
      <c r="O33" s="987">
        <f t="shared" si="18"/>
        <v>0</v>
      </c>
      <c r="P33" s="987">
        <f t="shared" si="18"/>
        <v>0</v>
      </c>
      <c r="Q33" s="987">
        <f t="shared" ca="1" si="18"/>
        <v>98352.950726700961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3594.9799391060783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231</v>
      </c>
      <c r="D8" s="1056">
        <f>'SEAP template'!D76</f>
        <v>271.76470588235293</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54.896470588235296</v>
      </c>
    </row>
    <row r="9" spans="1:16">
      <c r="A9" s="1059" t="s">
        <v>855</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3594.9799391060783</v>
      </c>
      <c r="C10" s="1060">
        <f>SUM(C4:C9)</f>
        <v>231</v>
      </c>
      <c r="D10" s="1060">
        <f t="shared" ref="D10:H10" si="0">SUM(D8:D9)</f>
        <v>271.76470588235293</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54.896470588235296</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0.21480977072814492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330</v>
      </c>
      <c r="D17" s="1057">
        <f>'SEAP template'!D87</f>
        <v>388.23529411764707</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78.423529411764719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330</v>
      </c>
      <c r="D20" s="1060">
        <f t="shared" ref="D20:H20" si="2">SUM(D17:D19)</f>
        <v>388.23529411764707</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78.423529411764719</v>
      </c>
    </row>
    <row r="22" spans="1:16">
      <c r="A22" s="487" t="s">
        <v>863</v>
      </c>
      <c r="B22" s="786" t="s">
        <v>857</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0.21480977072814492</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2019-06-29T17:04:28Z</dcterms:modified>
</cp:coreProperties>
</file>