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G19"/>
  <c r="F19"/>
  <c r="G89" i="14" s="1"/>
  <c r="G19" i="61" s="1"/>
  <c r="E19" i="18"/>
  <c r="F89" i="14" s="1"/>
  <c r="F19" i="61" s="1"/>
  <c r="D19" i="18"/>
  <c r="C19"/>
  <c r="D89" i="14" s="1"/>
  <c r="D19" i="61" s="1"/>
  <c r="B19" i="18"/>
  <c r="N18"/>
  <c r="L88" i="14" s="1"/>
  <c r="M18" i="18"/>
  <c r="L18"/>
  <c r="K18"/>
  <c r="J18"/>
  <c r="I18"/>
  <c r="H18"/>
  <c r="M88" i="14" s="1"/>
  <c r="M18" i="61" s="1"/>
  <c r="G18" i="18"/>
  <c r="H88" i="14" s="1"/>
  <c r="H18" i="61" s="1"/>
  <c r="F18" i="18"/>
  <c r="G88" i="14" s="1"/>
  <c r="G18" i="61" s="1"/>
  <c r="E18" i="18"/>
  <c r="D18"/>
  <c r="C18"/>
  <c r="D88" i="14" s="1"/>
  <c r="D18" i="61" s="1"/>
  <c r="B18" i="18"/>
  <c r="L9"/>
  <c r="K9"/>
  <c r="K10" s="1"/>
  <c r="I9"/>
  <c r="G9"/>
  <c r="F9"/>
  <c r="F10" s="1"/>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B17"/>
  <c r="G12"/>
  <c r="F12"/>
  <c r="E12"/>
  <c r="D12"/>
  <c r="C12"/>
  <c r="L10"/>
  <c r="G10"/>
  <c r="E77" i="14"/>
  <c r="E9" i="61" s="1"/>
  <c r="B8" i="18"/>
  <c r="B6"/>
  <c r="B74" i="14" s="1"/>
  <c r="B6" i="61" s="1"/>
  <c r="B5" i="18"/>
  <c r="B4"/>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M4"/>
  <c r="L4"/>
  <c r="K4"/>
  <c r="I4"/>
  <c r="H4"/>
  <c r="G4"/>
  <c r="P11"/>
  <c r="O11"/>
  <c r="N11"/>
  <c r="M11"/>
  <c r="L11"/>
  <c r="K11"/>
  <c r="J11"/>
  <c r="I11"/>
  <c r="H11"/>
  <c r="G11"/>
  <c r="F11"/>
  <c r="E11"/>
  <c r="D11"/>
  <c r="C11"/>
  <c r="B11"/>
  <c r="O32"/>
  <c r="O30"/>
  <c r="O89" i="14"/>
  <c r="O19" i="61" s="1"/>
  <c r="M89" i="14"/>
  <c r="M19" i="61" s="1"/>
  <c r="L89" i="14"/>
  <c r="L19" i="61" s="1"/>
  <c r="K89" i="14"/>
  <c r="K19" i="61" s="1"/>
  <c r="J89" i="14"/>
  <c r="J19" i="61" s="1"/>
  <c r="H89" i="14"/>
  <c r="H19" i="61" s="1"/>
  <c r="E89" i="14"/>
  <c r="E19" i="61" s="1"/>
  <c r="K88" i="14"/>
  <c r="K18"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K90"/>
  <c r="R78"/>
  <c r="L56"/>
  <c r="I56"/>
  <c r="P52"/>
  <c r="R44"/>
  <c r="Q26"/>
  <c r="N26"/>
  <c r="E25"/>
  <c r="D14" i="48" s="1"/>
  <c r="C25" i="14"/>
  <c r="B14" i="48" s="1"/>
  <c r="H26" i="14"/>
  <c r="Q22"/>
  <c r="G22"/>
  <c r="R12"/>
  <c r="D5" i="17"/>
  <c r="Q14" i="48" l="1"/>
  <c r="L90" i="14"/>
  <c r="L18" i="61"/>
  <c r="L20" s="1"/>
  <c r="N77" i="14"/>
  <c r="O10" i="61"/>
  <c r="G20"/>
  <c r="K20"/>
  <c r="Q11" i="48"/>
  <c r="B98" i="18"/>
  <c r="F102" s="1"/>
  <c r="E90" i="14"/>
  <c r="E18" i="61"/>
  <c r="E20" s="1"/>
  <c r="B10" i="18"/>
  <c r="H9"/>
  <c r="O9" s="1"/>
  <c r="G10" i="61"/>
  <c r="O31" i="48"/>
  <c r="P31"/>
  <c r="L78" i="14"/>
  <c r="L8" i="61"/>
  <c r="L10" s="1"/>
  <c r="K78" i="14"/>
  <c r="K8" i="61"/>
  <c r="K10" s="1"/>
  <c r="N20"/>
  <c r="J22" i="14"/>
  <c r="P22"/>
  <c r="B20" i="18"/>
  <c r="F13" i="15"/>
  <c r="O22" i="14"/>
  <c r="G77"/>
  <c r="G9" i="61" s="1"/>
  <c r="H20"/>
  <c r="P25" i="48"/>
  <c r="I77" i="14"/>
  <c r="I9" i="61" s="1"/>
  <c r="L13" i="15"/>
  <c r="B13"/>
  <c r="H90" i="14"/>
  <c r="N13" i="15"/>
  <c r="F77" i="14"/>
  <c r="F9" i="61" s="1"/>
  <c r="I101" i="18"/>
  <c r="H8" s="1"/>
  <c r="E101"/>
  <c r="E8" s="1"/>
  <c r="G101"/>
  <c r="I8" s="1"/>
  <c r="F101"/>
  <c r="H101"/>
  <c r="D101"/>
  <c r="C101"/>
  <c r="B101"/>
  <c r="C8" s="1"/>
  <c r="E102"/>
  <c r="E17" s="1"/>
  <c r="C102"/>
  <c r="B102"/>
  <c r="C17" s="1"/>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I102" i="18" l="1"/>
  <c r="H17" s="1"/>
  <c r="H78" i="14"/>
  <c r="H9" i="61"/>
  <c r="H10" s="1"/>
  <c r="H102" i="18"/>
  <c r="D102"/>
  <c r="N78" i="14"/>
  <c r="N9" i="61"/>
  <c r="N10" s="1"/>
  <c r="O90" i="14"/>
  <c r="O18" i="61"/>
  <c r="O20" s="1"/>
  <c r="G102" i="18"/>
  <c r="M77" i="14"/>
  <c r="M9" i="61" s="1"/>
  <c r="B88" i="14"/>
  <c r="B18"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M90" i="14"/>
  <c r="M17" i="61"/>
  <c r="M20" s="1"/>
  <c r="F78" i="14"/>
  <c r="F8" i="61"/>
  <c r="F10" s="1"/>
  <c r="F90" i="14"/>
  <c r="F17" i="61"/>
  <c r="F20" s="1"/>
  <c r="B77" i="14"/>
  <c r="B9" i="61" s="1"/>
  <c r="Q77" i="14"/>
  <c r="P9" i="61" s="1"/>
  <c r="I78" i="14"/>
  <c r="Q76"/>
  <c r="D78"/>
  <c r="J87"/>
  <c r="J20" i="18"/>
  <c r="I87" i="14"/>
  <c r="I17" i="61" s="1"/>
  <c r="I20" s="1"/>
  <c r="I20" i="18"/>
  <c r="O17"/>
  <c r="O20" s="1"/>
  <c r="Q87" i="14"/>
  <c r="D90"/>
  <c r="J10" i="18"/>
  <c r="J76" i="14"/>
  <c r="D5" i="13"/>
  <c r="Q78" i="14" l="1"/>
  <c r="B9" i="6" s="1"/>
  <c r="P8" i="61"/>
  <c r="P10" s="1"/>
  <c r="Q90" i="14"/>
  <c r="B17" i="6" s="1"/>
  <c r="P17" i="61"/>
  <c r="P2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H10" i="14" l="1"/>
  <c r="H16" s="1"/>
  <c r="G5" i="48"/>
  <c r="H5"/>
  <c r="I10" i="14"/>
  <c r="I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H29" i="48" l="1"/>
  <c r="H25"/>
  <c r="H32"/>
  <c r="H28"/>
  <c r="H30"/>
  <c r="H24"/>
  <c r="H22"/>
  <c r="H26"/>
  <c r="H23"/>
  <c r="N31"/>
  <c r="N30"/>
  <c r="N32"/>
  <c r="N24"/>
  <c r="N27"/>
  <c r="N29"/>
  <c r="N28"/>
  <c r="P11" i="14"/>
  <c r="O4" i="48"/>
  <c r="I31"/>
  <c r="I24"/>
  <c r="I25"/>
  <c r="I28"/>
  <c r="I30"/>
  <c r="I22"/>
  <c r="I32"/>
  <c r="I26"/>
  <c r="I29"/>
  <c r="I27"/>
  <c r="D4"/>
  <c r="D22" s="1"/>
  <c r="E11" i="14"/>
  <c r="B4" i="48"/>
  <c r="C11" i="14"/>
  <c r="F30" i="48"/>
  <c r="F31"/>
  <c r="F27"/>
  <c r="F32"/>
  <c r="F24"/>
  <c r="F28"/>
  <c r="F29"/>
  <c r="B10"/>
  <c r="C19" i="14"/>
  <c r="E29" i="48"/>
  <c r="E31"/>
  <c r="E24"/>
  <c r="E30"/>
  <c r="E28"/>
  <c r="E32"/>
  <c r="M29"/>
  <c r="M22"/>
  <c r="M26"/>
  <c r="M24"/>
  <c r="M25"/>
  <c r="M30"/>
  <c r="M32"/>
  <c r="M23"/>
  <c r="K5"/>
  <c r="L10" i="14"/>
  <c r="L16" s="1"/>
  <c r="L27" s="1"/>
  <c r="D30" i="48"/>
  <c r="D28"/>
  <c r="D29"/>
  <c r="D31"/>
  <c r="D32"/>
  <c r="D24"/>
  <c r="L29"/>
  <c r="L32"/>
  <c r="L30"/>
  <c r="L27"/>
  <c r="L28"/>
  <c r="L24"/>
  <c r="L31"/>
  <c r="L22"/>
  <c r="P5"/>
  <c r="P23" s="1"/>
  <c r="Q10" i="14"/>
  <c r="C4" i="48"/>
  <c r="D11" i="14"/>
  <c r="G23" i="48"/>
  <c r="G30"/>
  <c r="G32"/>
  <c r="G25"/>
  <c r="G22"/>
  <c r="G29"/>
  <c r="G26"/>
  <c r="G24"/>
  <c r="K32"/>
  <c r="K24"/>
  <c r="K28"/>
  <c r="K26"/>
  <c r="K22"/>
  <c r="K29"/>
  <c r="K25"/>
  <c r="K30"/>
  <c r="K31"/>
  <c r="K27"/>
  <c r="C24" i="14"/>
  <c r="C26" s="1"/>
  <c r="B7" i="48"/>
  <c r="J24"/>
  <c r="J30"/>
  <c r="J32"/>
  <c r="J29"/>
  <c r="J28"/>
  <c r="J27"/>
  <c r="J31"/>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Q13" i="14"/>
  <c r="Q16" s="1"/>
  <c r="Q27" s="1"/>
  <c r="P8" i="48"/>
  <c r="P26" s="1"/>
  <c r="D9"/>
  <c r="D27" s="1"/>
  <c r="E20" i="14"/>
  <c r="E22" s="1"/>
  <c r="P10"/>
  <c r="O5" i="48"/>
  <c r="O23" s="1"/>
  <c r="C20" i="14"/>
  <c r="C22" s="1"/>
  <c r="B9" i="48"/>
  <c r="P22"/>
  <c r="P33" s="1"/>
  <c r="P15"/>
  <c r="K33"/>
  <c r="L46" i="14"/>
  <c r="L61" s="1"/>
  <c r="L63" s="1"/>
  <c r="H18"/>
  <c r="G13" i="48"/>
  <c r="G31" s="1"/>
  <c r="E9"/>
  <c r="E27" s="1"/>
  <c r="F20" i="14"/>
  <c r="F22" s="1"/>
  <c r="K24"/>
  <c r="K26" s="1"/>
  <c r="J7" i="48"/>
  <c r="J25" s="1"/>
  <c r="G11" i="14"/>
  <c r="F4" i="48"/>
  <c r="F22" s="1"/>
  <c r="I5"/>
  <c r="J10" i="14"/>
  <c r="J16" s="1"/>
  <c r="J27" s="1"/>
  <c r="J63" s="1"/>
  <c r="K23" i="48"/>
  <c r="K15"/>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N22" s="1"/>
  <c r="N27" s="1"/>
  <c r="E4" i="48"/>
  <c r="F11" i="14"/>
  <c r="P13"/>
  <c r="O8" i="48"/>
  <c r="O11" i="14"/>
  <c r="N4" i="48"/>
  <c r="N22" s="1"/>
  <c r="P16" i="14"/>
  <c r="P27" s="1"/>
  <c r="Q63"/>
  <c r="M14" i="22"/>
  <c r="M18" s="1"/>
  <c r="N50" i="14" s="1"/>
  <c r="N52" s="1"/>
  <c r="N61" s="1"/>
  <c r="J4" i="48"/>
  <c r="K11" i="14"/>
  <c r="I15" i="48"/>
  <c r="I23"/>
  <c r="I33" s="1"/>
  <c r="P46" i="14"/>
  <c r="P61" s="1"/>
  <c r="H14" i="22"/>
  <c r="I20" i="14" s="1"/>
  <c r="I22" s="1"/>
  <c r="I27" s="1"/>
  <c r="H19"/>
  <c r="G10" i="48"/>
  <c r="E7"/>
  <c r="E25" s="1"/>
  <c r="F24" i="14"/>
  <c r="F26" s="1"/>
  <c r="H9" i="48"/>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G9" i="48"/>
  <c r="H20" i="14"/>
  <c r="H22" s="1"/>
  <c r="H27" s="1"/>
  <c r="E22" i="48"/>
  <c r="Q4"/>
  <c r="G28"/>
  <c r="Q10"/>
  <c r="R11" i="14"/>
  <c r="J5" i="48"/>
  <c r="J23" s="1"/>
  <c r="K10" i="14"/>
  <c r="F10"/>
  <c r="E5" i="48"/>
  <c r="E23" s="1"/>
  <c r="R19" i="14"/>
  <c r="J22" i="48"/>
  <c r="O26"/>
  <c r="O33" s="1"/>
  <c r="O15"/>
  <c r="P63" i="14"/>
  <c r="Q7" i="48"/>
  <c r="M15"/>
  <c r="M27"/>
  <c r="M33" s="1"/>
  <c r="Q9"/>
  <c r="H15"/>
  <c r="H27"/>
  <c r="H33" s="1"/>
  <c r="N63" i="14"/>
  <c r="R24"/>
  <c r="R26" s="1"/>
  <c r="N18" i="16"/>
  <c r="E20" i="15"/>
  <c r="F40" i="14" s="1"/>
  <c r="F18" i="16"/>
  <c r="J18"/>
  <c r="E18"/>
  <c r="G18" i="22"/>
  <c r="H50" i="14" s="1"/>
  <c r="H18" i="22"/>
  <c r="I50" i="14" s="1"/>
  <c r="I52" s="1"/>
  <c r="I61" s="1"/>
  <c r="I63" s="1"/>
  <c r="F13" l="1"/>
  <c r="F16" s="1"/>
  <c r="F27" s="1"/>
  <c r="F63" s="1"/>
  <c r="E8" i="48"/>
  <c r="G27"/>
  <c r="G33" s="1"/>
  <c r="G15"/>
  <c r="H63" i="14"/>
  <c r="R20"/>
  <c r="R22" s="1"/>
  <c r="K13"/>
  <c r="K16" s="1"/>
  <c r="K27" s="1"/>
  <c r="K63" s="1"/>
  <c r="J8" i="48"/>
  <c r="N8"/>
  <c r="N26" s="1"/>
  <c r="O13" i="14"/>
  <c r="F8" i="48"/>
  <c r="G13" i="14"/>
  <c r="R13" s="1"/>
  <c r="E22" i="16"/>
  <c r="F43" i="14" s="1"/>
  <c r="F46" s="1"/>
  <c r="F61" s="1"/>
  <c r="F22" i="16"/>
  <c r="G43" i="14" s="1"/>
  <c r="N22" i="16"/>
  <c r="O43" i="14" s="1"/>
  <c r="J22" i="16"/>
  <c r="K43" i="14" s="1"/>
  <c r="K46" s="1"/>
  <c r="K61" s="1"/>
  <c r="E26" i="48" l="1"/>
  <c r="E33" s="1"/>
  <c r="E15"/>
  <c r="J26"/>
  <c r="J33" s="1"/>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<sst xmlns="http://schemas.openxmlformats.org/spreadsheetml/2006/main" count="2398" uniqueCount="887">
  <si>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</si>
  <si>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</si>
  <si>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</si>
  <si>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</si>
  <si>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</si>
  <si>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</si>
  <si>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</si>
  <si>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</si>
  <si>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</si>
  <si>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</si>
  <si>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</si>
  <si>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</si>
  <si>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</si>
  <si>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</si>
  <si>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</si>
  <si>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</si>
  <si>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</si>
  <si>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</si>
  <si>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</si>
  <si>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</si>
  <si>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</si>
  <si>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</si>
  <si>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</si>
  <si>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</si>
  <si>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</si>
  <si>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</si>
  <si>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</si>
  <si>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</si>
  <si>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</si>
  <si>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</si>
  <si>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</si>
  <si>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</si>
  <si>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</si>
  <si>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</si>
  <si>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</si>
  <si>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</si>
  <si>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</si>
  <si>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</si>
  <si>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</si>
  <si>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</si>
  <si>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</si>
  <si>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</si>
  <si>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</si>
  <si>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</si>
  <si>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</si>
  <si>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</si>
  <si>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</si>
  <si>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</si>
  <si>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</si>
  <si>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</si>
  <si>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</si>
  <si>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</si>
  <si>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</si>
  <si>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</si>
  <si>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</si>
  <si>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</si>
  <si>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</si>
  <si>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</si>
  <si>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</si>
  <si>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</si>
  <si>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</si>
  <si>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</si>
  <si>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</si>
  <si>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</si>
  <si>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</si>
  <si>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</si>
  <si>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</si>
  <si>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</si>
  <si>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</si>
  <si>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</si>
  <si>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</si>
  <si>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</si>
  <si>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</si>
  <si>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</si>
  <si>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</si>
  <si>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</si>
  <si>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</si>
  <si>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</si>
  <si>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</si>
  <si>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</si>
  <si>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</si>
  <si>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</si>
  <si>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</si>
  <si>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</si>
  <si>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</si>
  <si>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</si>
  <si>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</si>
  <si>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</si>
  <si>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</si>
  <si>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</si>
  <si>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</si>
  <si>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</si>
  <si>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</si>
  <si>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</si>
  <si>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</si>
  <si>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</si>
  <si>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</si>
  <si>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</si>
  <si>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</si>
  <si>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</si>
  <si>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</si>
  <si>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</si>
  <si>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</si>
  <si>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</si>
  <si>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</si>
  <si>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</si>
  <si>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</si>
  <si>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</si>
  <si>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</si>
  <si>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</si>
  <si>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</si>
  <si>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</si>
  <si>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</si>
  <si>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</si>
  <si>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</si>
  <si>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</si>
  <si>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</si>
  <si>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</si>
  <si>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</si>
  <si>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</si>
  <si>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</si>
  <si>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</si>
  <si>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</si>
  <si>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</si>
  <si>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</si>
  <si>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</si>
  <si>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</si>
  <si>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</si>
  <si>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</si>
  <si>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</si>
  <si>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</si>
  <si>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</si>
  <si>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</si>
  <si>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</si>
  <si>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</si>
  <si>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</si>
  <si>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</si>
  <si>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</si>
  <si>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</si>
  <si>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</si>
  <si>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</si>
  <si>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</si>
  <si>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</si>
  <si>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</si>
  <si>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</si>
  <si>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</si>
  <si>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</si>
  <si>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</si>
  <si>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</si>
  <si>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</si>
  <si>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</si>
  <si>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</si>
  <si>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</si>
  <si>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</si>
  <si>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</si>
  <si>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</si>
  <si>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</si>
  <si>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</si>
  <si>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</si>
  <si>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</si>
  <si>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</si>
  <si>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</si>
  <si>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</si>
  <si>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</si>
  <si>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</si>
  <si>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</si>
  <si>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</si>
  <si>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</si>
  <si>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</si>
  <si>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</si>
  <si>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</si>
  <si>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</si>
  <si>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</si>
  <si>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</si>
  <si>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</si>
  <si>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</si>
  <si>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</si>
  <si>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</si>
  <si>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</si>
  <si>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</si>
  <si>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</si>
  <si>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</si>
  <si>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</si>
  <si>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</si>
  <si>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</si>
  <si>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</si>
  <si>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</si>
  <si>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</si>
  <si>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</si>
  <si>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</si>
  <si>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</si>
  <si>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</si>
  <si>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</si>
  <si>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</si>
  <si>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</si>
  <si>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</si>
  <si>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</si>
  <si>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</si>
  <si>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</si>
  <si>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</si>
  <si>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</si>
  <si>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</si>
  <si>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</si>
  <si>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</si>
  <si>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</si>
  <si>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</si>
  <si>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</si>
  <si>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</si>
  <si>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</si>
  <si>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</si>
  <si>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</si>
  <si>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</si>
  <si>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</si>
  <si>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</si>
  <si>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</si>
  <si>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</si>
  <si>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</si>
  <si>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</si>
  <si>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</si>
  <si>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</si>
  <si>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</si>
  <si>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</si>
  <si>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</si>
  <si>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</si>
  <si>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</si>
  <si>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</si>
  <si>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</si>
  <si>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</si>
  <si>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</si>
  <si>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</si>
  <si>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</si>
  <si>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</si>
  <si>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</si>
  <si>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</si>
  <si>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</si>
  <si>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</si>
  <si>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</si>
  <si>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</si>
  <si>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</si>
  <si>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</si>
  <si>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</si>
  <si>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</si>
  <si>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</si>
  <si>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</si>
  <si>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</si>
  <si>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</si>
  <si>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</si>
  <si>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</si>
  <si>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</si>
  <si>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</si>
  <si>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</si>
  <si>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</si>
  <si>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</si>
  <si>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</si>
  <si>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</si>
  <si>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</si>
  <si>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</si>
  <si>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</si>
  <si>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</si>
  <si>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</si>
  <si>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</si>
  <si>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</si>
  <si>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</si>
  <si>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</si>
  <si>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</si>
  <si>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</si>
  <si>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</si>
  <si>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</si>
  <si>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</si>
  <si>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</si>
  <si>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</si>
  <si>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</si>
  <si>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</si>
  <si>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</si>
  <si>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</si>
  <si>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</si>
  <si>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</si>
  <si>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</si>
  <si>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</si>
  <si>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</si>
  <si>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</si>
  <si>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</si>
  <si>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</si>
  <si>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</si>
  <si>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</si>
  <si>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</si>
  <si>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</si>
  <si>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</si>
  <si>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</si>
  <si>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</si>
  <si>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</si>
  <si>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</si>
  <si>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</si>
  <si>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</si>
  <si>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</si>
  <si>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</si>
  <si>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</si>
  <si>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</si>
  <si>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</si>
  <si>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</si>
  <si>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</si>
  <si>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</si>
  <si>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</si>
  <si>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</si>
  <si>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</si>
  <si>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</si>
  <si>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</si>
  <si>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</si>
  <si>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</si>
  <si>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</si>
  <si>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</si>
  <si>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</si>
  <si>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</si>
  <si>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</si>
  <si>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</si>
  <si>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</si>
  <si>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</si>
  <si>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</si>
  <si>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</si>
  <si>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</si>
  <si>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</si>
  <si>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</si>
  <si>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</si>
  <si>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</si>
  <si>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</si>
  <si>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</si>
  <si>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</si>
  <si>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</si>
  <si>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</si>
  <si>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</si>
  <si>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</si>
  <si>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</si>
  <si>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</si>
  <si>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</si>
  <si>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</si>
  <si>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</si>
  <si>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</si>
  <si>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</si>
  <si>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</si>
  <si>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</si>
  <si>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</si>
  <si>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</si>
  <si>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</si>
  <si>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</si>
  <si>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</si>
  <si>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</si>
  <si>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</si>
  <si>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</si>
  <si>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</si>
  <si>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</si>
  <si>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</si>
  <si>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</si>
  <si>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</si>
  <si>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</si>
  <si>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</si>
  <si>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</si>
  <si>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</si>
  <si>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</si>
  <si>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</si>
  <si>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</si>
  <si>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</si>
  <si>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</si>
  <si>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</si>
  <si>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</si>
  <si>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</si>
  <si>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</si>
  <si>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</si>
  <si>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</si>
  <si>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</si>
  <si>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</si>
  <si>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</si>
  <si>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</si>
  <si>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</si>
  <si>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</si>
  <si>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</si>
  <si>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</si>
  <si>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</si>
  <si>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</si>
  <si>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</si>
  <si>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</si>
  <si>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</si>
  <si>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</si>
  <si>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</si>
  <si>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</si>
  <si>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</si>
  <si>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</si>
  <si>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</si>
  <si>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</si>
  <si>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</si>
  <si>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</si>
  <si>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</si>
  <si>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</si>
  <si>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</si>
  <si>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</si>
  <si>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</si>
  <si>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</si>
  <si>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</si>
  <si>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</si>
  <si>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</si>
  <si>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</si>
  <si>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</si>
  <si>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</si>
  <si>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</si>
  <si>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</si>
  <si>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</si>
  <si>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</si>
  <si>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</si>
  <si>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</si>
  <si>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</si>
  <si>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</si>
  <si>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</si>
  <si>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</si>
  <si>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</si>
  <si>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</si>
  <si>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</si>
  <si>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</si>
  <si>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</si>
  <si>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</si>
  <si>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</si>
  <si>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</si>
  <si>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</si>
  <si>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</si>
  <si>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</si>
  <si>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</si>
  <si>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</si>
  <si>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</si>
  <si>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</si>
  <si>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</si>
  <si>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</si>
  <si>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</si>
  <si>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</si>
  <si>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</si>
  <si>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</si>
  <si>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</si>
  <si>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</si>
  <si>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</si>
  <si>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</si>
  <si>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</si>
  <si>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</si>
  <si>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</si>
  <si>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</si>
  <si>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</si>
  <si>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</si>
  <si>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</si>
  <si>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</si>
  <si>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</si>
  <si>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</si>
  <si>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</si>
  <si>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</si>
  <si>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</si>
  <si>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</si>
  <si>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</si>
  <si>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</si>
  <si>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</si>
  <si>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</si>
  <si>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</si>
  <si>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</si>
  <si>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</si>
  <si>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</si>
  <si>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</si>
  <si>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</si>
  <si>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</si>
  <si>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</si>
  <si>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</si>
  <si>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</si>
  <si>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</si>
  <si>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</si>
  <si>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</si>
  <si>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</si>
  <si>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</si>
  <si>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</si>
  <si>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</si>
  <si>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</si>
  <si>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</si>
  <si>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</si>
  <si>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</si>
  <si>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</si>
  <si>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</si>
  <si>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</si>
  <si>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</si>
  <si>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</si>
  <si>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</si>
  <si>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</si>
  <si>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</si>
  <si>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</si>
  <si>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</si>
  <si>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</si>
  <si>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</si>
  <si>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</si>
  <si>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</si>
  <si>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</si>
  <si>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</si>
  <si>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</si>
  <si>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</si>
  <si>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</si>
  <si>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</si>
  <si>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</si>
  <si>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</si>
  <si>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</si>
  <si>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</si>
  <si>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</si>
  <si>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</si>
  <si>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</si>
  <si>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</si>
  <si>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</si>
  <si>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</si>
  <si>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</si>
  <si>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</si>
  <si>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</si>
  <si>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</si>
  <si>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</si>
  <si>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</si>
  <si>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</si>
  <si>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</si>
  <si>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</si>
  <si>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</si>
  <si>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</si>
  <si>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</si>
  <si>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</si>
  <si>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</si>
  <si>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</si>
  <si>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</si>
  <si>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</si>
  <si>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</si>
  <si>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</si>
  <si>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</si>
  <si>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</si>
  <si>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</si>
  <si>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</si>
  <si>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</si>
  <si>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</si>
  <si>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</si>
  <si>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</si>
  <si>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</si>
  <si>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</si>
  <si>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</si>
  <si>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</si>
  <si>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</si>
  <si>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</si>
  <si>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</si>
  <si>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</si>
  <si>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</si>
  <si>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</si>
  <si>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</si>
  <si>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</si>
  <si>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</si>
  <si>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</si>
  <si>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</si>
  <si>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</si>
  <si>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</si>
  <si>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</si>
  <si>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</si>
  <si>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</si>
  <si>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</si>
  <si>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</si>
  <si>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</si>
  <si>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</si>
  <si>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</si>
  <si>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</si>
  <si>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</si>
  <si>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</si>
  <si>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</si>
  <si>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</si>
  <si>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</si>
  <si>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</si>
  <si>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</si>
  <si>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</si>
  <si>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</si>
  <si>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</si>
  <si>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</si>
  <si>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</si>
  <si>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</si>
  <si>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</si>
  <si>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</si>
  <si>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</si>
  <si>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</si>
  <si>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</si>
  <si>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</si>
  <si>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</si>
  <si>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</si>
  <si>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</si>
  <si>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</si>
  <si>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</si>
  <si>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</si>
  <si>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</si>
  <si>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</si>
  <si>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</si>
  <si>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</si>
  <si>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</si>
  <si>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</si>
  <si>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</si>
  <si>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</si>
  <si>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</si>
  <si>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</si>
  <si>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</si>
  <si>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</si>
  <si>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</si>
  <si>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</si>
  <si>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</si>
  <si>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</si>
  <si>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</si>
  <si>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</si>
  <si>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</si>
  <si>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</si>
  <si>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</si>
  <si>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</si>
  <si>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</si>
  <si>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</si>
  <si>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</si>
  <si>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</si>
  <si>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</si>
  <si>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</si>
  <si>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</si>
  <si>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</si>
  <si>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</si>
  <si>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</si>
  <si>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</si>
  <si>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</si>
  <si>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</si>
  <si>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</si>
  <si>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</si>
  <si>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</si>
  <si>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</si>
  <si>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</si>
  <si>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</si>
  <si>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</si>
  <si>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</si>
  <si>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</si>
  <si>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</si>
  <si>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</si>
  <si>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</si>
  <si>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</si>
  <si>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</si>
  <si>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</si>
  <si>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</si>
  <si>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</si>
  <si>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</si>
  <si>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</si>
  <si>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</si>
  <si>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</si>
  <si>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</si>
  <si>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</si>
  <si>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</si>
  <si>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</si>
  <si>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</si>
  <si>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</si>
  <si>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</si>
  <si>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</si>
  <si>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</si>
  <si>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</si>
  <si>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</si>
  <si>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</si>
  <si>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</si>
  <si>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</si>
  <si>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</si>
  <si>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</si>
  <si>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</si>
  <si>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</si>
  <si>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</si>
  <si>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</si>
  <si>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</si>
  <si>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</si>
  <si>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</si>
  <si>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</si>
  <si>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</si>
  <si>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</si>
  <si>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</si>
  <si>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</si>
  <si>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</si>
  <si>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</si>
  <si>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</si>
  <si>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</si>
  <si>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</si>
  <si>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</si>
  <si>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</si>
  <si>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</si>
  <si>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</si>
  <si>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</si>
  <si>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</si>
  <si>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</si>
  <si>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</si>
  <si>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</si>
  <si>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</si>
  <si>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</si>
  <si>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</si>
  <si>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</si>
  <si>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</si>
  <si>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</si>
  <si>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</si>
  <si>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</si>
  <si>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</si>
  <si>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</si>
  <si>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</si>
  <si>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</si>
  <si>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</si>
  <si>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</si>
  <si>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</si>
  <si>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</si>
  <si>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</si>
  <si>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</si>
  <si>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</si>
  <si>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</si>
  <si>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</si>
  <si>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</si>
  <si>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</si>
  <si>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</si>
  <si>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</si>
  <si>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</si>
  <si>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</si>
  <si>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</si>
  <si>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</si>
  <si>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</si>
  <si>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</si>
  <si>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</si>
  <si>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</si>
  <si>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</si>
  <si>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</si>
  <si>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</si>
  <si>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</si>
  <si>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</si>
  <si>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</si>
  <si>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</si>
  <si>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</si>
  <si>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</si>
  <si>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</si>
  <si>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</si>
  <si>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</si>
  <si>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</si>
  <si>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</si>
  <si>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</si>
  <si>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</si>
  <si>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</si>
  <si>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</si>
  <si>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</si>
  <si>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</si>
  <si>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</si>
  <si>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</si>
  <si>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</si>
  <si>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</si>
  <si>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</si>
  <si>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</si>
  <si>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</si>
  <si>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</si>
  <si>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</si>
  <si>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</si>
  <si>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</si>
  <si>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</si>
  <si>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</si>
  <si>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</si>
  <si>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</si>
  <si>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</si>
  <si>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</si>
  <si>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</si>
  <si>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</si>
  <si>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</si>
  <si>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</si>
  <si>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</si>
  <si>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</si>
  <si>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</si>
  <si>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</si>
  <si>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</si>
  <si>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</si>
  <si>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</si>
  <si>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</si>
  <si>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</si>
  <si>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</si>
  <si>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</si>
  <si>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</si>
  <si>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</si>
  <si>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</si>
  <si>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</si>
  <si>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</si>
  <si>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</si>
  <si>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</si>
  <si>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</si>
  <si>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</si>
  <si>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</si>
  <si>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</si>
  <si>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</si>
  <si>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</si>
  <si>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</si>
  <si>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</si>
  <si>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</si>
  <si>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</si>
  <si>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</si>
  <si>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</si>
  <si>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</si>
  <si>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</si>
  <si>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</si>
  <si>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</si>
  <si>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</si>
  <si>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</si>
  <si>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</si>
  <si>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</si>
  <si>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</si>
  <si>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</si>
  <si>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</si>
  <si>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</si>
  <si>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</si>
  <si>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</si>
  <si>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</si>
  <si>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</si>
  <si>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</si>
  <si>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</si>
  <si>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</si>
  <si>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</si>
  <si>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</si>
  <si>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</si>
  <si>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</si>
  <si>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</si>
  <si>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</si>
  <si>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</si>
  <si>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</si>
  <si>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</si>
  <si>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</si>
  <si>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</si>
  <si>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</si>
  <si>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</si>
  <si>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</si>
  <si>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</si>
  <si>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</si>
  <si>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</si>
  <si>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</si>
  <si>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</si>
  <si>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</si>
  <si>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</si>
  <si>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</si>
  <si>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</si>
  <si>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</si>
  <si>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</si>
  <si>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</si>
  <si>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</si>
  <si>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</si>
  <si>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</si>
  <si>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</si>
  <si>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</si>
  <si>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</si>
  <si>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</si>
  <si>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</si>
  <si>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</si>
  <si>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</si>
  <si>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</si>
  <si>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</si>
  <si>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</si>
  <si>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</si>
  <si>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versie: 2016_03</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</si>
  <si>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</si>
  <si>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</si>
  <si>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</si>
  <si>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</si>
  <si>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</si>
  <si>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</si>
  <si>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</si>
  <si>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</si>
  <si>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</si>
  <si>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</si>
  <si>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</si>
  <si>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</si>
  <si>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</si>
  <si>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</si>
  <si>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</si>
  <si>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</si>
  <si>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</si>
  <si>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</si>
  <si>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</si>
  <si>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</si>
  <si>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</si>
  <si>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</si>
  <si>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</si>
  <si>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</si>
  <si>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31040</t>
  </si>
  <si>
    <t>ZEDELGEM</t>
  </si>
  <si>
    <t>Eandis (januari 2018); Infrax (juni 2018)</t>
  </si>
  <si>
    <t>MOW (september 2017)</t>
  </si>
  <si>
    <t>referentietaak LNE (2017); Jaarverslag De Lijn (2016)</t>
  </si>
  <si>
    <t>VEA (april 2018)</t>
  </si>
  <si>
    <t>VEA (januari 2017)</t>
  </si>
  <si>
    <t>VEA (juni 2018)</t>
  </si>
  <si>
    <t>Vandtra</t>
  </si>
  <si>
    <t>Faliestraat 40B, 8210 Zedelgem</t>
  </si>
  <si>
    <t>WKK-0036 Vandevelde</t>
  </si>
  <si>
    <t>interne verbrandingsmotor</t>
  </si>
  <si>
    <t>WKK interne verbrandinsgmotor (gas)</t>
  </si>
  <si>
    <t>IMEWO</t>
  </si>
  <si>
    <t>Alex Allemeersch</t>
  </si>
  <si>
    <t>Faliestraat 59 , 8210 Zedelgem</t>
  </si>
  <si>
    <t>WKK-0350 Alex Allemeersch</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</si>
</sst>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189211.00640884956</c:v>
                </c:pt>
                <c:pt idx="1">
                  <c:v>62423.231749295279</c:v>
                </c:pt>
                <c:pt idx="2">
                  <c:v>2018.5170000000001</c:v>
                </c:pt>
                <c:pt idx="3">
                  <c:v>58541.596665779856</c:v>
                </c:pt>
                <c:pt idx="4">
                  <c:v>87819.362940782317</c:v>
                </c:pt>
                <c:pt idx="5">
                  <c:v>213920.53392889633</c:v>
                </c:pt>
                <c:pt idx="6">
                  <c:v>1949.9093349621483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4688"/>
        <c:axId val="180836224"/>
      </c:barChart>
      <c:catAx>
        <c:axId val="180834688"/>
        <c:scaling>
          <c:orientation val="minMax"/>
        </c:scaling>
        <c:axPos val="b"/>
        <c:numFmt formatCode="General" sourceLinked="0"/>
        <c:tickLblPos val="nextTo"/>
        <c:crossAx val="180836224"/>
        <c:crosses val="autoZero"/>
        <c:auto val="1"/>
        <c:lblAlgn val="ctr"/>
        <c:lblOffset val="100"/>
      </c:catAx>
      <c:valAx>
        <c:axId val="180836224"/>
        <c:scaling>
          <c:orientation val="minMax"/>
        </c:scaling>
        <c:axPos val="l"/>
        <c:majorGridlines>
          <c:spPr>
            <a:ln>
              <a:noFill/>
            </a:ln>
          </c:spPr>
        </c:majorGridlines>
        <c:numFmt formatCode="#,##0" sourceLinked="1"/>
        <c:tickLblPos val="nextTo"/>
        <c:crossAx val="1808346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189211.00640884956</c:v>
                </c:pt>
                <c:pt idx="1">
                  <c:v>62423.231749295279</c:v>
                </c:pt>
                <c:pt idx="2">
                  <c:v>2018.5170000000001</c:v>
                </c:pt>
                <c:pt idx="3">
                  <c:v>58541.596665779856</c:v>
                </c:pt>
                <c:pt idx="4">
                  <c:v>87819.362940782317</c:v>
                </c:pt>
                <c:pt idx="5">
                  <c:v>213920.53392889633</c:v>
                </c:pt>
                <c:pt idx="6">
                  <c:v>1949.9093349621483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35758.395115025371</c:v>
                </c:pt>
                <c:pt idx="2">
                  <c:v>13104.795929453257</c:v>
                </c:pt>
                <c:pt idx="3">
                  <c:v>476.3417539772459</c:v>
                </c:pt>
                <c:pt idx="4">
                  <c:v>14218.976967200537</c:v>
                </c:pt>
                <c:pt idx="5">
                  <c:v>17817.766925424501</c:v>
                </c:pt>
                <c:pt idx="6">
                  <c:v>53585.281175027907</c:v>
                </c:pt>
                <c:pt idx="7">
                  <c:v>492.64569195394711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40096"/>
        <c:axId val="181166464"/>
      </c:barChart>
      <c:catAx>
        <c:axId val="181140096"/>
        <c:scaling>
          <c:orientation val="minMax"/>
        </c:scaling>
        <c:axPos val="b"/>
        <c:numFmt formatCode="General" sourceLinked="0"/>
        <c:tickLblPos val="nextTo"/>
        <c:crossAx val="181166464"/>
        <c:crosses val="autoZero"/>
        <c:auto val="1"/>
        <c:lblAlgn val="ctr"/>
        <c:lblOffset val="100"/>
      </c:catAx>
      <c:valAx>
        <c:axId val="181166464"/>
        <c:scaling>
          <c:orientation val="minMax"/>
        </c:scaling>
        <c:axPos val="l"/>
        <c:majorGridlines>
          <c:spPr>
            <a:ln>
              <a:noFill/>
            </a:ln>
          </c:spPr>
        </c:majorGridlines>
        <c:numFmt formatCode="#,##0" sourceLinked="1"/>
        <c:tickLblPos val="nextTo"/>
        <c:crossAx val="1811400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35758.395115025371</c:v>
                </c:pt>
                <c:pt idx="2">
                  <c:v>13104.795929453257</c:v>
                </c:pt>
                <c:pt idx="3">
                  <c:v>476.3417539772459</c:v>
                </c:pt>
                <c:pt idx="4">
                  <c:v>14218.976967200537</c:v>
                </c:pt>
                <c:pt idx="5">
                  <c:v>17817.766925424501</c:v>
                </c:pt>
                <c:pt idx="6">
                  <c:v>53585.281175027907</c:v>
                </c:pt>
                <c:pt idx="7">
                  <c:v>492.64569195394711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845</v>
      </c>
      <c r="B4" s="106"/>
      <c r="C4" s="107"/>
    </row>
    <row r="5" spans="1:7" s="413" customFormat="1" ht="15.75" customHeight="1">
      <c r="A5" s="410" t="s">
        <v>0</v>
      </c>
      <c r="B5" s="411"/>
      <c r="C5" s="412"/>
    </row>
    <row r="6" spans="1:7" s="413" customFormat="1" ht="15" customHeight="1">
      <c r="A6" s="414" t="str">
        <f>txtNIS</f>
        <v>31040</v>
      </c>
      <c r="B6" s="415"/>
      <c r="C6" s="416"/>
    </row>
    <row r="7" spans="1:7" s="413" customFormat="1" ht="15.75" customHeight="1">
      <c r="A7" s="417" t="str">
        <f>txtMunicipality</f>
        <v>ZEDELGEM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0.23598600060204888</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0.23598600060204888</v>
      </c>
      <c r="C29" s="525">
        <f ca="1">'EF ele_warmte'!B22</f>
        <v>0.23764705882352941</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31040</v>
      </c>
      <c r="B1" s="332"/>
      <c r="C1" s="332"/>
      <c r="D1" s="332"/>
      <c r="E1" s="332"/>
      <c r="F1" s="333"/>
    </row>
    <row r="3" spans="1:6" ht="19.5">
      <c r="A3" s="335" t="s">
        <v>0</v>
      </c>
    </row>
    <row r="4" spans="1:6" ht="22.5">
      <c r="A4" s="1293" t="s">
        <v>870</v>
      </c>
    </row>
    <row r="5" spans="1:6" ht="22.5">
      <c r="A5" s="1293" t="s">
        <v>871</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9078</v>
      </c>
      <c r="C9" s="342">
        <v>9296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3534.89</v>
      </c>
    </row>
    <row r="15" spans="1:6">
      <c r="A15" s="348" t="s">
        <v>184</v>
      </c>
      <c r="B15" s="334">
        <v>946</v>
      </c>
    </row>
    <row r="16" spans="1:6">
      <c r="A16" s="348" t="s">
        <v>6</v>
      </c>
      <c r="B16" s="334">
        <v>1492</v>
      </c>
    </row>
    <row r="17" spans="1:6">
      <c r="A17" s="348" t="s">
        <v>7</v>
      </c>
      <c r="B17" s="334">
        <v>1994</v>
      </c>
    </row>
    <row r="18" spans="1:6">
      <c r="A18" s="348" t="s">
        <v>8</v>
      </c>
      <c r="B18" s="334">
        <v>2519</v>
      </c>
    </row>
    <row r="19" spans="1:6">
      <c r="A19" s="348" t="s">
        <v>9</v>
      </c>
      <c r="B19" s="334">
        <v>2294</v>
      </c>
    </row>
    <row r="20" spans="1:6">
      <c r="A20" s="348" t="s">
        <v>10</v>
      </c>
      <c r="B20" s="334">
        <v>1728</v>
      </c>
    </row>
    <row r="21" spans="1:6">
      <c r="A21" s="348" t="s">
        <v>11</v>
      </c>
      <c r="B21" s="334">
        <v>20411</v>
      </c>
    </row>
    <row r="22" spans="1:6">
      <c r="A22" s="348" t="s">
        <v>12</v>
      </c>
      <c r="B22" s="334">
        <v>50525</v>
      </c>
    </row>
    <row r="23" spans="1:6">
      <c r="A23" s="348" t="s">
        <v>13</v>
      </c>
      <c r="B23" s="334">
        <v>1044</v>
      </c>
    </row>
    <row r="24" spans="1:6">
      <c r="A24" s="348" t="s">
        <v>14</v>
      </c>
      <c r="B24" s="334">
        <v>39</v>
      </c>
    </row>
    <row r="25" spans="1:6">
      <c r="A25" s="348" t="s">
        <v>15</v>
      </c>
      <c r="B25" s="334">
        <v>4637</v>
      </c>
    </row>
    <row r="26" spans="1:6">
      <c r="A26" s="348" t="s">
        <v>16</v>
      </c>
      <c r="B26" s="334">
        <v>435</v>
      </c>
    </row>
    <row r="27" spans="1:6">
      <c r="A27" s="348" t="s">
        <v>17</v>
      </c>
      <c r="B27" s="334">
        <v>1</v>
      </c>
    </row>
    <row r="28" spans="1:6" s="356" customFormat="1">
      <c r="A28" s="355" t="s">
        <v>18</v>
      </c>
      <c r="B28" s="355">
        <v>150170</v>
      </c>
    </row>
    <row r="29" spans="1:6">
      <c r="A29" s="355" t="s">
        <v>744</v>
      </c>
      <c r="B29" s="355">
        <v>204</v>
      </c>
      <c r="C29" s="356"/>
      <c r="D29" s="356"/>
      <c r="E29" s="356"/>
      <c r="F29" s="356"/>
    </row>
    <row r="30" spans="1:6">
      <c r="A30" s="341" t="s">
        <v>745</v>
      </c>
      <c r="B30" s="341">
        <v>67</v>
      </c>
      <c r="C30" s="342"/>
      <c r="D30" s="342"/>
      <c r="E30" s="342"/>
      <c r="F30" s="342"/>
    </row>
    <row r="31" spans="1:6" ht="15.75" thickBot="1">
      <c r="A31" s="343"/>
    </row>
    <row r="32" spans="1:6" ht="20.25" thickBot="1">
      <c r="A32" s="336" t="s">
        <v>19</v>
      </c>
      <c r="B32" s="337" t="s">
        <v>394</v>
      </c>
      <c r="C32" s="337" t="s">
        <v>872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23586.7503192</v>
      </c>
    </row>
    <row r="39" spans="1:6">
      <c r="A39" s="348" t="s">
        <v>30</v>
      </c>
      <c r="B39" s="348" t="s">
        <v>31</v>
      </c>
      <c r="C39" s="334">
        <v>5492</v>
      </c>
      <c r="D39" s="334">
        <v>87921900.1265174</v>
      </c>
      <c r="E39" s="334">
        <v>8610</v>
      </c>
      <c r="F39" s="334">
        <v>36765332.554632001</v>
      </c>
    </row>
    <row r="40" spans="1:6">
      <c r="A40" s="348" t="s">
        <v>30</v>
      </c>
      <c r="B40" s="348" t="s">
        <v>29</v>
      </c>
      <c r="C40" s="334">
        <v>0</v>
      </c>
      <c r="D40" s="334">
        <v>0</v>
      </c>
      <c r="E40" s="334">
        <v>2</v>
      </c>
      <c r="F40" s="334">
        <v>36746.660342650299</v>
      </c>
    </row>
    <row r="41" spans="1:6">
      <c r="A41" s="348" t="s">
        <v>32</v>
      </c>
      <c r="B41" s="348" t="s">
        <v>33</v>
      </c>
      <c r="C41" s="334">
        <v>116</v>
      </c>
      <c r="D41" s="334">
        <v>2725602.0221889201</v>
      </c>
      <c r="E41" s="334">
        <v>282</v>
      </c>
      <c r="F41" s="334">
        <v>3063897.8356348099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26</v>
      </c>
      <c r="D44" s="334">
        <v>55061913.327446699</v>
      </c>
      <c r="E44" s="334">
        <v>65</v>
      </c>
      <c r="F44" s="334">
        <v>1811981.76727682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10</v>
      </c>
      <c r="F47" s="334">
        <v>228930.50314325001</v>
      </c>
    </row>
    <row r="48" spans="1:6">
      <c r="A48" s="348" t="s">
        <v>32</v>
      </c>
      <c r="B48" s="348" t="s">
        <v>29</v>
      </c>
      <c r="C48" s="334">
        <v>57</v>
      </c>
      <c r="D48" s="334">
        <v>5508258.6341642197</v>
      </c>
      <c r="E48" s="334">
        <v>65</v>
      </c>
      <c r="F48" s="334">
        <v>13310729.334200799</v>
      </c>
    </row>
    <row r="49" spans="1:6">
      <c r="A49" s="348" t="s">
        <v>32</v>
      </c>
      <c r="B49" s="348" t="s">
        <v>40</v>
      </c>
      <c r="C49" s="334">
        <v>0</v>
      </c>
      <c r="D49" s="334">
        <v>0</v>
      </c>
      <c r="E49" s="334">
        <v>4</v>
      </c>
      <c r="F49" s="334">
        <v>21426.710803489001</v>
      </c>
    </row>
    <row r="50" spans="1:6">
      <c r="A50" s="348" t="s">
        <v>32</v>
      </c>
      <c r="B50" s="348" t="s">
        <v>41</v>
      </c>
      <c r="C50" s="334">
        <v>6</v>
      </c>
      <c r="D50" s="334">
        <v>291966.46915422898</v>
      </c>
      <c r="E50" s="334">
        <v>13</v>
      </c>
      <c r="F50" s="334">
        <v>320863.17452306597</v>
      </c>
    </row>
    <row r="51" spans="1:6">
      <c r="A51" s="348" t="s">
        <v>42</v>
      </c>
      <c r="B51" s="348" t="s">
        <v>43</v>
      </c>
      <c r="C51" s="334">
        <v>9</v>
      </c>
      <c r="D51" s="334">
        <v>68435860.513186693</v>
      </c>
      <c r="E51" s="334">
        <v>160</v>
      </c>
      <c r="F51" s="334">
        <v>4155273.7734336499</v>
      </c>
    </row>
    <row r="52" spans="1:6">
      <c r="A52" s="348" t="s">
        <v>42</v>
      </c>
      <c r="B52" s="348" t="s">
        <v>29</v>
      </c>
      <c r="C52" s="334">
        <v>9</v>
      </c>
      <c r="D52" s="334">
        <v>542217.72574857599</v>
      </c>
      <c r="E52" s="334">
        <v>15</v>
      </c>
      <c r="F52" s="334">
        <v>213424.40832627399</v>
      </c>
    </row>
    <row r="53" spans="1:6">
      <c r="A53" s="348" t="s">
        <v>44</v>
      </c>
      <c r="B53" s="348" t="s">
        <v>45</v>
      </c>
      <c r="C53" s="334">
        <v>134</v>
      </c>
      <c r="D53" s="334">
        <v>2520649.09029997</v>
      </c>
      <c r="E53" s="334">
        <v>296</v>
      </c>
      <c r="F53" s="334">
        <v>1172703.75218591</v>
      </c>
    </row>
    <row r="54" spans="1:6">
      <c r="A54" s="348" t="s">
        <v>46</v>
      </c>
      <c r="B54" s="348" t="s">
        <v>47</v>
      </c>
      <c r="C54" s="334">
        <v>0</v>
      </c>
      <c r="D54" s="334">
        <v>0</v>
      </c>
      <c r="E54" s="334">
        <v>2</v>
      </c>
      <c r="F54" s="334">
        <v>2018517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75</v>
      </c>
      <c r="D57" s="334">
        <v>4998876.0600338196</v>
      </c>
      <c r="E57" s="334">
        <v>164</v>
      </c>
      <c r="F57" s="334">
        <v>2920115.2845995198</v>
      </c>
    </row>
    <row r="58" spans="1:6">
      <c r="A58" s="348" t="s">
        <v>49</v>
      </c>
      <c r="B58" s="348" t="s">
        <v>51</v>
      </c>
      <c r="C58" s="334">
        <v>51</v>
      </c>
      <c r="D58" s="334">
        <v>1555844.60415912</v>
      </c>
      <c r="E58" s="334">
        <v>63</v>
      </c>
      <c r="F58" s="334">
        <v>988659.74432288297</v>
      </c>
    </row>
    <row r="59" spans="1:6">
      <c r="A59" s="348" t="s">
        <v>49</v>
      </c>
      <c r="B59" s="348" t="s">
        <v>52</v>
      </c>
      <c r="C59" s="334">
        <v>102</v>
      </c>
      <c r="D59" s="334">
        <v>4395928.8943547802</v>
      </c>
      <c r="E59" s="334">
        <v>267</v>
      </c>
      <c r="F59" s="334">
        <v>7605872.6289871298</v>
      </c>
    </row>
    <row r="60" spans="1:6">
      <c r="A60" s="348" t="s">
        <v>49</v>
      </c>
      <c r="B60" s="348" t="s">
        <v>53</v>
      </c>
      <c r="C60" s="334">
        <v>85</v>
      </c>
      <c r="D60" s="334">
        <v>3605704.4833367299</v>
      </c>
      <c r="E60" s="334">
        <v>123</v>
      </c>
      <c r="F60" s="334">
        <v>2814148.32576798</v>
      </c>
    </row>
    <row r="61" spans="1:6">
      <c r="A61" s="348" t="s">
        <v>49</v>
      </c>
      <c r="B61" s="348" t="s">
        <v>54</v>
      </c>
      <c r="C61" s="334">
        <v>145</v>
      </c>
      <c r="D61" s="334">
        <v>4146483.9739167099</v>
      </c>
      <c r="E61" s="334">
        <v>328</v>
      </c>
      <c r="F61" s="334">
        <v>4408113.5648028599</v>
      </c>
    </row>
    <row r="62" spans="1:6">
      <c r="A62" s="348" t="s">
        <v>49</v>
      </c>
      <c r="B62" s="348" t="s">
        <v>55</v>
      </c>
      <c r="C62" s="334">
        <v>5</v>
      </c>
      <c r="D62" s="334">
        <v>710086.49974611995</v>
      </c>
      <c r="E62" s="334">
        <v>13</v>
      </c>
      <c r="F62" s="334">
        <v>496856.79793520801</v>
      </c>
    </row>
    <row r="63" spans="1:6">
      <c r="A63" s="348" t="s">
        <v>49</v>
      </c>
      <c r="B63" s="348" t="s">
        <v>29</v>
      </c>
      <c r="C63" s="334">
        <v>166</v>
      </c>
      <c r="D63" s="334">
        <v>13300678.7005293</v>
      </c>
      <c r="E63" s="334">
        <v>151</v>
      </c>
      <c r="F63" s="334">
        <v>5619506.3655636199</v>
      </c>
    </row>
    <row r="64" spans="1:6">
      <c r="A64" s="348" t="s">
        <v>56</v>
      </c>
      <c r="B64" s="348" t="s">
        <v>57</v>
      </c>
      <c r="C64" s="334">
        <v>0</v>
      </c>
      <c r="D64" s="334">
        <v>0</v>
      </c>
      <c r="E64" s="334">
        <v>0</v>
      </c>
      <c r="F64" s="334">
        <v>0</v>
      </c>
    </row>
    <row r="65" spans="1:6">
      <c r="A65" s="348" t="s">
        <v>56</v>
      </c>
      <c r="B65" s="348" t="s">
        <v>29</v>
      </c>
      <c r="C65" s="334">
        <v>5</v>
      </c>
      <c r="D65" s="334">
        <v>112610.714533883</v>
      </c>
      <c r="E65" s="334">
        <v>3</v>
      </c>
      <c r="F65" s="334">
        <v>15916.908317327599</v>
      </c>
    </row>
    <row r="66" spans="1:6">
      <c r="A66" s="348" t="s">
        <v>56</v>
      </c>
      <c r="B66" s="348" t="s">
        <v>58</v>
      </c>
      <c r="C66" s="334">
        <v>0</v>
      </c>
      <c r="D66" s="334">
        <v>0</v>
      </c>
      <c r="E66" s="334">
        <v>6</v>
      </c>
      <c r="F66" s="334">
        <v>65080</v>
      </c>
    </row>
    <row r="67" spans="1:6">
      <c r="A67" s="355" t="s">
        <v>56</v>
      </c>
      <c r="B67" s="355" t="s">
        <v>59</v>
      </c>
      <c r="C67" s="334">
        <v>0</v>
      </c>
      <c r="D67" s="334">
        <v>0</v>
      </c>
      <c r="E67" s="334">
        <v>0</v>
      </c>
      <c r="F67" s="334">
        <v>0</v>
      </c>
    </row>
    <row r="68" spans="1:6">
      <c r="A68" s="341" t="s">
        <v>56</v>
      </c>
      <c r="B68" s="341" t="s">
        <v>60</v>
      </c>
      <c r="C68" s="334">
        <v>9</v>
      </c>
      <c r="D68" s="334">
        <v>241259.76331673001</v>
      </c>
      <c r="E68" s="334">
        <v>19</v>
      </c>
      <c r="F68" s="334">
        <v>405424.585606548</v>
      </c>
    </row>
    <row r="69" spans="1:6" ht="15.75" thickBot="1">
      <c r="A69" s="343"/>
    </row>
    <row r="70" spans="1:6" ht="19.5">
      <c r="A70" s="336" t="s">
        <v>61</v>
      </c>
      <c r="B70" s="337"/>
      <c r="C70" s="337" t="s">
        <v>404</v>
      </c>
      <c r="D70" s="337" t="s">
        <v>873</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76596891</v>
      </c>
      <c r="E73" s="475">
        <v>68521338.204332158</v>
      </c>
    </row>
    <row r="74" spans="1:6">
      <c r="A74" s="348" t="s">
        <v>64</v>
      </c>
      <c r="B74" s="348" t="s">
        <v>657</v>
      </c>
      <c r="C74" s="1295" t="s">
        <v>659</v>
      </c>
      <c r="D74" s="475">
        <v>8602737</v>
      </c>
      <c r="E74" s="475">
        <v>7764749.9931042362</v>
      </c>
    </row>
    <row r="75" spans="1:6">
      <c r="A75" s="348" t="s">
        <v>65</v>
      </c>
      <c r="B75" s="348" t="s">
        <v>656</v>
      </c>
      <c r="C75" s="1295" t="s">
        <v>660</v>
      </c>
      <c r="D75" s="475">
        <v>27198962</v>
      </c>
      <c r="E75" s="475">
        <v>22113567.449418936</v>
      </c>
    </row>
    <row r="76" spans="1:6">
      <c r="A76" s="348" t="s">
        <v>65</v>
      </c>
      <c r="B76" s="348" t="s">
        <v>657</v>
      </c>
      <c r="C76" s="1295" t="s">
        <v>661</v>
      </c>
      <c r="D76" s="475">
        <v>1045324</v>
      </c>
      <c r="E76" s="475">
        <v>858866.30253727781</v>
      </c>
    </row>
    <row r="77" spans="1:6">
      <c r="A77" s="348" t="s">
        <v>66</v>
      </c>
      <c r="B77" s="348" t="s">
        <v>656</v>
      </c>
      <c r="C77" s="1295" t="s">
        <v>662</v>
      </c>
      <c r="D77" s="475">
        <v>111363592</v>
      </c>
      <c r="E77" s="475">
        <v>117453937.00274731</v>
      </c>
    </row>
    <row r="78" spans="1:6">
      <c r="A78" s="341" t="s">
        <v>66</v>
      </c>
      <c r="B78" s="341" t="s">
        <v>657</v>
      </c>
      <c r="C78" s="341" t="s">
        <v>663</v>
      </c>
      <c r="D78" s="1296">
        <v>16188037</v>
      </c>
      <c r="E78" s="1296">
        <v>16508352.743496638</v>
      </c>
      <c r="F78" s="342"/>
    </row>
    <row r="79" spans="1:6">
      <c r="A79" s="362"/>
      <c r="B79" s="362"/>
    </row>
    <row r="80" spans="1:6" ht="15.75" thickBot="1">
      <c r="A80" s="362"/>
      <c r="B80" s="362"/>
    </row>
    <row r="81" spans="1:6" ht="20.25" thickBot="1">
      <c r="A81" s="336" t="s">
        <v>334</v>
      </c>
      <c r="B81" s="363" t="s">
        <v>394</v>
      </c>
      <c r="C81" s="337" t="s">
        <v>874</v>
      </c>
      <c r="D81" s="337"/>
      <c r="E81" s="337"/>
      <c r="F81" s="344"/>
    </row>
    <row r="82" spans="1:6" ht="16.5" thickTop="1" thickBot="1">
      <c r="A82" s="345" t="s">
        <v>335</v>
      </c>
      <c r="B82" s="361">
        <v>2016</v>
      </c>
      <c r="C82" s="361">
        <v>2020</v>
      </c>
      <c r="D82" s="346"/>
      <c r="E82" s="346"/>
      <c r="F82" s="347"/>
    </row>
    <row r="83" spans="1:6">
      <c r="A83" s="348" t="s">
        <v>336</v>
      </c>
      <c r="B83" s="475">
        <v>528848</v>
      </c>
      <c r="C83" s="475">
        <v>528405.37894514052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875</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3100.4066254583377</v>
      </c>
    </row>
    <row r="91" spans="1:6">
      <c r="A91" s="348" t="s">
        <v>68</v>
      </c>
      <c r="B91" s="334">
        <v>6179.0134455374764</v>
      </c>
    </row>
    <row r="92" spans="1:6">
      <c r="A92" s="341" t="s">
        <v>69</v>
      </c>
      <c r="B92" s="342">
        <v>4658.890835556962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3156</v>
      </c>
    </row>
    <row r="98" spans="1:6">
      <c r="A98" s="348" t="s">
        <v>72</v>
      </c>
      <c r="B98" s="334">
        <v>0</v>
      </c>
    </row>
    <row r="99" spans="1:6">
      <c r="A99" s="348" t="s">
        <v>73</v>
      </c>
      <c r="B99" s="334">
        <v>227</v>
      </c>
    </row>
    <row r="100" spans="1:6">
      <c r="A100" s="348" t="s">
        <v>74</v>
      </c>
      <c r="B100" s="334">
        <v>950</v>
      </c>
    </row>
    <row r="101" spans="1:6">
      <c r="A101" s="348" t="s">
        <v>75</v>
      </c>
      <c r="B101" s="334">
        <v>226</v>
      </c>
    </row>
    <row r="102" spans="1:6">
      <c r="A102" s="348" t="s">
        <v>76</v>
      </c>
      <c r="B102" s="334">
        <v>152</v>
      </c>
    </row>
    <row r="103" spans="1:6">
      <c r="A103" s="348" t="s">
        <v>77</v>
      </c>
      <c r="B103" s="334">
        <v>284</v>
      </c>
    </row>
    <row r="104" spans="1:6">
      <c r="A104" s="348" t="s">
        <v>78</v>
      </c>
      <c r="B104" s="334">
        <v>3125</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876</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877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5</v>
      </c>
      <c r="C121" s="334">
        <v>0</v>
      </c>
    </row>
    <row r="122" spans="1:6">
      <c r="A122" s="348" t="s">
        <v>87</v>
      </c>
      <c r="B122" s="334">
        <v>0</v>
      </c>
      <c r="C122" s="334">
        <v>0</v>
      </c>
    </row>
    <row r="123" spans="1:6">
      <c r="A123" s="348" t="s">
        <v>88</v>
      </c>
      <c r="B123" s="334">
        <v>45</v>
      </c>
      <c r="C123" s="334">
        <v>37</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876</v>
      </c>
      <c r="D127" s="337"/>
      <c r="E127" s="337"/>
      <c r="F127" s="344"/>
    </row>
    <row r="128" spans="1:6" ht="16.5" thickTop="1" thickBot="1">
      <c r="A128" s="345" t="s">
        <v>4</v>
      </c>
      <c r="B128" s="346" t="s">
        <v>5</v>
      </c>
      <c r="C128" s="346"/>
      <c r="D128" s="346"/>
      <c r="E128" s="346"/>
      <c r="F128" s="347"/>
    </row>
    <row r="129" spans="1:6">
      <c r="A129" s="348" t="s">
        <v>294</v>
      </c>
      <c r="B129" s="334">
        <v>323</v>
      </c>
    </row>
    <row r="130" spans="1:6">
      <c r="A130" s="348" t="s">
        <v>295</v>
      </c>
      <c r="B130" s="334">
        <v>2</v>
      </c>
    </row>
    <row r="131" spans="1:6">
      <c r="A131" s="348" t="s">
        <v>296</v>
      </c>
      <c r="B131" s="334">
        <v>3</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94236.758070606913</v>
      </c>
      <c r="C3" s="43" t="s">
        <v>170</v>
      </c>
      <c r="D3" s="43"/>
      <c r="E3" s="154"/>
      <c r="F3" s="43"/>
      <c r="G3" s="43"/>
      <c r="H3" s="43"/>
      <c r="I3" s="43"/>
      <c r="J3" s="43"/>
      <c r="K3" s="96"/>
    </row>
    <row r="4" spans="1:11">
      <c r="A4" s="383" t="s">
        <v>171</v>
      </c>
      <c r="B4" s="49">
        <f>IF(ISERROR('SEAP template'!B78),0,'SEAP template'!B78)</f>
        <v>13938.310906552775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4492.5988235294126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0.23598600060204888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6417.9983193277312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27006.428571428572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2018.5170000000001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2018.5170000000001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0.23598600060204888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476.3417539772459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36802.079214974648</v>
      </c>
      <c r="C5" s="17">
        <f>IF(ISERROR('Eigen informatie GS &amp; warmtenet'!B57),0,'Eigen informatie GS &amp; warmtenet'!B57)</f>
        <v>0</v>
      </c>
      <c r="D5" s="30">
        <f>(SUM(HH_hh_gas_kWh,HH_rest_gas_kWh)/1000)*0.902</f>
        <v>79305.553914118704</v>
      </c>
      <c r="E5" s="17">
        <f>B46*B57</f>
        <v>8362.3294438679477</v>
      </c>
      <c r="F5" s="17">
        <f>B51*B62</f>
        <v>26473.361919591498</v>
      </c>
      <c r="G5" s="18"/>
      <c r="H5" s="17"/>
      <c r="I5" s="17"/>
      <c r="J5" s="17">
        <f>B50*B61+C50*C61</f>
        <v>1777.1204791641333</v>
      </c>
      <c r="K5" s="17"/>
      <c r="L5" s="17"/>
      <c r="M5" s="17"/>
      <c r="N5" s="17">
        <f>B48*B59+C48*C59</f>
        <v>28372.821324928489</v>
      </c>
      <c r="O5" s="17">
        <f>B69*B70*B71</f>
        <v>565.92666666666673</v>
      </c>
      <c r="P5" s="17">
        <f>B77*B78*B79/1000-B77*B78*B79/1000/B80</f>
        <v>1372.8</v>
      </c>
    </row>
    <row r="6" spans="1:16">
      <c r="A6" s="16" t="s">
        <v>621</v>
      </c>
      <c r="B6" s="788">
        <f>kWh_PV_kleiner_dan_10kW</f>
        <v>6179.0134455374764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42981.092660512128</v>
      </c>
      <c r="C8" s="21">
        <f>C5</f>
        <v>0</v>
      </c>
      <c r="D8" s="21">
        <f>D5</f>
        <v>79305.553914118704</v>
      </c>
      <c r="E8" s="21">
        <f>E5</f>
        <v>8362.3294438679477</v>
      </c>
      <c r="F8" s="21">
        <f>F5</f>
        <v>26473.361919591498</v>
      </c>
      <c r="G8" s="21"/>
      <c r="H8" s="21"/>
      <c r="I8" s="21"/>
      <c r="J8" s="21">
        <f>J5</f>
        <v>1777.1204791641333</v>
      </c>
      <c r="K8" s="21"/>
      <c r="L8" s="21">
        <f>L5</f>
        <v>0</v>
      </c>
      <c r="M8" s="21">
        <f>M5</f>
        <v>0</v>
      </c>
      <c r="N8" s="21">
        <f>N5</f>
        <v>28372.821324928489</v>
      </c>
      <c r="O8" s="21">
        <f>O5</f>
        <v>565.92666666666673</v>
      </c>
      <c r="P8" s="21">
        <f>P5</f>
        <v>1372.8</v>
      </c>
    </row>
    <row r="9" spans="1:16">
      <c r="B9" s="19"/>
      <c r="C9" s="19"/>
      <c r="D9" s="258"/>
      <c r="E9" s="19"/>
      <c r="F9" s="19"/>
      <c r="G9" s="19"/>
      <c r="H9" s="19"/>
      <c r="I9" s="19"/>
      <c r="J9" s="19"/>
      <c r="K9" s="19"/>
      <c r="L9" s="19"/>
      <c r="M9" s="19"/>
      <c r="N9" s="19"/>
      <c r="O9" s="19"/>
      <c r="P9" s="19"/>
    </row>
    <row r="10" spans="1:16">
      <c r="A10" s="24" t="s">
        <v>214</v>
      </c>
      <c r="B10" s="25">
        <f ca="1">'EF ele_warmte'!B12</f>
        <v>0.23598600060204888</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10142.936158460334</v>
      </c>
      <c r="C12" s="23">
        <f ca="1">C10*C8</f>
        <v>0</v>
      </c>
      <c r="D12" s="23">
        <f>D8*D10</f>
        <v>16019.721890651979</v>
      </c>
      <c r="E12" s="23">
        <f>E10*E8</f>
        <v>1898.2487837580243</v>
      </c>
      <c r="F12" s="23">
        <f>F10*F8</f>
        <v>7068.3876325309302</v>
      </c>
      <c r="G12" s="23"/>
      <c r="H12" s="23"/>
      <c r="I12" s="23"/>
      <c r="J12" s="23">
        <f>J10*J8</f>
        <v>629.10064962410308</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3156</v>
      </c>
      <c r="C18" s="166" t="s">
        <v>111</v>
      </c>
      <c r="D18" s="228"/>
      <c r="E18" s="15"/>
    </row>
    <row r="19" spans="1:7">
      <c r="A19" s="171" t="s">
        <v>72</v>
      </c>
      <c r="B19" s="37">
        <f>aantalw2001_ander</f>
        <v>0</v>
      </c>
      <c r="C19" s="166" t="s">
        <v>111</v>
      </c>
      <c r="D19" s="229"/>
      <c r="E19" s="15"/>
    </row>
    <row r="20" spans="1:7">
      <c r="A20" s="171" t="s">
        <v>73</v>
      </c>
      <c r="B20" s="37">
        <f>aantalw2001_propaan</f>
        <v>227</v>
      </c>
      <c r="C20" s="167">
        <f>IF(ISERROR(B20/SUM($B$20,$B$21,$B$22)*100),0,B20/SUM($B$20,$B$21,$B$22)*100)</f>
        <v>16.179615110477549</v>
      </c>
      <c r="D20" s="229"/>
      <c r="E20" s="15"/>
    </row>
    <row r="21" spans="1:7">
      <c r="A21" s="171" t="s">
        <v>74</v>
      </c>
      <c r="B21" s="37">
        <f>aantalw2001_elektriciteit</f>
        <v>950</v>
      </c>
      <c r="C21" s="167">
        <f>IF(ISERROR(B21/SUM($B$20,$B$21,$B$22)*100),0,B21/SUM($B$20,$B$21,$B$22)*100)</f>
        <v>67.712045616536003</v>
      </c>
      <c r="D21" s="229"/>
      <c r="E21" s="15"/>
    </row>
    <row r="22" spans="1:7">
      <c r="A22" s="171" t="s">
        <v>75</v>
      </c>
      <c r="B22" s="37">
        <f>aantalw2001_hout</f>
        <v>226</v>
      </c>
      <c r="C22" s="167">
        <f>IF(ISERROR(B22/SUM($B$20,$B$21,$B$22)*100),0,B22/SUM($B$20,$B$21,$B$22)*100)</f>
        <v>16.108339272986459</v>
      </c>
      <c r="D22" s="229"/>
      <c r="E22" s="15"/>
    </row>
    <row r="23" spans="1:7">
      <c r="A23" s="171" t="s">
        <v>76</v>
      </c>
      <c r="B23" s="37">
        <f>aantalw2001_niet_gespec</f>
        <v>152</v>
      </c>
      <c r="C23" s="166" t="s">
        <v>111</v>
      </c>
      <c r="D23" s="228"/>
      <c r="E23" s="15"/>
    </row>
    <row r="24" spans="1:7">
      <c r="A24" s="171" t="s">
        <v>77</v>
      </c>
      <c r="B24" s="37">
        <f>aantalw2001_steenkool</f>
        <v>284</v>
      </c>
      <c r="C24" s="166" t="s">
        <v>111</v>
      </c>
      <c r="D24" s="229"/>
      <c r="E24" s="15"/>
    </row>
    <row r="25" spans="1:7">
      <c r="A25" s="171" t="s">
        <v>78</v>
      </c>
      <c r="B25" s="37">
        <f>aantalw2001_stookolie</f>
        <v>3125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793</v>
      </c>
      <c r="B28" s="37">
        <f>aantalHuishoudens2011</f>
        <v>9078</v>
      </c>
      <c r="C28" s="36"/>
      <c r="D28" s="228"/>
    </row>
    <row r="29" spans="1:7" s="15" customFormat="1">
      <c r="A29" s="230" t="s">
        <v>794</v>
      </c>
      <c r="B29" s="37">
        <f>SUM(HH_hh_gas_aantal,HH_rest_gas_aantal)</f>
        <v>5492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5492</v>
      </c>
      <c r="C32" s="167">
        <f>IF(ISERROR(B32/SUM($B$32,$B$34,$B$35,$B$36,$B$38,$B$39)*100),0,B32/SUM($B$32,$B$34,$B$35,$B$36,$B$38,$B$39)*100)</f>
        <v>60.981567843659775</v>
      </c>
      <c r="D32" s="233"/>
      <c r="G32" s="15"/>
    </row>
    <row r="33" spans="1:7">
      <c r="A33" s="171" t="s">
        <v>72</v>
      </c>
      <c r="B33" s="34" t="s">
        <v>111</v>
      </c>
      <c r="C33" s="167"/>
      <c r="D33" s="233"/>
      <c r="G33" s="15"/>
    </row>
    <row r="34" spans="1:7">
      <c r="A34" s="171" t="s">
        <v>73</v>
      </c>
      <c r="B34" s="33">
        <f>IF((($B$28-$B$32-$B$39-$B$77-$B$38)*C20/100)&lt;0,0,($B$28-$B$32-$B$39-$B$77-$B$38)*C20/100)</f>
        <v>394.94440484675692</v>
      </c>
      <c r="C34" s="167">
        <f>IF(ISERROR(B34/SUM($B$32,$B$34,$B$35,$B$36,$B$38,$B$39)*100),0,B34/SUM($B$32,$B$34,$B$35,$B$36,$B$38,$B$39)*100)</f>
        <v>4.3853475998973677</v>
      </c>
      <c r="D34" s="233"/>
      <c r="G34" s="15"/>
    </row>
    <row r="35" spans="1:7">
      <c r="A35" s="171" t="s">
        <v>74</v>
      </c>
      <c r="B35" s="33">
        <f>IF((($B$28-$B$32-$B$39-$B$77-$B$38)*C21/100)&lt;0,0,($B$28-$B$32-$B$39-$B$77-$B$38)*C21/100)</f>
        <v>1652.851033499644</v>
      </c>
      <c r="C35" s="167">
        <f>IF(ISERROR(B35/SUM($B$32,$B$34,$B$35,$B$36,$B$38,$B$39)*100),0,B35/SUM($B$32,$B$34,$B$35,$B$36,$B$38,$B$39)*100)</f>
        <v>18.352776299129957</v>
      </c>
      <c r="D35" s="233"/>
      <c r="G35" s="15"/>
    </row>
    <row r="36" spans="1:7">
      <c r="A36" s="171" t="s">
        <v>75</v>
      </c>
      <c r="B36" s="33">
        <f>IF((($B$28-$B$32-$B$39-$B$77-$B$38)*C22/100)&lt;0,0,($B$28-$B$32-$B$39-$B$77-$B$38)*C22/100)</f>
        <v>393.20456165359946</v>
      </c>
      <c r="C36" s="167">
        <f>IF(ISERROR(B36/SUM($B$32,$B$34,$B$35,$B$36,$B$38,$B$39)*100),0,B36/SUM($B$32,$B$34,$B$35,$B$36,$B$38,$B$39)*100)</f>
        <v>4.3660288880035472</v>
      </c>
      <c r="D36" s="233"/>
      <c r="G36" s="15"/>
    </row>
    <row r="37" spans="1:7">
      <c r="A37" s="171" t="s">
        <v>76</v>
      </c>
      <c r="B37" s="34" t="s">
        <v>111</v>
      </c>
      <c r="C37" s="167"/>
      <c r="D37" s="173"/>
      <c r="G37" s="15"/>
    </row>
    <row r="38" spans="1:7">
      <c r="A38" s="171" t="s">
        <v>77</v>
      </c>
      <c r="B38" s="33">
        <f>IF((B24-(B29-B18)*0.1)&lt;0,0,B24-(B29-B18)*0.1)</f>
        <v>50.399999999999977</v>
      </c>
      <c r="C38" s="167">
        <f>IF(ISERROR(B38/SUM($B$32,$B$34,$B$35,$B$36,$B$38,$B$39)*100),0,B38/SUM($B$32,$B$34,$B$35,$B$36,$B$38,$B$39)*100)</f>
        <v>0.55962691538973997</v>
      </c>
      <c r="D38" s="234"/>
      <c r="G38" s="15"/>
    </row>
    <row r="39" spans="1:7">
      <c r="A39" s="171" t="s">
        <v>78</v>
      </c>
      <c r="B39" s="33">
        <f>IF((B25-(B29-B18))&lt;0,0,B25-(B29-B18)*0.9)</f>
        <v>1022.5999999999999</v>
      </c>
      <c r="C39" s="167">
        <f>IF(ISERROR(B39/SUM($B$32,$B$34,$B$35,$B$36,$B$38,$B$39)*100),0,B39/SUM($B$32,$B$34,$B$35,$B$36,$B$38,$B$39)*100)</f>
        <v>11.354652453919609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5492</v>
      </c>
      <c r="C44" s="34" t="s">
        <v>111</v>
      </c>
      <c r="D44" s="174"/>
    </row>
    <row r="45" spans="1:7">
      <c r="A45" s="171" t="s">
        <v>72</v>
      </c>
      <c r="B45" s="33" t="str">
        <f t="shared" si="0"/>
        <v>-</v>
      </c>
      <c r="C45" s="34" t="s">
        <v>111</v>
      </c>
      <c r="D45" s="174"/>
    </row>
    <row r="46" spans="1:7">
      <c r="A46" s="171" t="s">
        <v>73</v>
      </c>
      <c r="B46" s="33">
        <f t="shared" si="0"/>
        <v>394.94440484675692</v>
      </c>
      <c r="C46" s="34" t="s">
        <v>111</v>
      </c>
      <c r="D46" s="174"/>
    </row>
    <row r="47" spans="1:7">
      <c r="A47" s="171" t="s">
        <v>74</v>
      </c>
      <c r="B47" s="33">
        <f t="shared" si="0"/>
        <v>1652.851033499644</v>
      </c>
      <c r="C47" s="34" t="s">
        <v>111</v>
      </c>
      <c r="D47" s="174"/>
    </row>
    <row r="48" spans="1:7">
      <c r="A48" s="171" t="s">
        <v>75</v>
      </c>
      <c r="B48" s="33">
        <f t="shared" si="0"/>
        <v>393.20456165359946</v>
      </c>
      <c r="C48" s="33">
        <f>B48*10</f>
        <v>3932.0456165359947</v>
      </c>
      <c r="D48" s="234"/>
    </row>
    <row r="49" spans="1:6">
      <c r="A49" s="171" t="s">
        <v>76</v>
      </c>
      <c r="B49" s="33" t="str">
        <f t="shared" si="0"/>
        <v>-</v>
      </c>
      <c r="C49" s="34" t="s">
        <v>111</v>
      </c>
      <c r="D49" s="234"/>
    </row>
    <row r="50" spans="1:6">
      <c r="A50" s="171" t="s">
        <v>77</v>
      </c>
      <c r="B50" s="33">
        <f t="shared" si="0"/>
        <v>50.399999999999977</v>
      </c>
      <c r="C50" s="33">
        <f>B50*2</f>
        <v>100.79999999999995</v>
      </c>
      <c r="D50" s="234"/>
    </row>
    <row r="51" spans="1:6">
      <c r="A51" s="171" t="s">
        <v>78</v>
      </c>
      <c r="B51" s="33">
        <f t="shared" si="0"/>
        <v>1022.5999999999999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362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24853.2727119792</v>
      </c>
      <c r="C5" s="17">
        <f>IF(ISERROR('Eigen informatie GS &amp; warmtenet'!B58),0,'Eigen informatie GS &amp; warmtenet'!B58)</f>
        <v>0</v>
      </c>
      <c r="D5" s="30">
        <f>SUM(D6:D12)</f>
        <v>29507.670100901079</v>
      </c>
      <c r="E5" s="17">
        <f>SUM(E6:E12)</f>
        <v>397.01209889382488</v>
      </c>
      <c r="F5" s="17">
        <f>SUM(F6:F12)</f>
        <v>4453.457446706856</v>
      </c>
      <c r="G5" s="18"/>
      <c r="H5" s="17"/>
      <c r="I5" s="17"/>
      <c r="J5" s="17">
        <f>SUM(J6:J12)</f>
        <v>7.6992032773787814E-2</v>
      </c>
      <c r="K5" s="17"/>
      <c r="L5" s="17"/>
      <c r="M5" s="17"/>
      <c r="N5" s="17">
        <f>SUM(N6:N12)</f>
        <v>3056.0823987815561</v>
      </c>
      <c r="O5" s="17">
        <f>B38*B39*B40</f>
        <v>3.1266666666666669</v>
      </c>
      <c r="P5" s="17">
        <f>B46*B47*B48/1000-B46*B47*B48/1000/B49</f>
        <v>152.53333333333333</v>
      </c>
      <c r="R5" s="32"/>
    </row>
    <row r="6" spans="1:18">
      <c r="A6" s="32" t="s">
        <v>54</v>
      </c>
      <c r="B6" s="37">
        <f>B26</f>
        <v>4408.1135648028603</v>
      </c>
      <c r="C6" s="33"/>
      <c r="D6" s="37">
        <f>IF(ISERROR(TER_kantoor_gas_kWh/1000),0,TER_kantoor_gas_kWh/1000)*0.902</f>
        <v>3740.1285444728724</v>
      </c>
      <c r="E6" s="33">
        <f>$C$26*'E Balans VL '!I12/100/3.6*1000000</f>
        <v>2.7628589708581442E-2</v>
      </c>
      <c r="F6" s="33">
        <f>$C$26*('E Balans VL '!L12+'E Balans VL '!N12)/100/3.6*1000000</f>
        <v>662.41629434925937</v>
      </c>
      <c r="G6" s="34"/>
      <c r="H6" s="33"/>
      <c r="I6" s="33"/>
      <c r="J6" s="33">
        <f>$C$26*('E Balans VL '!D12+'E Balans VL '!E12)/100/3.6*1000000</f>
        <v>0</v>
      </c>
      <c r="K6" s="33"/>
      <c r="L6" s="33"/>
      <c r="M6" s="33"/>
      <c r="N6" s="33">
        <f>$C$26*'E Balans VL '!Y12/100/3.6*1000000</f>
        <v>4.2157070501719582</v>
      </c>
      <c r="O6" s="33"/>
      <c r="P6" s="33"/>
      <c r="R6" s="32"/>
    </row>
    <row r="7" spans="1:18">
      <c r="A7" s="32" t="s">
        <v>53</v>
      </c>
      <c r="B7" s="37">
        <f t="shared" ref="B7:B12" si="0">B27</f>
        <v>2814.1483257679802</v>
      </c>
      <c r="C7" s="33"/>
      <c r="D7" s="37">
        <f>IF(ISERROR(TER_horeca_gas_kWh/1000),0,TER_horeca_gas_kWh/1000)*0.902</f>
        <v>3252.3454439697307</v>
      </c>
      <c r="E7" s="33">
        <f>$C$27*'E Balans VL '!I9/100/3.6*1000000</f>
        <v>40.29813527736944</v>
      </c>
      <c r="F7" s="33">
        <f>$C$27*('E Balans VL '!L9+'E Balans VL '!N9)/100/3.6*1000000</f>
        <v>356.36399222975683</v>
      </c>
      <c r="G7" s="34"/>
      <c r="H7" s="33"/>
      <c r="I7" s="33"/>
      <c r="J7" s="33">
        <f>$C$27*('E Balans VL '!D9+'E Balans VL '!E9)/100/3.6*1000000</f>
        <v>0</v>
      </c>
      <c r="K7" s="33"/>
      <c r="L7" s="33"/>
      <c r="M7" s="33"/>
      <c r="N7" s="33">
        <f>$C$27*'E Balans VL '!Y9/100/3.6*1000000</f>
        <v>0.80900559701377428</v>
      </c>
      <c r="O7" s="33"/>
      <c r="P7" s="33"/>
      <c r="R7" s="32"/>
    </row>
    <row r="8" spans="1:18">
      <c r="A8" s="6" t="s">
        <v>52</v>
      </c>
      <c r="B8" s="37">
        <f t="shared" si="0"/>
        <v>7605.8726289871302</v>
      </c>
      <c r="C8" s="33"/>
      <c r="D8" s="37">
        <f>IF(ISERROR(TER_handel_gas_kWh/1000),0,TER_handel_gas_kWh/1000)*0.902</f>
        <v>3965.1278627080114</v>
      </c>
      <c r="E8" s="33">
        <f>$C$28*'E Balans VL '!I13/100/3.6*1000000</f>
        <v>275.86406233917063</v>
      </c>
      <c r="F8" s="33">
        <f>$C$28*('E Balans VL '!L13+'E Balans VL '!N13)/100/3.6*1000000</f>
        <v>1464.9680826997098</v>
      </c>
      <c r="G8" s="34"/>
      <c r="H8" s="33"/>
      <c r="I8" s="33"/>
      <c r="J8" s="33">
        <f>$C$28*('E Balans VL '!D13+'E Balans VL '!E13)/100/3.6*1000000</f>
        <v>0</v>
      </c>
      <c r="K8" s="33"/>
      <c r="L8" s="33"/>
      <c r="M8" s="33"/>
      <c r="N8" s="33">
        <f>$C$28*'E Balans VL '!Y13/100/3.6*1000000</f>
        <v>10.535883624389962</v>
      </c>
      <c r="O8" s="33"/>
      <c r="P8" s="33"/>
      <c r="R8" s="32"/>
    </row>
    <row r="9" spans="1:18">
      <c r="A9" s="32" t="s">
        <v>51</v>
      </c>
      <c r="B9" s="37">
        <f t="shared" si="0"/>
        <v>988.65974432288294</v>
      </c>
      <c r="C9" s="33"/>
      <c r="D9" s="37">
        <f>IF(ISERROR(TER_gezond_gas_kWh/1000),0,TER_gezond_gas_kWh/1000)*0.902</f>
        <v>1403.3718329515264</v>
      </c>
      <c r="E9" s="33">
        <f>$C$29*'E Balans VL '!I10/100/3.6*1000000</f>
        <v>6.1899861246115608E-2</v>
      </c>
      <c r="F9" s="33">
        <f>$C$29*('E Balans VL '!L10+'E Balans VL '!N10)/100/3.6*1000000</f>
        <v>146.86841520141112</v>
      </c>
      <c r="G9" s="34"/>
      <c r="H9" s="33"/>
      <c r="I9" s="33"/>
      <c r="J9" s="33">
        <f>$C$29*('E Balans VL '!D10+'E Balans VL '!E10)/100/3.6*1000000</f>
        <v>0</v>
      </c>
      <c r="K9" s="33"/>
      <c r="L9" s="33"/>
      <c r="M9" s="33"/>
      <c r="N9" s="33">
        <f>$C$29*'E Balans VL '!Y10/100/3.6*1000000</f>
        <v>15.292684322697083</v>
      </c>
      <c r="O9" s="33"/>
      <c r="P9" s="33"/>
      <c r="R9" s="32"/>
    </row>
    <row r="10" spans="1:18">
      <c r="A10" s="32" t="s">
        <v>50</v>
      </c>
      <c r="B10" s="37">
        <f t="shared" si="0"/>
        <v>2920.1152845995198</v>
      </c>
      <c r="C10" s="33"/>
      <c r="D10" s="37">
        <f>IF(ISERROR(TER_ander_gas_kWh/1000),0,TER_ander_gas_kWh/1000)*0.902</f>
        <v>4508.9862061505055</v>
      </c>
      <c r="E10" s="33">
        <f>$C$30*'E Balans VL '!I14/100/3.6*1000000</f>
        <v>3.4806730719539494</v>
      </c>
      <c r="F10" s="33">
        <f>$C$30*('E Balans VL '!L14+'E Balans VL '!N14)/100/3.6*1000000</f>
        <v>764.03197658046372</v>
      </c>
      <c r="G10" s="34"/>
      <c r="H10" s="33"/>
      <c r="I10" s="33"/>
      <c r="J10" s="33">
        <f>$C$30*('E Balans VL '!D14+'E Balans VL '!E14)/100/3.6*1000000</f>
        <v>6.3384256292801214E-2</v>
      </c>
      <c r="K10" s="33"/>
      <c r="L10" s="33"/>
      <c r="M10" s="33"/>
      <c r="N10" s="33">
        <f>$C$30*'E Balans VL '!Y14/100/3.6*1000000</f>
        <v>2479.6904454666874</v>
      </c>
      <c r="O10" s="33"/>
      <c r="P10" s="33"/>
      <c r="R10" s="32"/>
    </row>
    <row r="11" spans="1:18">
      <c r="A11" s="32" t="s">
        <v>55</v>
      </c>
      <c r="B11" s="37">
        <f t="shared" si="0"/>
        <v>496.85679793520802</v>
      </c>
      <c r="C11" s="33"/>
      <c r="D11" s="37">
        <f>IF(ISERROR(TER_onderwijs_gas_kWh/1000),0,TER_onderwijs_gas_kWh/1000)*0.902</f>
        <v>640.49802277100014</v>
      </c>
      <c r="E11" s="33">
        <f>$C$31*'E Balans VL '!I11/100/3.6*1000000</f>
        <v>7.4967688168723567</v>
      </c>
      <c r="F11" s="33">
        <f>$C$31*('E Balans VL '!L11+'E Balans VL '!N11)/100/3.6*1000000</f>
        <v>87.057248521734124</v>
      </c>
      <c r="G11" s="34"/>
      <c r="H11" s="33"/>
      <c r="I11" s="33"/>
      <c r="J11" s="33">
        <f>$C$31*('E Balans VL '!D11+'E Balans VL '!E11)/100/3.6*1000000</f>
        <v>0</v>
      </c>
      <c r="K11" s="33"/>
      <c r="L11" s="33"/>
      <c r="M11" s="33"/>
      <c r="N11" s="33">
        <f>$C$31*'E Balans VL '!Y11/100/3.6*1000000</f>
        <v>1.3981928018819014</v>
      </c>
      <c r="O11" s="33"/>
      <c r="P11" s="33"/>
      <c r="R11" s="32"/>
    </row>
    <row r="12" spans="1:18">
      <c r="A12" s="32" t="s">
        <v>260</v>
      </c>
      <c r="B12" s="37">
        <f t="shared" si="0"/>
        <v>5619.5063655636195</v>
      </c>
      <c r="C12" s="33"/>
      <c r="D12" s="37">
        <f>IF(ISERROR(TER_rest_gas_kWh/1000),0,TER_rest_gas_kWh/1000)*0.902</f>
        <v>11997.212187877429</v>
      </c>
      <c r="E12" s="33">
        <f>$C$32*'E Balans VL '!I8/100/3.6*1000000</f>
        <v>69.782930937503792</v>
      </c>
      <c r="F12" s="33">
        <f>$C$32*('E Balans VL '!L8+'E Balans VL '!N8)/100/3.6*1000000</f>
        <v>971.75143712452109</v>
      </c>
      <c r="G12" s="34"/>
      <c r="H12" s="33"/>
      <c r="I12" s="33"/>
      <c r="J12" s="33">
        <f>$C$32*('E Balans VL '!D8+'E Balans VL '!E8)/100/3.6*1000000</f>
        <v>1.36077764809866E-2</v>
      </c>
      <c r="K12" s="33"/>
      <c r="L12" s="33"/>
      <c r="M12" s="33"/>
      <c r="N12" s="33">
        <f>$C$32*'E Balans VL '!Y8/100/3.6*1000000</f>
        <v>544.14047991871394</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24853.2727119792</v>
      </c>
      <c r="C16" s="21">
        <f t="shared" ca="1" si="1"/>
        <v>0</v>
      </c>
      <c r="D16" s="21">
        <f t="shared" ca="1" si="1"/>
        <v>29507.670100901079</v>
      </c>
      <c r="E16" s="21">
        <f t="shared" si="1"/>
        <v>397.01209889382488</v>
      </c>
      <c r="F16" s="21">
        <f t="shared" ca="1" si="1"/>
        <v>4453.457446706856</v>
      </c>
      <c r="G16" s="21">
        <f t="shared" si="1"/>
        <v>0</v>
      </c>
      <c r="H16" s="21">
        <f t="shared" si="1"/>
        <v>0</v>
      </c>
      <c r="I16" s="21">
        <f t="shared" si="1"/>
        <v>0</v>
      </c>
      <c r="J16" s="21">
        <f t="shared" si="1"/>
        <v>7.6992032773787814E-2</v>
      </c>
      <c r="K16" s="21">
        <f t="shared" si="1"/>
        <v>0</v>
      </c>
      <c r="L16" s="21">
        <f t="shared" ca="1" si="1"/>
        <v>0</v>
      </c>
      <c r="M16" s="21">
        <f t="shared" si="1"/>
        <v>0</v>
      </c>
      <c r="N16" s="21">
        <f t="shared" ca="1" si="1"/>
        <v>3056.0823987815561</v>
      </c>
      <c r="O16" s="21">
        <f>O5</f>
        <v>3.1266666666666669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0.23598600060204888</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5865.0244291720082</v>
      </c>
      <c r="C20" s="23">
        <f t="shared" ref="C20:P20" ca="1" si="2">C16*C18</f>
        <v>0</v>
      </c>
      <c r="D20" s="23">
        <f t="shared" ca="1" si="2"/>
        <v>5960.5493603820187</v>
      </c>
      <c r="E20" s="23">
        <f t="shared" si="2"/>
        <v>90.12174644889825</v>
      </c>
      <c r="F20" s="23">
        <f t="shared" ca="1" si="2"/>
        <v>1189.0731382707306</v>
      </c>
      <c r="G20" s="23">
        <f t="shared" si="2"/>
        <v>0</v>
      </c>
      <c r="H20" s="23">
        <f t="shared" si="2"/>
        <v>0</v>
      </c>
      <c r="I20" s="23">
        <f t="shared" si="2"/>
        <v>0</v>
      </c>
      <c r="J20" s="23">
        <f t="shared" si="2"/>
        <v>2.7255179601920886E-2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4408.1135648028603</v>
      </c>
      <c r="C26" s="39">
        <f>IF(ISERROR(B26*3.6/1000000/'E Balans VL '!Z12*100),0,B26*3.6/1000000/'E Balans VL '!Z12*100)</f>
        <v>9.3180537743992209E-2</v>
      </c>
      <c r="D26" s="237" t="s">
        <v>754</v>
      </c>
      <c r="F26" s="6"/>
    </row>
    <row r="27" spans="1:18">
      <c r="A27" s="231" t="s">
        <v>53</v>
      </c>
      <c r="B27" s="33">
        <f>IF(ISERROR(TER_horeca_ele_kWh/1000),0,TER_horeca_ele_kWh/1000)</f>
        <v>2814.1483257679802</v>
      </c>
      <c r="C27" s="39">
        <f>IF(ISERROR(B27*3.6/1000000/'E Balans VL '!Z9*100),0,B27*3.6/1000000/'E Balans VL '!Z9*100)</f>
        <v>0.22183826363366127</v>
      </c>
      <c r="D27" s="237" t="s">
        <v>754</v>
      </c>
      <c r="F27" s="6"/>
    </row>
    <row r="28" spans="1:18">
      <c r="A28" s="171" t="s">
        <v>52</v>
      </c>
      <c r="B28" s="33">
        <f>IF(ISERROR(TER_handel_ele_kWh/1000),0,TER_handel_ele_kWh/1000)</f>
        <v>7605.8726289871302</v>
      </c>
      <c r="C28" s="39">
        <f>IF(ISERROR(B28*3.6/1000000/'E Balans VL '!Z13*100),0,B28*3.6/1000000/'E Balans VL '!Z13*100)</f>
        <v>0.22075315486224273</v>
      </c>
      <c r="D28" s="237" t="s">
        <v>754</v>
      </c>
      <c r="F28" s="6"/>
    </row>
    <row r="29" spans="1:18">
      <c r="A29" s="231" t="s">
        <v>51</v>
      </c>
      <c r="B29" s="33">
        <f>IF(ISERROR(TER_gezond_ele_kWh/1000),0,TER_gezond_ele_kWh/1000)</f>
        <v>988.65974432288294</v>
      </c>
      <c r="C29" s="39">
        <f>IF(ISERROR(B29*3.6/1000000/'E Balans VL '!Z10*100),0,B29*3.6/1000000/'E Balans VL '!Z10*100)</f>
        <v>0.10412210529872204</v>
      </c>
      <c r="D29" s="237" t="s">
        <v>754</v>
      </c>
      <c r="F29" s="6"/>
    </row>
    <row r="30" spans="1:18">
      <c r="A30" s="231" t="s">
        <v>50</v>
      </c>
      <c r="B30" s="33">
        <f>IF(ISERROR(TER_ander_ele_kWh/1000),0,TER_ander_ele_kWh/1000)</f>
        <v>2920.1152845995198</v>
      </c>
      <c r="C30" s="39">
        <f>IF(ISERROR(B30*3.6/1000000/'E Balans VL '!Z14*100),0,B30*3.6/1000000/'E Balans VL '!Z14*100)</f>
        <v>0.2153883376379454</v>
      </c>
      <c r="D30" s="237" t="s">
        <v>754</v>
      </c>
      <c r="F30" s="6"/>
    </row>
    <row r="31" spans="1:18">
      <c r="A31" s="231" t="s">
        <v>55</v>
      </c>
      <c r="B31" s="33">
        <f>IF(ISERROR(TER_onderwijs_ele_kWh/1000),0,TER_onderwijs_ele_kWh/1000)</f>
        <v>496.85679793520802</v>
      </c>
      <c r="C31" s="39">
        <f>IF(ISERROR(B31*3.6/1000000/'E Balans VL '!Z11*100),0,B31*3.6/1000000/'E Balans VL '!Z11*100)</f>
        <v>0.12339281707038965</v>
      </c>
      <c r="D31" s="237" t="s">
        <v>754</v>
      </c>
    </row>
    <row r="32" spans="1:18">
      <c r="A32" s="231" t="s">
        <v>260</v>
      </c>
      <c r="B32" s="33">
        <f>IF(ISERROR(TER_rest_ele_kWh/1000),0,TER_rest_ele_kWh/1000)</f>
        <v>5619.5063655636195</v>
      </c>
      <c r="C32" s="39">
        <f>IF(ISERROR(B32*3.6/1000000/'E Balans VL '!Z8*100),0,B32*3.6/1000000/'E Balans VL '!Z8*100)</f>
        <v>4.6241078252129204E-2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8</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18757.829325582235</v>
      </c>
      <c r="C5" s="17">
        <f>IF(ISERROR('Eigen informatie GS &amp; warmtenet'!B59),0,'Eigen informatie GS &amp; warmtenet'!B59)</f>
        <v>0</v>
      </c>
      <c r="D5" s="30">
        <f>SUM(D6:D15)</f>
        <v>57356.141888564576</v>
      </c>
      <c r="E5" s="17">
        <f>SUM(E6:E15)</f>
        <v>1648.3280823605382</v>
      </c>
      <c r="F5" s="17">
        <f>SUM(F6:F15)</f>
        <v>5296.5890224993891</v>
      </c>
      <c r="G5" s="18"/>
      <c r="H5" s="17"/>
      <c r="I5" s="17"/>
      <c r="J5" s="17">
        <f>SUM(J6:J15)</f>
        <v>47.6875641562062</v>
      </c>
      <c r="K5" s="17"/>
      <c r="L5" s="17"/>
      <c r="M5" s="17"/>
      <c r="N5" s="17">
        <f>SUM(N6:N15)</f>
        <v>4712.7870576193682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1811.9817672768199</v>
      </c>
      <c r="C8" s="33"/>
      <c r="D8" s="37">
        <f>IF( ISERROR(IND_metaal_Gas_kWH/1000),0,IND_metaal_Gas_kWH/1000)*0.902</f>
        <v>49665.845821356925</v>
      </c>
      <c r="E8" s="33">
        <f>C30*'E Balans VL '!I18/100/3.6*1000000</f>
        <v>16.659422321476701</v>
      </c>
      <c r="F8" s="33">
        <f>C30*'E Balans VL '!L18/100/3.6*1000000+C30*'E Balans VL '!N18/100/3.6*1000000</f>
        <v>169.90356279095965</v>
      </c>
      <c r="G8" s="34"/>
      <c r="H8" s="33"/>
      <c r="I8" s="33"/>
      <c r="J8" s="40">
        <f>C30*'E Balans VL '!D18/100/3.6*1000000+C30*'E Balans VL '!E18/100/3.6*1000000</f>
        <v>0</v>
      </c>
      <c r="K8" s="33"/>
      <c r="L8" s="33"/>
      <c r="M8" s="33"/>
      <c r="N8" s="33">
        <f>C30*'E Balans VL '!Y18/100/3.6*1000000</f>
        <v>25.850914336172679</v>
      </c>
      <c r="O8" s="33"/>
      <c r="P8" s="33"/>
      <c r="R8" s="32"/>
    </row>
    <row r="9" spans="1:18">
      <c r="A9" s="6" t="s">
        <v>33</v>
      </c>
      <c r="B9" s="37">
        <f t="shared" si="0"/>
        <v>3063.8978356348098</v>
      </c>
      <c r="C9" s="33"/>
      <c r="D9" s="37">
        <f>IF( ISERROR(IND_andere_gas_kWh/1000),0,IND_andere_gas_kWh/1000)*0.902</f>
        <v>2458.4930240144063</v>
      </c>
      <c r="E9" s="33">
        <f>C31*'E Balans VL '!I19/100/3.6*1000000</f>
        <v>895.63698441158522</v>
      </c>
      <c r="F9" s="33">
        <f>C31*'E Balans VL '!L19/100/3.6*1000000+C31*'E Balans VL '!N19/100/3.6*1000000</f>
        <v>2462.0738266889339</v>
      </c>
      <c r="G9" s="34"/>
      <c r="H9" s="33"/>
      <c r="I9" s="33"/>
      <c r="J9" s="40">
        <f>C31*'E Balans VL '!D19/100/3.6*1000000+C31*'E Balans VL '!E19/100/3.6*1000000</f>
        <v>0</v>
      </c>
      <c r="K9" s="33"/>
      <c r="L9" s="33"/>
      <c r="M9" s="33"/>
      <c r="N9" s="33">
        <f>C31*'E Balans VL '!Y19/100/3.6*1000000</f>
        <v>1012.3593625801651</v>
      </c>
      <c r="O9" s="33"/>
      <c r="P9" s="33"/>
      <c r="R9" s="32"/>
    </row>
    <row r="10" spans="1:18">
      <c r="A10" s="6" t="s">
        <v>41</v>
      </c>
      <c r="B10" s="37">
        <f t="shared" si="0"/>
        <v>320.86317452306599</v>
      </c>
      <c r="C10" s="33"/>
      <c r="D10" s="37">
        <f>IF( ISERROR(IND_voed_gas_kWh/1000),0,IND_voed_gas_kWh/1000)*0.902</f>
        <v>263.35375517711458</v>
      </c>
      <c r="E10" s="33">
        <f>C32*'E Balans VL '!I20/100/3.6*1000000</f>
        <v>0.67879102074599085</v>
      </c>
      <c r="F10" s="33">
        <f>C32*'E Balans VL '!L20/100/3.6*1000000+C32*'E Balans VL '!N20/100/3.6*1000000</f>
        <v>20.400808388298127</v>
      </c>
      <c r="G10" s="34"/>
      <c r="H10" s="33"/>
      <c r="I10" s="33"/>
      <c r="J10" s="40">
        <f>C32*'E Balans VL '!D20/100/3.6*1000000+C32*'E Balans VL '!E20/100/3.6*1000000</f>
        <v>0</v>
      </c>
      <c r="K10" s="33"/>
      <c r="L10" s="33"/>
      <c r="M10" s="33"/>
      <c r="N10" s="33">
        <f>C32*'E Balans VL '!Y20/100/3.6*1000000</f>
        <v>22.142725397266307</v>
      </c>
      <c r="O10" s="33"/>
      <c r="P10" s="33"/>
      <c r="R10" s="32"/>
    </row>
    <row r="11" spans="1:18">
      <c r="A11" s="6" t="s">
        <v>40</v>
      </c>
      <c r="B11" s="37">
        <f t="shared" si="0"/>
        <v>21.426710803489001</v>
      </c>
      <c r="C11" s="33"/>
      <c r="D11" s="37">
        <f>IF( ISERROR(IND_textiel_gas_kWh/1000),0,IND_textiel_gas_kWh/1000)*0.902</f>
        <v>0</v>
      </c>
      <c r="E11" s="33">
        <f>C33*'E Balans VL '!I21/100/3.6*1000000</f>
        <v>6.3635483748754135E-2</v>
      </c>
      <c r="F11" s="33">
        <f>C33*'E Balans VL '!L21/100/3.6*1000000+C33*'E Balans VL '!N21/100/3.6*1000000</f>
        <v>2.1646860425694197</v>
      </c>
      <c r="G11" s="34"/>
      <c r="H11" s="33"/>
      <c r="I11" s="33"/>
      <c r="J11" s="40">
        <f>C33*'E Balans VL '!D21/100/3.6*1000000+C33*'E Balans VL '!E21/100/3.6*1000000</f>
        <v>0</v>
      </c>
      <c r="K11" s="33"/>
      <c r="L11" s="33"/>
      <c r="M11" s="33"/>
      <c r="N11" s="33">
        <f>C33*'E Balans VL '!Y21/100/3.6*1000000</f>
        <v>1.181751481037032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228.93050314325001</v>
      </c>
      <c r="C13" s="33"/>
      <c r="D13" s="37">
        <f>IF( ISERROR(IND_papier_gas_kWh/1000),0,IND_papier_gas_kWh/1000)*0.902</f>
        <v>0</v>
      </c>
      <c r="E13" s="33">
        <f>C35*'E Balans VL '!I23/100/3.6*1000000</f>
        <v>0.3248000279606415</v>
      </c>
      <c r="F13" s="33">
        <f>C35*'E Balans VL '!L23/100/3.6*1000000+C35*'E Balans VL '!N23/100/3.6*1000000</f>
        <v>5.5890544159203275</v>
      </c>
      <c r="G13" s="34"/>
      <c r="H13" s="33"/>
      <c r="I13" s="33"/>
      <c r="J13" s="40">
        <f>C35*'E Balans VL '!D23/100/3.6*1000000+C35*'E Balans VL '!E23/100/3.6*1000000</f>
        <v>3.5406251641641857E-2</v>
      </c>
      <c r="K13" s="33"/>
      <c r="L13" s="33"/>
      <c r="M13" s="33"/>
      <c r="N13" s="33">
        <f>C35*'E Balans VL '!Y23/100/3.6*1000000</f>
        <v>665.44678106510128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13310.7293342008</v>
      </c>
      <c r="C15" s="33"/>
      <c r="D15" s="37">
        <f>IF( ISERROR(IND_rest_gas_kWh/1000),0,IND_rest_gas_kWh/1000)*0.902</f>
        <v>4968.449288016127</v>
      </c>
      <c r="E15" s="33">
        <f>C37*'E Balans VL '!I15/100/3.6*1000000</f>
        <v>734.96444909502088</v>
      </c>
      <c r="F15" s="33">
        <f>C37*'E Balans VL '!L15/100/3.6*1000000+C37*'E Balans VL '!N15/100/3.6*1000000</f>
        <v>2636.4570841727082</v>
      </c>
      <c r="G15" s="34"/>
      <c r="H15" s="33"/>
      <c r="I15" s="33"/>
      <c r="J15" s="40">
        <f>C37*'E Balans VL '!D15/100/3.6*1000000+C37*'E Balans VL '!E15/100/3.6*1000000</f>
        <v>47.652157904564561</v>
      </c>
      <c r="K15" s="33"/>
      <c r="L15" s="33"/>
      <c r="M15" s="33"/>
      <c r="N15" s="33">
        <f>C37*'E Balans VL '!Y15/100/3.6*1000000</f>
        <v>2985.805522759626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18757.829325582235</v>
      </c>
      <c r="C18" s="21">
        <f>C5+C16</f>
        <v>0</v>
      </c>
      <c r="D18" s="21">
        <f>MAX((D5+D16),0)</f>
        <v>57356.141888564576</v>
      </c>
      <c r="E18" s="21">
        <f>MAX((E5+E16),0)</f>
        <v>1648.3280823605382</v>
      </c>
      <c r="F18" s="21">
        <f>MAX((F5+F16),0)</f>
        <v>5296.5890224993891</v>
      </c>
      <c r="G18" s="21"/>
      <c r="H18" s="21"/>
      <c r="I18" s="21"/>
      <c r="J18" s="21">
        <f>MAX((J5+J16),0)</f>
        <v>47.6875641562062</v>
      </c>
      <c r="K18" s="21"/>
      <c r="L18" s="21">
        <f>MAX((L5+L16),0)</f>
        <v>0</v>
      </c>
      <c r="M18" s="21"/>
      <c r="N18" s="21">
        <f>MAX((N5+N16),0)</f>
        <v>4712.7870576193682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0.23598600060204888</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4426.5851225199794</v>
      </c>
      <c r="C22" s="23">
        <f ca="1">C18*C20</f>
        <v>0</v>
      </c>
      <c r="D22" s="23">
        <f>D18*D20</f>
        <v>11585.940661490045</v>
      </c>
      <c r="E22" s="23">
        <f>E18*E20</f>
        <v>374.17047469584219</v>
      </c>
      <c r="F22" s="23">
        <f>F18*F20</f>
        <v>1414.1892690073369</v>
      </c>
      <c r="G22" s="23"/>
      <c r="H22" s="23"/>
      <c r="I22" s="23"/>
      <c r="J22" s="23">
        <f>J18*J20</f>
        <v>16.881397711296994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1811.9817672768199</v>
      </c>
      <c r="C30" s="39">
        <f>IF(ISERROR(B30*3.6/1000000/'E Balans VL '!Z18*100),0,B30*3.6/1000000/'E Balans VL '!Z18*100)</f>
        <v>0.1026896529767143</v>
      </c>
      <c r="D30" s="237" t="s">
        <v>754</v>
      </c>
    </row>
    <row r="31" spans="1:18">
      <c r="A31" s="6" t="s">
        <v>33</v>
      </c>
      <c r="B31" s="37">
        <f>IF( ISERROR(IND_ander_ele_kWh/1000),0,IND_ander_ele_kWh/1000)</f>
        <v>3063.8978356348098</v>
      </c>
      <c r="C31" s="39">
        <f>IF(ISERROR(B31*3.6/1000000/'E Balans VL '!Z19*100),0,B31*3.6/1000000/'E Balans VL '!Z19*100)</f>
        <v>0.13896564797585384</v>
      </c>
      <c r="D31" s="237" t="s">
        <v>754</v>
      </c>
    </row>
    <row r="32" spans="1:18">
      <c r="A32" s="171" t="s">
        <v>41</v>
      </c>
      <c r="B32" s="37">
        <f>IF( ISERROR(IND_voed_ele_kWh/1000),0,IND_voed_ele_kWh/1000)</f>
        <v>320.86317452306599</v>
      </c>
      <c r="C32" s="39">
        <f>IF(ISERROR(B32*3.6/1000000/'E Balans VL '!Z20*100),0,B32*3.6/1000000/'E Balans VL '!Z20*100)</f>
        <v>9.9257545838223778E-3</v>
      </c>
      <c r="D32" s="237" t="s">
        <v>754</v>
      </c>
    </row>
    <row r="33" spans="1:5">
      <c r="A33" s="171" t="s">
        <v>40</v>
      </c>
      <c r="B33" s="37">
        <f>IF( ISERROR(IND_textiel_ele_kWh/1000),0,IND_textiel_ele_kWh/1000)</f>
        <v>21.426710803489001</v>
      </c>
      <c r="C33" s="39">
        <f>IF(ISERROR(B33*3.6/1000000/'E Balans VL '!Z21*100),0,B33*3.6/1000000/'E Balans VL '!Z21*100)</f>
        <v>2.7938049187567352E-3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228.93050314325001</v>
      </c>
      <c r="C35" s="39">
        <f>IF(ISERROR(B35*3.6/1000000/'E Balans VL '!Z22*100),0,B35*3.6/1000000/'E Balans VL '!Z22*100)</f>
        <v>4.1177454966032749E-2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13310.7293342008</v>
      </c>
      <c r="C37" s="39">
        <f>IF(ISERROR(B37*3.6/1000000/'E Balans VL '!Z15*100),0,B37*3.6/1000000/'E Balans VL '!Z15*100)</f>
        <v>0.10550387710385452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4368.6981817599235</v>
      </c>
      <c r="C5" s="17">
        <f>'Eigen informatie GS &amp; warmtenet'!B60</f>
        <v>0</v>
      </c>
      <c r="D5" s="30">
        <f>IF(ISERROR(SUM(LB_lb_gas_kWh,LB_rest_gas_kWh)/1000),0,SUM(LB_lb_gas_kWh,LB_rest_gas_kWh)/1000)*0.902</f>
        <v>62218.226571519612</v>
      </c>
      <c r="E5" s="17">
        <f>B17*'E Balans VL '!I25/3.6*1000000/100</f>
        <v>128.40938310630315</v>
      </c>
      <c r="F5" s="17">
        <f>B17*('E Balans VL '!L25/3.6*1000000+'E Balans VL '!N25/3.6*1000000)/100</f>
        <v>18199.76055315297</v>
      </c>
      <c r="G5" s="18"/>
      <c r="H5" s="17"/>
      <c r="I5" s="17"/>
      <c r="J5" s="17">
        <f>('E Balans VL '!D25+'E Balans VL '!E25)/3.6*1000000*landbouw!B17/100</f>
        <v>632.93054766962564</v>
      </c>
      <c r="K5" s="17"/>
      <c r="L5" s="17">
        <f>L6*(-1)</f>
        <v>0</v>
      </c>
      <c r="M5" s="17"/>
      <c r="N5" s="17">
        <f>N6*(-1)</f>
        <v>0</v>
      </c>
      <c r="O5" s="17"/>
      <c r="P5" s="17"/>
      <c r="R5" s="32"/>
    </row>
    <row r="6" spans="1:18">
      <c r="A6" s="16" t="s">
        <v>488</v>
      </c>
      <c r="B6" s="17" t="s">
        <v>211</v>
      </c>
      <c r="C6" s="17">
        <f>'lokale energieproductie'!O92+'lokale energieproductie'!O61</f>
        <v>27006.428571428572</v>
      </c>
      <c r="D6" s="310">
        <f>('lokale energieproductie'!P61+'lokale energieproductie'!P92)*(-1)</f>
        <v>-54012.857142857145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4368.6981817599235</v>
      </c>
      <c r="C8" s="21">
        <f>C5+C6</f>
        <v>27006.428571428572</v>
      </c>
      <c r="D8" s="21">
        <f>MAX((D5+D6),0)</f>
        <v>8205.3694286624668</v>
      </c>
      <c r="E8" s="21">
        <f>MAX((E5+E6),0)</f>
        <v>128.40938310630315</v>
      </c>
      <c r="F8" s="21">
        <f>MAX((F5+F6),0)</f>
        <v>18199.76055315297</v>
      </c>
      <c r="G8" s="21"/>
      <c r="H8" s="21"/>
      <c r="I8" s="21"/>
      <c r="J8" s="21">
        <f>MAX((J5+J6),0)</f>
        <v>632.93054766962564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0.23598600060204888</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1030.9516117509672</v>
      </c>
      <c r="C12" s="23">
        <f ca="1">C8*C10</f>
        <v>6417.9983193277312</v>
      </c>
      <c r="D12" s="23">
        <f>D8*D10</f>
        <v>1657.4846245898184</v>
      </c>
      <c r="E12" s="23">
        <f>E8*E10</f>
        <v>29.148929965130815</v>
      </c>
      <c r="F12" s="23">
        <f>F8*F10</f>
        <v>4859.3360676918428</v>
      </c>
      <c r="G12" s="23"/>
      <c r="H12" s="23"/>
      <c r="I12" s="23"/>
      <c r="J12" s="23">
        <f>J8*J10</f>
        <v>224.05741387504747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0.61993197836427671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809.91678151201756</v>
      </c>
      <c r="C26" s="247">
        <f>B26*'GWP N2O_CH4'!B5</f>
        <v>17008.252411752368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430.37747783176189</v>
      </c>
      <c r="C27" s="247">
        <f>B27*'GWP N2O_CH4'!B5</f>
        <v>9037.9270344670003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12.305707575772049</v>
      </c>
      <c r="C28" s="247">
        <f>B28*'GWP N2O_CH4'!B4</f>
        <v>3814.7693484893352</v>
      </c>
      <c r="D28" s="50"/>
    </row>
    <row r="29" spans="1:4">
      <c r="A29" s="41" t="s">
        <v>277</v>
      </c>
      <c r="B29" s="247">
        <f>B34*'ha_N2O bodem landbouw'!B4</f>
        <v>22.998844074600697</v>
      </c>
      <c r="C29" s="247">
        <f>B29*'GWP N2O_CH4'!B4</f>
        <v>7129.6416631262164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5.2482569602812614E-3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3.0471997891508079E-4</v>
      </c>
      <c r="C5" s="463" t="s">
        <v>211</v>
      </c>
      <c r="D5" s="448">
        <f>SUM(D6:D11)</f>
        <v>1.0256575038665385E-3</v>
      </c>
      <c r="E5" s="448">
        <f>SUM(E6:E11)</f>
        <v>1.5463425721410793E-3</v>
      </c>
      <c r="F5" s="461" t="s">
        <v>211</v>
      </c>
      <c r="G5" s="448">
        <f>SUM(G6:G11)</f>
        <v>0.60970182356543301</v>
      </c>
      <c r="H5" s="448">
        <f>SUM(H6:H11)</f>
        <v>0.1184197313628316</v>
      </c>
      <c r="I5" s="463" t="s">
        <v>211</v>
      </c>
      <c r="J5" s="463" t="s">
        <v>211</v>
      </c>
      <c r="K5" s="463" t="s">
        <v>211</v>
      </c>
      <c r="L5" s="463" t="s">
        <v>211</v>
      </c>
      <c r="M5" s="448">
        <f>SUM(M6:M11)</f>
        <v>3.9115647160839484E-2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1.0848049459544172E-4</v>
      </c>
      <c r="C6" s="449"/>
      <c r="D6" s="892">
        <f>vkm_2011_GW_PW*SUMIFS(TableVerdeelsleutelVkm[CNG],TableVerdeelsleutelVkm[Voertuigtype],"Lichte voertuigen")*SUMIFS(TableECFTransport[EnergieConsumptieFactor (PJ per km)],TableECFTransport[Index],CONCATENATE($A6,"_CNG_CNG"))</f>
        <v>3.2537922164585308E-4</v>
      </c>
      <c r="E6" s="892">
        <f>vkm_2011_GW_PW*SUMIFS(TableVerdeelsleutelVkm[LPG],TableVerdeelsleutelVkm[Voertuigtype],"Lichte voertuigen")*SUMIFS(TableECFTransport[EnergieConsumptieFactor (PJ per km)],TableECFTransport[Index],CONCATENATE($A6,"_LPG_LPG"))</f>
        <v>4.4451475519004995E-4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0.11493113881905767</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3.7008142474551371E-2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7.8065287822644139E-3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8.0728506295579996E-2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2.4604408307309638E-5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4.7175015453931671E-3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3.8520582385551714E-5</v>
      </c>
      <c r="C8" s="449"/>
      <c r="D8" s="451">
        <f>vkm_2011_NGW_PW*SUMIFS(TableVerdeelsleutelVkm[CNG],TableVerdeelsleutelVkm[Voertuigtype],"Lichte voertuigen")*SUMIFS(TableECFTransport[EnergieConsumptieFactor (PJ per km)],TableECFTransport[Index],CONCATENATE($A8,"_CNG_CNG"))</f>
        <v>2.0543077130891335E-4</v>
      </c>
      <c r="E8" s="451">
        <f>vkm_2011_NGW_PW*SUMIFS(TableVerdeelsleutelVkm[LPG],TableVerdeelsleutelVkm[Voertuigtype],"Lichte voertuigen")*SUMIFS(TableECFTransport[EnergieConsumptieFactor (PJ per km)],TableECFTransport[Index],CONCATENATE($A8,"_LPG_LPG"))</f>
        <v>2.5991184075155251E-4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6.2624489451584733E-2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2.2706037934956118E-2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4.3286043186994676E-3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1.2578005086937448E-2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3.6089280722310986E-6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7.350095582512638E-4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1.5771890193408734E-4</v>
      </c>
      <c r="C10" s="449"/>
      <c r="D10" s="451">
        <f>vkm_2011_SW_PW*SUMIFS(TableVerdeelsleutelVkm[CNG],TableVerdeelsleutelVkm[Voertuigtype],"Lichte voertuigen")*SUMIFS(TableECFTransport[EnergieConsumptieFactor (PJ per km)],TableECFTransport[Index],CONCATENATE($A10,"_CNG_CNG"))</f>
        <v>4.9484751091177196E-4</v>
      </c>
      <c r="E10" s="451">
        <f>vkm_2011_SW_PW*SUMIFS(TableVerdeelsleutelVkm[LPG],TableVerdeelsleutelVkm[Voertuigtype],"Lichte voertuigen")*SUMIFS(TableECFTransport[EnergieConsumptieFactor (PJ per km)],TableECFTransport[Index],CONCATENATE($A10,"_LPG_LPG"))</f>
        <v>8.4191597619947677E-4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0.19406354004097537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5.8629687656923904E-2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1.3067669598848955E-2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0.14477614387129772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4.764996002065663E-5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8.4603333573822128E-3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84.644438587522444</v>
      </c>
      <c r="C14" s="21"/>
      <c r="D14" s="21">
        <f t="shared" ref="D14:M14" si="0">((D5)*10^9/3600)+D12</f>
        <v>284.90486218514957</v>
      </c>
      <c r="E14" s="21">
        <f t="shared" si="0"/>
        <v>429.53960337252198</v>
      </c>
      <c r="F14" s="21"/>
      <c r="G14" s="21">
        <f t="shared" si="0"/>
        <v>169361.61765706472</v>
      </c>
      <c r="H14" s="21">
        <f t="shared" si="0"/>
        <v>32894.369823008776</v>
      </c>
      <c r="I14" s="21"/>
      <c r="J14" s="21"/>
      <c r="K14" s="21"/>
      <c r="L14" s="21"/>
      <c r="M14" s="21">
        <f t="shared" si="0"/>
        <v>10865.457544677634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0.23598600060204888</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19.974902535475163</v>
      </c>
      <c r="C18" s="23"/>
      <c r="D18" s="23">
        <f t="shared" ref="D18:M18" si="1">D14*D16</f>
        <v>57.550782161400214</v>
      </c>
      <c r="E18" s="23">
        <f t="shared" si="1"/>
        <v>97.505489965562489</v>
      </c>
      <c r="F18" s="23"/>
      <c r="G18" s="23">
        <f t="shared" si="1"/>
        <v>45219.551914436284</v>
      </c>
      <c r="H18" s="23">
        <f t="shared" si="1"/>
        <v>8190.6980859291853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846</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846</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6.6424138240981619E-3</v>
      </c>
      <c r="H50" s="321">
        <f t="shared" si="2"/>
        <v>0</v>
      </c>
      <c r="I50" s="321">
        <f t="shared" si="2"/>
        <v>0</v>
      </c>
      <c r="J50" s="321">
        <f t="shared" si="2"/>
        <v>0</v>
      </c>
      <c r="K50" s="321">
        <f t="shared" si="2"/>
        <v>0</v>
      </c>
      <c r="L50" s="321">
        <f t="shared" si="2"/>
        <v>0</v>
      </c>
      <c r="M50" s="321">
        <f t="shared" si="2"/>
        <v>3.7725978176557124E-4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6.6424138240981619E-3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3.7725978176557124E-4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1845.1149511383785</v>
      </c>
      <c r="H54" s="21">
        <f t="shared" si="3"/>
        <v>0</v>
      </c>
      <c r="I54" s="21">
        <f t="shared" si="3"/>
        <v>0</v>
      </c>
      <c r="J54" s="21">
        <f t="shared" si="3"/>
        <v>0</v>
      </c>
      <c r="K54" s="21">
        <f t="shared" si="3"/>
        <v>0</v>
      </c>
      <c r="L54" s="21">
        <f t="shared" si="3"/>
        <v>0</v>
      </c>
      <c r="M54" s="21">
        <f t="shared" si="3"/>
        <v>104.79438382376978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0.23598600060204888</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492.64569195394711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30" t="s">
        <v>221</v>
      </c>
      <c r="B2" s="1130"/>
      <c r="C2" s="1130"/>
      <c r="D2" s="59"/>
      <c r="E2" s="59"/>
      <c r="F2" s="59"/>
      <c r="G2" s="59"/>
      <c r="H2" s="60"/>
      <c r="I2" s="60"/>
      <c r="J2" s="61"/>
      <c r="K2" s="61"/>
      <c r="L2" s="60"/>
      <c r="M2" s="60"/>
      <c r="N2" s="60"/>
      <c r="O2" s="60"/>
      <c r="P2" s="60"/>
      <c r="Q2" s="60"/>
      <c r="R2" s="60"/>
    </row>
    <row r="3" spans="1:19">
      <c r="A3" s="1131"/>
      <c r="B3" s="1131"/>
      <c r="C3" s="1131"/>
      <c r="D3" s="1131"/>
      <c r="E3" s="1131"/>
      <c r="F3" s="1131"/>
      <c r="G3" s="1131"/>
      <c r="H3" s="1131"/>
      <c r="I3" s="1131"/>
      <c r="J3" s="1131"/>
      <c r="K3" s="1131"/>
      <c r="L3" s="1131"/>
      <c r="M3" s="1131"/>
      <c r="N3" s="1131"/>
      <c r="O3" s="1131"/>
      <c r="P3" s="1131"/>
      <c r="Q3" s="1131"/>
      <c r="R3" s="1131"/>
    </row>
    <row r="4" spans="1:19" ht="15.75" thickBot="1">
      <c r="A4" s="472"/>
      <c r="B4" s="472"/>
      <c r="C4" s="63"/>
      <c r="D4" s="63"/>
      <c r="E4" s="63"/>
      <c r="F4" s="63"/>
      <c r="G4" s="63"/>
      <c r="H4" s="63"/>
      <c r="I4" s="63"/>
      <c r="J4" s="63"/>
      <c r="K4" s="63"/>
      <c r="L4" s="63"/>
      <c r="M4" s="63"/>
      <c r="N4" s="63"/>
      <c r="O4" s="63"/>
      <c r="P4" s="63"/>
      <c r="Q4" s="63"/>
      <c r="R4" s="63"/>
    </row>
    <row r="5" spans="1:19" ht="16.5" thickBot="1">
      <c r="A5" s="1132" t="s">
        <v>222</v>
      </c>
      <c r="B5" s="801"/>
      <c r="C5" s="1135" t="s">
        <v>343</v>
      </c>
      <c r="D5" s="1136"/>
      <c r="E5" s="1136"/>
      <c r="F5" s="1136"/>
      <c r="G5" s="1136"/>
      <c r="H5" s="1136"/>
      <c r="I5" s="1136"/>
      <c r="J5" s="1136"/>
      <c r="K5" s="1136"/>
      <c r="L5" s="1136"/>
      <c r="M5" s="1136"/>
      <c r="N5" s="1136"/>
      <c r="O5" s="1136"/>
      <c r="P5" s="1136"/>
      <c r="Q5" s="1136"/>
      <c r="R5" s="1137"/>
    </row>
    <row r="6" spans="1:19" ht="16.5" thickTop="1">
      <c r="A6" s="1133"/>
      <c r="B6" s="802"/>
      <c r="C6" s="1138" t="s">
        <v>21</v>
      </c>
      <c r="D6" s="1140" t="s">
        <v>196</v>
      </c>
      <c r="E6" s="1142" t="s">
        <v>197</v>
      </c>
      <c r="F6" s="1143"/>
      <c r="G6" s="1143"/>
      <c r="H6" s="1143"/>
      <c r="I6" s="1143"/>
      <c r="J6" s="1143"/>
      <c r="K6" s="1143"/>
      <c r="L6" s="1144"/>
      <c r="M6" s="1142" t="s">
        <v>198</v>
      </c>
      <c r="N6" s="1143"/>
      <c r="O6" s="1143"/>
      <c r="P6" s="1143"/>
      <c r="Q6" s="1143"/>
      <c r="R6" s="1145" t="s">
        <v>116</v>
      </c>
    </row>
    <row r="7" spans="1:19" ht="45.75" thickBot="1">
      <c r="A7" s="1134"/>
      <c r="B7" s="803"/>
      <c r="C7" s="1139"/>
      <c r="D7" s="1141"/>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46"/>
    </row>
    <row r="8" spans="1:19" ht="18.75" customHeight="1" thickTop="1">
      <c r="A8" s="808" t="s">
        <v>344</v>
      </c>
      <c r="B8" s="813"/>
      <c r="C8" s="1147"/>
      <c r="D8" s="1147"/>
      <c r="E8" s="1147"/>
      <c r="F8" s="1147"/>
      <c r="G8" s="1147"/>
      <c r="H8" s="1147"/>
      <c r="I8" s="1147"/>
      <c r="J8" s="1147"/>
      <c r="K8" s="1147"/>
      <c r="L8" s="1147"/>
      <c r="M8" s="1147"/>
      <c r="N8" s="1147"/>
      <c r="O8" s="1147"/>
      <c r="P8" s="1147"/>
      <c r="Q8" s="1147"/>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26871.7897119792</v>
      </c>
      <c r="D10" s="1013">
        <f ca="1">tertiair!C16</f>
        <v>0</v>
      </c>
      <c r="E10" s="1013">
        <f ca="1">tertiair!D16</f>
        <v>29507.670100901079</v>
      </c>
      <c r="F10" s="1013">
        <f>tertiair!E16</f>
        <v>397.01209889382488</v>
      </c>
      <c r="G10" s="1013">
        <f ca="1">tertiair!F16</f>
        <v>4453.457446706856</v>
      </c>
      <c r="H10" s="1013">
        <f>tertiair!G16</f>
        <v>0</v>
      </c>
      <c r="I10" s="1013">
        <f>tertiair!H16</f>
        <v>0</v>
      </c>
      <c r="J10" s="1013">
        <f>tertiair!I16</f>
        <v>0</v>
      </c>
      <c r="K10" s="1013">
        <f>tertiair!J16</f>
        <v>7.6992032773787814E-2</v>
      </c>
      <c r="L10" s="1013">
        <f>tertiair!K16</f>
        <v>0</v>
      </c>
      <c r="M10" s="1013">
        <f ca="1">tertiair!L16</f>
        <v>0</v>
      </c>
      <c r="N10" s="1013">
        <f>tertiair!M16</f>
        <v>0</v>
      </c>
      <c r="O10" s="1013">
        <f ca="1">tertiair!N16</f>
        <v>3056.0823987815561</v>
      </c>
      <c r="P10" s="1013">
        <f>tertiair!O16</f>
        <v>3.1266666666666669</v>
      </c>
      <c r="Q10" s="1014">
        <f>tertiair!P16</f>
        <v>152.53333333333333</v>
      </c>
      <c r="R10" s="700">
        <f ca="1">SUM(C10:Q10)</f>
        <v>64441.748749295271</v>
      </c>
      <c r="S10" s="67"/>
    </row>
    <row r="11" spans="1:19" s="473" customFormat="1">
      <c r="A11" s="809" t="s">
        <v>225</v>
      </c>
      <c r="B11" s="814"/>
      <c r="C11" s="1013">
        <f>huishoudens!B8</f>
        <v>42981.092660512128</v>
      </c>
      <c r="D11" s="1013">
        <f>huishoudens!C8</f>
        <v>0</v>
      </c>
      <c r="E11" s="1013">
        <f>huishoudens!D8</f>
        <v>79305.553914118704</v>
      </c>
      <c r="F11" s="1013">
        <f>huishoudens!E8</f>
        <v>8362.3294438679477</v>
      </c>
      <c r="G11" s="1013">
        <f>huishoudens!F8</f>
        <v>26473.361919591498</v>
      </c>
      <c r="H11" s="1013">
        <f>huishoudens!G8</f>
        <v>0</v>
      </c>
      <c r="I11" s="1013">
        <f>huishoudens!H8</f>
        <v>0</v>
      </c>
      <c r="J11" s="1013">
        <f>huishoudens!I8</f>
        <v>0</v>
      </c>
      <c r="K11" s="1013">
        <f>huishoudens!J8</f>
        <v>1777.1204791641333</v>
      </c>
      <c r="L11" s="1013">
        <f>huishoudens!K8</f>
        <v>0</v>
      </c>
      <c r="M11" s="1013">
        <f>huishoudens!L8</f>
        <v>0</v>
      </c>
      <c r="N11" s="1013">
        <f>huishoudens!M8</f>
        <v>0</v>
      </c>
      <c r="O11" s="1013">
        <f>huishoudens!N8</f>
        <v>28372.821324928489</v>
      </c>
      <c r="P11" s="1013">
        <f>huishoudens!O8</f>
        <v>565.92666666666673</v>
      </c>
      <c r="Q11" s="1014">
        <f>huishoudens!P8</f>
        <v>1372.8</v>
      </c>
      <c r="R11" s="700">
        <f>SUM(C11:Q11)</f>
        <v>189211.00640884956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18757.829325582235</v>
      </c>
      <c r="D13" s="1013">
        <f>industrie!C18</f>
        <v>0</v>
      </c>
      <c r="E13" s="1013">
        <f>industrie!D18</f>
        <v>57356.141888564576</v>
      </c>
      <c r="F13" s="1013">
        <f>industrie!E18</f>
        <v>1648.3280823605382</v>
      </c>
      <c r="G13" s="1013">
        <f>industrie!F18</f>
        <v>5296.5890224993891</v>
      </c>
      <c r="H13" s="1013">
        <f>industrie!G18</f>
        <v>0</v>
      </c>
      <c r="I13" s="1013">
        <f>industrie!H18</f>
        <v>0</v>
      </c>
      <c r="J13" s="1013">
        <f>industrie!I18</f>
        <v>0</v>
      </c>
      <c r="K13" s="1013">
        <f>industrie!J18</f>
        <v>47.6875641562062</v>
      </c>
      <c r="L13" s="1013">
        <f>industrie!K18</f>
        <v>0</v>
      </c>
      <c r="M13" s="1013">
        <f>industrie!L18</f>
        <v>0</v>
      </c>
      <c r="N13" s="1013">
        <f>industrie!M18</f>
        <v>0</v>
      </c>
      <c r="O13" s="1013">
        <f>industrie!N18</f>
        <v>4712.7870576193682</v>
      </c>
      <c r="P13" s="1013">
        <f>industrie!O18</f>
        <v>0</v>
      </c>
      <c r="Q13" s="1014">
        <f>industrie!P18</f>
        <v>0</v>
      </c>
      <c r="R13" s="700">
        <f>SUM(C13:Q13)</f>
        <v>87819.362940782317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88610.711698073559</v>
      </c>
      <c r="D16" s="732">
        <f t="shared" ref="D16:R16" ca="1" si="0">SUM(D9:D15)</f>
        <v>0</v>
      </c>
      <c r="E16" s="732">
        <f t="shared" ca="1" si="0"/>
        <v>166169.36590358434</v>
      </c>
      <c r="F16" s="732">
        <f t="shared" si="0"/>
        <v>10407.669625122311</v>
      </c>
      <c r="G16" s="732">
        <f t="shared" ca="1" si="0"/>
        <v>36223.408388797747</v>
      </c>
      <c r="H16" s="732">
        <f t="shared" si="0"/>
        <v>0</v>
      </c>
      <c r="I16" s="732">
        <f t="shared" si="0"/>
        <v>0</v>
      </c>
      <c r="J16" s="732">
        <f t="shared" si="0"/>
        <v>0</v>
      </c>
      <c r="K16" s="732">
        <f t="shared" si="0"/>
        <v>1824.8850353531134</v>
      </c>
      <c r="L16" s="732">
        <f t="shared" si="0"/>
        <v>0</v>
      </c>
      <c r="M16" s="732">
        <f t="shared" ca="1" si="0"/>
        <v>0</v>
      </c>
      <c r="N16" s="732">
        <f t="shared" si="0"/>
        <v>0</v>
      </c>
      <c r="O16" s="732">
        <f t="shared" ca="1" si="0"/>
        <v>36141.690781329416</v>
      </c>
      <c r="P16" s="732">
        <f t="shared" si="0"/>
        <v>569.0533333333334</v>
      </c>
      <c r="Q16" s="732">
        <f t="shared" si="0"/>
        <v>1525.3333333333333</v>
      </c>
      <c r="R16" s="732">
        <f t="shared" ca="1" si="0"/>
        <v>341472.11809892714</v>
      </c>
      <c r="S16" s="67"/>
    </row>
    <row r="17" spans="1:19" s="473" customFormat="1" ht="15.75">
      <c r="A17" s="811" t="s">
        <v>227</v>
      </c>
      <c r="B17" s="736"/>
      <c r="C17" s="1148"/>
      <c r="D17" s="1148"/>
      <c r="E17" s="1148"/>
      <c r="F17" s="1148"/>
      <c r="G17" s="1148"/>
      <c r="H17" s="1148"/>
      <c r="I17" s="1148"/>
      <c r="J17" s="1148"/>
      <c r="K17" s="1148"/>
      <c r="L17" s="1148"/>
      <c r="M17" s="1148"/>
      <c r="N17" s="1148"/>
      <c r="O17" s="1148"/>
      <c r="P17" s="1148"/>
      <c r="Q17" s="1148"/>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1845.1149511383785</v>
      </c>
      <c r="I19" s="1013">
        <f>transport!H54</f>
        <v>0</v>
      </c>
      <c r="J19" s="1013">
        <f>transport!I54</f>
        <v>0</v>
      </c>
      <c r="K19" s="1013">
        <f>transport!J54</f>
        <v>0</v>
      </c>
      <c r="L19" s="1013">
        <f>transport!K54</f>
        <v>0</v>
      </c>
      <c r="M19" s="1013">
        <f>transport!L54</f>
        <v>0</v>
      </c>
      <c r="N19" s="1013">
        <f>transport!M54</f>
        <v>104.79438382376978</v>
      </c>
      <c r="O19" s="1013">
        <f>transport!N54</f>
        <v>0</v>
      </c>
      <c r="P19" s="1013">
        <f>transport!O54</f>
        <v>0</v>
      </c>
      <c r="Q19" s="1014">
        <f>transport!P54</f>
        <v>0</v>
      </c>
      <c r="R19" s="700">
        <f>SUM(C19:Q19)</f>
        <v>1949.9093349621483</v>
      </c>
      <c r="S19" s="67"/>
    </row>
    <row r="20" spans="1:19" s="473" customFormat="1">
      <c r="A20" s="809" t="s">
        <v>307</v>
      </c>
      <c r="B20" s="814"/>
      <c r="C20" s="1013">
        <f>transport!B14</f>
        <v>84.644438587522444</v>
      </c>
      <c r="D20" s="1013">
        <f>transport!C14</f>
        <v>0</v>
      </c>
      <c r="E20" s="1013">
        <f>transport!D14</f>
        <v>284.90486218514957</v>
      </c>
      <c r="F20" s="1013">
        <f>transport!E14</f>
        <v>429.53960337252198</v>
      </c>
      <c r="G20" s="1013">
        <f>transport!F14</f>
        <v>0</v>
      </c>
      <c r="H20" s="1013">
        <f>transport!G14</f>
        <v>169361.61765706472</v>
      </c>
      <c r="I20" s="1013">
        <f>transport!H14</f>
        <v>32894.369823008776</v>
      </c>
      <c r="J20" s="1013">
        <f>transport!I14</f>
        <v>0</v>
      </c>
      <c r="K20" s="1013">
        <f>transport!J14</f>
        <v>0</v>
      </c>
      <c r="L20" s="1013">
        <f>transport!K14</f>
        <v>0</v>
      </c>
      <c r="M20" s="1013">
        <f>transport!L14</f>
        <v>0</v>
      </c>
      <c r="N20" s="1013">
        <f>transport!M14</f>
        <v>10865.457544677634</v>
      </c>
      <c r="O20" s="1013">
        <f>transport!N14</f>
        <v>0</v>
      </c>
      <c r="P20" s="1013">
        <f>transport!O14</f>
        <v>0</v>
      </c>
      <c r="Q20" s="1014">
        <f>transport!P14</f>
        <v>0</v>
      </c>
      <c r="R20" s="700">
        <f>SUM(C20:Q20)</f>
        <v>213920.53392889633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84.644438587522444</v>
      </c>
      <c r="D22" s="812">
        <f t="shared" ref="D22:R22" si="1">SUM(D18:D21)</f>
        <v>0</v>
      </c>
      <c r="E22" s="812">
        <f t="shared" si="1"/>
        <v>284.90486218514957</v>
      </c>
      <c r="F22" s="812">
        <f t="shared" si="1"/>
        <v>429.53960337252198</v>
      </c>
      <c r="G22" s="812">
        <f t="shared" si="1"/>
        <v>0</v>
      </c>
      <c r="H22" s="812">
        <f t="shared" si="1"/>
        <v>171206.73260820311</v>
      </c>
      <c r="I22" s="812">
        <f t="shared" si="1"/>
        <v>32894.369823008776</v>
      </c>
      <c r="J22" s="812">
        <f t="shared" si="1"/>
        <v>0</v>
      </c>
      <c r="K22" s="812">
        <f t="shared" si="1"/>
        <v>0</v>
      </c>
      <c r="L22" s="812">
        <f t="shared" si="1"/>
        <v>0</v>
      </c>
      <c r="M22" s="812">
        <f t="shared" si="1"/>
        <v>0</v>
      </c>
      <c r="N22" s="812">
        <f t="shared" si="1"/>
        <v>10970.251928501404</v>
      </c>
      <c r="O22" s="812">
        <f t="shared" si="1"/>
        <v>0</v>
      </c>
      <c r="P22" s="812">
        <f t="shared" si="1"/>
        <v>0</v>
      </c>
      <c r="Q22" s="812">
        <f t="shared" si="1"/>
        <v>0</v>
      </c>
      <c r="R22" s="812">
        <f t="shared" si="1"/>
        <v>215870.44326385847</v>
      </c>
      <c r="S22" s="67"/>
    </row>
    <row r="23" spans="1:19" s="473" customFormat="1" ht="15.75">
      <c r="A23" s="811" t="s">
        <v>237</v>
      </c>
      <c r="B23" s="736"/>
      <c r="C23" s="1148"/>
      <c r="D23" s="1148"/>
      <c r="E23" s="1148"/>
      <c r="F23" s="1148"/>
      <c r="G23" s="1148"/>
      <c r="H23" s="1148"/>
      <c r="I23" s="1148"/>
      <c r="J23" s="1148"/>
      <c r="K23" s="1148"/>
      <c r="L23" s="1148"/>
      <c r="M23" s="1148"/>
      <c r="N23" s="1148"/>
      <c r="O23" s="1148"/>
      <c r="P23" s="1148"/>
      <c r="Q23" s="1148"/>
      <c r="R23" s="702"/>
      <c r="S23" s="67"/>
    </row>
    <row r="24" spans="1:19" s="473" customFormat="1">
      <c r="A24" s="809" t="s">
        <v>633</v>
      </c>
      <c r="B24" s="814"/>
      <c r="C24" s="1013">
        <f>+landbouw!B8</f>
        <v>4368.6981817599235</v>
      </c>
      <c r="D24" s="1013">
        <f>+landbouw!C8</f>
        <v>27006.428571428572</v>
      </c>
      <c r="E24" s="1013">
        <f>+landbouw!D8</f>
        <v>8205.3694286624668</v>
      </c>
      <c r="F24" s="1013">
        <f>+landbouw!E8</f>
        <v>128.40938310630315</v>
      </c>
      <c r="G24" s="1013">
        <f>+landbouw!F8</f>
        <v>18199.76055315297</v>
      </c>
      <c r="H24" s="1013">
        <f>+landbouw!G8</f>
        <v>0</v>
      </c>
      <c r="I24" s="1013">
        <f>+landbouw!H8</f>
        <v>0</v>
      </c>
      <c r="J24" s="1013">
        <f>+landbouw!I8</f>
        <v>0</v>
      </c>
      <c r="K24" s="1013">
        <f>+landbouw!J8</f>
        <v>632.93054766962564</v>
      </c>
      <c r="L24" s="1013">
        <f>+landbouw!K8</f>
        <v>0</v>
      </c>
      <c r="M24" s="1013">
        <f>+landbouw!L8</f>
        <v>0</v>
      </c>
      <c r="N24" s="1013">
        <f>+landbouw!M8</f>
        <v>0</v>
      </c>
      <c r="O24" s="1013">
        <f>+landbouw!N8</f>
        <v>0</v>
      </c>
      <c r="P24" s="1013">
        <f>+landbouw!O8</f>
        <v>0</v>
      </c>
      <c r="Q24" s="1014">
        <f>+landbouw!P8</f>
        <v>0</v>
      </c>
      <c r="R24" s="700">
        <f>SUM(C24:Q24)</f>
        <v>58541.596665779856</v>
      </c>
      <c r="S24" s="67"/>
    </row>
    <row r="25" spans="1:19" s="473" customFormat="1" ht="15" thickBot="1">
      <c r="A25" s="831" t="s">
        <v>836</v>
      </c>
      <c r="B25" s="1016"/>
      <c r="C25" s="1017">
        <f>IF(Onbekend_ele_kWh="---",0,Onbekend_ele_kWh)/1000+IF(REST_rest_ele_kWh="---",0,REST_rest_ele_kWh)/1000</f>
        <v>1172.7037521859099</v>
      </c>
      <c r="D25" s="1017"/>
      <c r="E25" s="1017">
        <f>IF(onbekend_gas_kWh="---",0,onbekend_gas_kWh)/1000+IF(REST_rest_gas_kWh="---",0,REST_rest_gas_kWh)/1000</f>
        <v>2520.6490902999699</v>
      </c>
      <c r="F25" s="1017"/>
      <c r="G25" s="1017"/>
      <c r="H25" s="1017"/>
      <c r="I25" s="1017"/>
      <c r="J25" s="1017"/>
      <c r="K25" s="1017"/>
      <c r="L25" s="1017"/>
      <c r="M25" s="1017"/>
      <c r="N25" s="1017"/>
      <c r="O25" s="1017"/>
      <c r="P25" s="1017"/>
      <c r="Q25" s="1018"/>
      <c r="R25" s="700">
        <f>SUM(C25:Q25)</f>
        <v>3693.3528424858796</v>
      </c>
      <c r="S25" s="67"/>
    </row>
    <row r="26" spans="1:19" s="473" customFormat="1" ht="15.75" thickBot="1">
      <c r="A26" s="705" t="s">
        <v>837</v>
      </c>
      <c r="B26" s="817"/>
      <c r="C26" s="812">
        <f>SUM(C24:C25)</f>
        <v>5541.4019339458337</v>
      </c>
      <c r="D26" s="812">
        <f t="shared" ref="D26:R26" si="2">SUM(D24:D25)</f>
        <v>27006.428571428572</v>
      </c>
      <c r="E26" s="812">
        <f t="shared" si="2"/>
        <v>10726.018518962437</v>
      </c>
      <c r="F26" s="812">
        <f t="shared" si="2"/>
        <v>128.40938310630315</v>
      </c>
      <c r="G26" s="812">
        <f t="shared" si="2"/>
        <v>18199.76055315297</v>
      </c>
      <c r="H26" s="812">
        <f t="shared" si="2"/>
        <v>0</v>
      </c>
      <c r="I26" s="812">
        <f t="shared" si="2"/>
        <v>0</v>
      </c>
      <c r="J26" s="812">
        <f t="shared" si="2"/>
        <v>0</v>
      </c>
      <c r="K26" s="812">
        <f t="shared" si="2"/>
        <v>632.93054766962564</v>
      </c>
      <c r="L26" s="812">
        <f t="shared" si="2"/>
        <v>0</v>
      </c>
      <c r="M26" s="812">
        <f t="shared" si="2"/>
        <v>0</v>
      </c>
      <c r="N26" s="812">
        <f t="shared" si="2"/>
        <v>0</v>
      </c>
      <c r="O26" s="812">
        <f t="shared" si="2"/>
        <v>0</v>
      </c>
      <c r="P26" s="812">
        <f t="shared" si="2"/>
        <v>0</v>
      </c>
      <c r="Q26" s="812">
        <f t="shared" si="2"/>
        <v>0</v>
      </c>
      <c r="R26" s="812">
        <f t="shared" si="2"/>
        <v>62234.949508265738</v>
      </c>
      <c r="S26" s="67"/>
    </row>
    <row r="27" spans="1:19" s="473" customFormat="1" ht="17.25" thickTop="1" thickBot="1">
      <c r="A27" s="706" t="s">
        <v>116</v>
      </c>
      <c r="B27" s="805"/>
      <c r="C27" s="707">
        <f ca="1">C22+C16+C26</f>
        <v>94236.758070606913</v>
      </c>
      <c r="D27" s="707">
        <f t="shared" ref="D27:R27" ca="1" si="3">D22+D16+D26</f>
        <v>27006.428571428572</v>
      </c>
      <c r="E27" s="707">
        <f t="shared" ca="1" si="3"/>
        <v>177180.28928473193</v>
      </c>
      <c r="F27" s="707">
        <f t="shared" si="3"/>
        <v>10965.618611601138</v>
      </c>
      <c r="G27" s="707">
        <f t="shared" ca="1" si="3"/>
        <v>54423.168941950717</v>
      </c>
      <c r="H27" s="707">
        <f t="shared" si="3"/>
        <v>171206.73260820311</v>
      </c>
      <c r="I27" s="707">
        <f t="shared" si="3"/>
        <v>32894.369823008776</v>
      </c>
      <c r="J27" s="707">
        <f t="shared" si="3"/>
        <v>0</v>
      </c>
      <c r="K27" s="707">
        <f t="shared" si="3"/>
        <v>2457.8155830227388</v>
      </c>
      <c r="L27" s="707">
        <f t="shared" si="3"/>
        <v>0</v>
      </c>
      <c r="M27" s="707">
        <f t="shared" ca="1" si="3"/>
        <v>0</v>
      </c>
      <c r="N27" s="707">
        <f t="shared" si="3"/>
        <v>10970.251928501404</v>
      </c>
      <c r="O27" s="707">
        <f t="shared" ca="1" si="3"/>
        <v>36141.690781329416</v>
      </c>
      <c r="P27" s="707">
        <f t="shared" si="3"/>
        <v>569.0533333333334</v>
      </c>
      <c r="Q27" s="707">
        <f t="shared" si="3"/>
        <v>1525.3333333333333</v>
      </c>
      <c r="R27" s="707">
        <f t="shared" ca="1" si="3"/>
        <v>619577.51087105135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9"/>
      <c r="B31" s="1149"/>
      <c r="C31" s="1149"/>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8"/>
      <c r="B33" s="1098"/>
      <c r="C33" s="1098"/>
      <c r="D33" s="1098"/>
      <c r="E33" s="1098"/>
      <c r="F33" s="1098"/>
      <c r="G33" s="1098"/>
      <c r="H33" s="1098"/>
      <c r="I33" s="1098"/>
      <c r="J33" s="1098"/>
      <c r="K33" s="1098"/>
      <c r="L33" s="1098"/>
      <c r="M33" s="1098"/>
      <c r="N33" s="1098"/>
      <c r="O33" s="1098"/>
      <c r="P33" s="1098"/>
      <c r="Q33" s="1098"/>
      <c r="R33" s="1098"/>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20"/>
      <c r="B35" s="819"/>
      <c r="C35" s="1122" t="s">
        <v>347</v>
      </c>
      <c r="D35" s="1123"/>
      <c r="E35" s="1123"/>
      <c r="F35" s="1123"/>
      <c r="G35" s="1123"/>
      <c r="H35" s="1123"/>
      <c r="I35" s="1123"/>
      <c r="J35" s="1123"/>
      <c r="K35" s="1123"/>
      <c r="L35" s="1123"/>
      <c r="M35" s="1123"/>
      <c r="N35" s="1123"/>
      <c r="O35" s="1123"/>
      <c r="P35" s="1123"/>
      <c r="Q35" s="1123"/>
      <c r="R35" s="1124"/>
    </row>
    <row r="36" spans="1:18" ht="16.5" thickTop="1">
      <c r="A36" s="1121"/>
      <c r="B36" s="820"/>
      <c r="C36" s="1125" t="s">
        <v>21</v>
      </c>
      <c r="D36" s="1090" t="s">
        <v>232</v>
      </c>
      <c r="E36" s="1127" t="s">
        <v>197</v>
      </c>
      <c r="F36" s="1128"/>
      <c r="G36" s="1128"/>
      <c r="H36" s="1128"/>
      <c r="I36" s="1128"/>
      <c r="J36" s="1128"/>
      <c r="K36" s="1128"/>
      <c r="L36" s="1129"/>
      <c r="M36" s="1127" t="s">
        <v>198</v>
      </c>
      <c r="N36" s="1128"/>
      <c r="O36" s="1128"/>
      <c r="P36" s="1128"/>
      <c r="Q36" s="1128"/>
      <c r="R36" s="1099" t="s">
        <v>116</v>
      </c>
    </row>
    <row r="37" spans="1:18" ht="45.75" thickBot="1">
      <c r="A37" s="1121"/>
      <c r="B37" s="820"/>
      <c r="C37" s="1126"/>
      <c r="D37" s="1093"/>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1"/>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6341.3661831492545</v>
      </c>
      <c r="D40" s="1013">
        <f ca="1">tertiair!C20</f>
        <v>0</v>
      </c>
      <c r="E40" s="1013">
        <f ca="1">tertiair!D20</f>
        <v>5960.5493603820187</v>
      </c>
      <c r="F40" s="1013">
        <f>tertiair!E20</f>
        <v>90.12174644889825</v>
      </c>
      <c r="G40" s="1013">
        <f ca="1">tertiair!F20</f>
        <v>1189.0731382707306</v>
      </c>
      <c r="H40" s="1013">
        <f>tertiair!G20</f>
        <v>0</v>
      </c>
      <c r="I40" s="1013">
        <f>tertiair!H20</f>
        <v>0</v>
      </c>
      <c r="J40" s="1013">
        <f>tertiair!I20</f>
        <v>0</v>
      </c>
      <c r="K40" s="1013">
        <f>tertiair!J20</f>
        <v>2.7255179601920886E-2</v>
      </c>
      <c r="L40" s="1013">
        <f>tertiair!K20</f>
        <v>0</v>
      </c>
      <c r="M40" s="1013">
        <f ca="1">tertiair!L20</f>
        <v>0</v>
      </c>
      <c r="N40" s="1013">
        <f>tertiair!M20</f>
        <v>0</v>
      </c>
      <c r="O40" s="1013">
        <f ca="1">tertiair!N20</f>
        <v>0</v>
      </c>
      <c r="P40" s="1013">
        <f>tertiair!O20</f>
        <v>0</v>
      </c>
      <c r="Q40" s="774">
        <f>tertiair!P20</f>
        <v>0</v>
      </c>
      <c r="R40" s="850">
        <f t="shared" ca="1" si="4"/>
        <v>13581.137683430505</v>
      </c>
    </row>
    <row r="41" spans="1:18">
      <c r="A41" s="822" t="s">
        <v>225</v>
      </c>
      <c r="B41" s="829"/>
      <c r="C41" s="1013">
        <f ca="1">huishoudens!B12</f>
        <v>10142.936158460334</v>
      </c>
      <c r="D41" s="1013">
        <f ca="1">huishoudens!C12</f>
        <v>0</v>
      </c>
      <c r="E41" s="1013">
        <f>huishoudens!D12</f>
        <v>16019.721890651979</v>
      </c>
      <c r="F41" s="1013">
        <f>huishoudens!E12</f>
        <v>1898.2487837580243</v>
      </c>
      <c r="G41" s="1013">
        <f>huishoudens!F12</f>
        <v>7068.3876325309302</v>
      </c>
      <c r="H41" s="1013">
        <f>huishoudens!G12</f>
        <v>0</v>
      </c>
      <c r="I41" s="1013">
        <f>huishoudens!H12</f>
        <v>0</v>
      </c>
      <c r="J41" s="1013">
        <f>huishoudens!I12</f>
        <v>0</v>
      </c>
      <c r="K41" s="1013">
        <f>huishoudens!J12</f>
        <v>629.10064962410308</v>
      </c>
      <c r="L41" s="1013">
        <f>huishoudens!K12</f>
        <v>0</v>
      </c>
      <c r="M41" s="1013">
        <f>huishoudens!L12</f>
        <v>0</v>
      </c>
      <c r="N41" s="1013">
        <f>huishoudens!M12</f>
        <v>0</v>
      </c>
      <c r="O41" s="1013">
        <f>huishoudens!N12</f>
        <v>0</v>
      </c>
      <c r="P41" s="1013">
        <f>huishoudens!O12</f>
        <v>0</v>
      </c>
      <c r="Q41" s="774">
        <f>huishoudens!P12</f>
        <v>0</v>
      </c>
      <c r="R41" s="850">
        <f t="shared" ca="1" si="4"/>
        <v>35758.395115025371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4426.5851225199794</v>
      </c>
      <c r="D43" s="1013">
        <f ca="1">industrie!C22</f>
        <v>0</v>
      </c>
      <c r="E43" s="1013">
        <f>industrie!D22</f>
        <v>11585.940661490045</v>
      </c>
      <c r="F43" s="1013">
        <f>industrie!E22</f>
        <v>374.17047469584219</v>
      </c>
      <c r="G43" s="1013">
        <f>industrie!F22</f>
        <v>1414.1892690073369</v>
      </c>
      <c r="H43" s="1013">
        <f>industrie!G22</f>
        <v>0</v>
      </c>
      <c r="I43" s="1013">
        <f>industrie!H22</f>
        <v>0</v>
      </c>
      <c r="J43" s="1013">
        <f>industrie!I22</f>
        <v>0</v>
      </c>
      <c r="K43" s="1013">
        <f>industrie!J22</f>
        <v>16.881397711296994</v>
      </c>
      <c r="L43" s="1013">
        <f>industrie!K22</f>
        <v>0</v>
      </c>
      <c r="M43" s="1013">
        <f>industrie!L22</f>
        <v>0</v>
      </c>
      <c r="N43" s="1013">
        <f>industrie!M22</f>
        <v>0</v>
      </c>
      <c r="O43" s="1013">
        <f>industrie!N22</f>
        <v>0</v>
      </c>
      <c r="P43" s="1013">
        <f>industrie!O22</f>
        <v>0</v>
      </c>
      <c r="Q43" s="774">
        <f>industrie!P22</f>
        <v>0</v>
      </c>
      <c r="R43" s="849">
        <f t="shared" ca="1" si="4"/>
        <v>17817.766925424501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20910.88746412957</v>
      </c>
      <c r="D46" s="732">
        <f t="shared" ref="D46:Q46" ca="1" si="5">SUM(D39:D45)</f>
        <v>0</v>
      </c>
      <c r="E46" s="732">
        <f t="shared" ca="1" si="5"/>
        <v>33566.211912524042</v>
      </c>
      <c r="F46" s="732">
        <f t="shared" si="5"/>
        <v>2362.5410049027646</v>
      </c>
      <c r="G46" s="732">
        <f t="shared" ca="1" si="5"/>
        <v>9671.6500398089975</v>
      </c>
      <c r="H46" s="732">
        <f t="shared" si="5"/>
        <v>0</v>
      </c>
      <c r="I46" s="732">
        <f t="shared" si="5"/>
        <v>0</v>
      </c>
      <c r="J46" s="732">
        <f t="shared" si="5"/>
        <v>0</v>
      </c>
      <c r="K46" s="732">
        <f t="shared" si="5"/>
        <v>646.00930251500199</v>
      </c>
      <c r="L46" s="732">
        <f t="shared" si="5"/>
        <v>0</v>
      </c>
      <c r="M46" s="732">
        <f t="shared" ca="1" si="5"/>
        <v>0</v>
      </c>
      <c r="N46" s="732">
        <f t="shared" si="5"/>
        <v>0</v>
      </c>
      <c r="O46" s="732">
        <f t="shared" ca="1" si="5"/>
        <v>0</v>
      </c>
      <c r="P46" s="732">
        <f t="shared" si="5"/>
        <v>0</v>
      </c>
      <c r="Q46" s="732">
        <f t="shared" si="5"/>
        <v>0</v>
      </c>
      <c r="R46" s="732">
        <f ca="1">SUM(R39:R45)</f>
        <v>67157.29972388038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492.64569195394711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492.64569195394711</v>
      </c>
    </row>
    <row r="50" spans="1:18">
      <c r="A50" s="825" t="s">
        <v>307</v>
      </c>
      <c r="B50" s="835"/>
      <c r="C50" s="703">
        <f ca="1">transport!B18</f>
        <v>19.974902535475163</v>
      </c>
      <c r="D50" s="703">
        <f>transport!C18</f>
        <v>0</v>
      </c>
      <c r="E50" s="703">
        <f>transport!D18</f>
        <v>57.550782161400214</v>
      </c>
      <c r="F50" s="703">
        <f>transport!E18</f>
        <v>97.505489965562489</v>
      </c>
      <c r="G50" s="703">
        <f>transport!F18</f>
        <v>0</v>
      </c>
      <c r="H50" s="703">
        <f>transport!G18</f>
        <v>45219.551914436284</v>
      </c>
      <c r="I50" s="703">
        <f>transport!H18</f>
        <v>8190.6980859291853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53585.281175027907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19.974902535475163</v>
      </c>
      <c r="D52" s="732">
        <f t="shared" ref="D52:Q52" ca="1" si="6">SUM(D48:D51)</f>
        <v>0</v>
      </c>
      <c r="E52" s="732">
        <f t="shared" si="6"/>
        <v>57.550782161400214</v>
      </c>
      <c r="F52" s="732">
        <f t="shared" si="6"/>
        <v>97.505489965562489</v>
      </c>
      <c r="G52" s="732">
        <f t="shared" si="6"/>
        <v>0</v>
      </c>
      <c r="H52" s="732">
        <f t="shared" si="6"/>
        <v>45712.197606390233</v>
      </c>
      <c r="I52" s="732">
        <f t="shared" si="6"/>
        <v>8190.6980859291853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54077.926866981856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1030.9516117509672</v>
      </c>
      <c r="D54" s="703">
        <f ca="1">+landbouw!C12</f>
        <v>6417.9983193277312</v>
      </c>
      <c r="E54" s="703">
        <f>+landbouw!D12</f>
        <v>1657.4846245898184</v>
      </c>
      <c r="F54" s="703">
        <f>+landbouw!E12</f>
        <v>29.148929965130815</v>
      </c>
      <c r="G54" s="703">
        <f>+landbouw!F12</f>
        <v>4859.3360676918428</v>
      </c>
      <c r="H54" s="703">
        <f>+landbouw!G12</f>
        <v>0</v>
      </c>
      <c r="I54" s="703">
        <f>+landbouw!H12</f>
        <v>0</v>
      </c>
      <c r="J54" s="703">
        <f>+landbouw!I12</f>
        <v>0</v>
      </c>
      <c r="K54" s="703">
        <f>+landbouw!J12</f>
        <v>224.05741387504747</v>
      </c>
      <c r="L54" s="703">
        <f>+landbouw!K12</f>
        <v>0</v>
      </c>
      <c r="M54" s="703">
        <f>+landbouw!L12</f>
        <v>0</v>
      </c>
      <c r="N54" s="703">
        <f>+landbouw!M12</f>
        <v>0</v>
      </c>
      <c r="O54" s="703">
        <f>+landbouw!N12</f>
        <v>0</v>
      </c>
      <c r="P54" s="703">
        <f>+landbouw!O12</f>
        <v>0</v>
      </c>
      <c r="Q54" s="704">
        <f>+landbouw!P12</f>
        <v>0</v>
      </c>
      <c r="R54" s="731">
        <f ca="1">SUM(C54:Q54)</f>
        <v>14218.976967200537</v>
      </c>
    </row>
    <row r="55" spans="1:18" ht="15" thickBot="1">
      <c r="A55" s="825" t="s">
        <v>836</v>
      </c>
      <c r="B55" s="835"/>
      <c r="C55" s="703">
        <f ca="1">C25*'EF ele_warmte'!B12</f>
        <v>276.74166836936911</v>
      </c>
      <c r="D55" s="703"/>
      <c r="E55" s="703">
        <f>E25*EF_CO2_aardgas</f>
        <v>509.17111624059396</v>
      </c>
      <c r="F55" s="703"/>
      <c r="G55" s="703"/>
      <c r="H55" s="703"/>
      <c r="I55" s="703"/>
      <c r="J55" s="703"/>
      <c r="K55" s="703"/>
      <c r="L55" s="703"/>
      <c r="M55" s="703"/>
      <c r="N55" s="703"/>
      <c r="O55" s="703"/>
      <c r="P55" s="703"/>
      <c r="Q55" s="704"/>
      <c r="R55" s="731">
        <f ca="1">SUM(C55:Q55)</f>
        <v>785.91278460996307</v>
      </c>
    </row>
    <row r="56" spans="1:18" ht="15.75" thickBot="1">
      <c r="A56" s="823" t="s">
        <v>837</v>
      </c>
      <c r="B56" s="836"/>
      <c r="C56" s="732">
        <f ca="1">SUM(C54:C55)</f>
        <v>1307.6932801203363</v>
      </c>
      <c r="D56" s="732">
        <f t="shared" ref="D56:Q56" ca="1" si="7">SUM(D54:D55)</f>
        <v>6417.9983193277312</v>
      </c>
      <c r="E56" s="732">
        <f t="shared" si="7"/>
        <v>2166.6557408304125</v>
      </c>
      <c r="F56" s="732">
        <f t="shared" si="7"/>
        <v>29.148929965130815</v>
      </c>
      <c r="G56" s="732">
        <f t="shared" si="7"/>
        <v>4859.3360676918428</v>
      </c>
      <c r="H56" s="732">
        <f t="shared" si="7"/>
        <v>0</v>
      </c>
      <c r="I56" s="732">
        <f t="shared" si="7"/>
        <v>0</v>
      </c>
      <c r="J56" s="732">
        <f t="shared" si="7"/>
        <v>0</v>
      </c>
      <c r="K56" s="732">
        <f t="shared" si="7"/>
        <v>224.05741387504747</v>
      </c>
      <c r="L56" s="732">
        <f t="shared" si="7"/>
        <v>0</v>
      </c>
      <c r="M56" s="732">
        <f t="shared" si="7"/>
        <v>0</v>
      </c>
      <c r="N56" s="732">
        <f t="shared" si="7"/>
        <v>0</v>
      </c>
      <c r="O56" s="732">
        <f t="shared" si="7"/>
        <v>0</v>
      </c>
      <c r="P56" s="732">
        <f t="shared" si="7"/>
        <v>0</v>
      </c>
      <c r="Q56" s="733">
        <f t="shared" si="7"/>
        <v>0</v>
      </c>
      <c r="R56" s="734">
        <f ca="1">SUM(R54:R55)</f>
        <v>15004.8897518105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150"/>
      <c r="D58" s="1151"/>
      <c r="E58" s="1151"/>
      <c r="F58" s="1151"/>
      <c r="G58" s="1151"/>
      <c r="H58" s="1151"/>
      <c r="I58" s="1151"/>
      <c r="J58" s="1151"/>
      <c r="K58" s="1151"/>
      <c r="L58" s="1151"/>
      <c r="M58" s="1151"/>
      <c r="N58" s="1151"/>
      <c r="O58" s="1151"/>
      <c r="P58" s="1151"/>
      <c r="Q58" s="1151"/>
      <c r="R58" s="738"/>
    </row>
    <row r="59" spans="1:18" ht="15">
      <c r="A59" s="827" t="s">
        <v>239</v>
      </c>
      <c r="B59" s="814"/>
      <c r="C59" s="1152"/>
      <c r="D59" s="1153"/>
      <c r="E59" s="1153"/>
      <c r="F59" s="1153"/>
      <c r="G59" s="1153"/>
      <c r="H59" s="1153"/>
      <c r="I59" s="1153"/>
      <c r="J59" s="1153"/>
      <c r="K59" s="1153"/>
      <c r="L59" s="1153"/>
      <c r="M59" s="1153"/>
      <c r="N59" s="1153"/>
      <c r="O59" s="1153"/>
      <c r="P59" s="1153"/>
      <c r="Q59" s="1153"/>
      <c r="R59" s="739"/>
    </row>
    <row r="60" spans="1:18" ht="15" thickBot="1">
      <c r="A60" s="838" t="s">
        <v>240</v>
      </c>
      <c r="B60" s="839"/>
      <c r="C60" s="1152"/>
      <c r="D60" s="1153"/>
      <c r="E60" s="1153"/>
      <c r="F60" s="1153"/>
      <c r="G60" s="1153"/>
      <c r="H60" s="1153"/>
      <c r="I60" s="1153"/>
      <c r="J60" s="1153"/>
      <c r="K60" s="1153"/>
      <c r="L60" s="1153"/>
      <c r="M60" s="1153"/>
      <c r="N60" s="1153"/>
      <c r="O60" s="1153"/>
      <c r="P60" s="1153"/>
      <c r="Q60" s="1153"/>
      <c r="R60" s="731"/>
    </row>
    <row r="61" spans="1:18" ht="16.5" thickBot="1">
      <c r="A61" s="841" t="s">
        <v>116</v>
      </c>
      <c r="B61" s="842"/>
      <c r="C61" s="740">
        <f ca="1">C46+C52+C56</f>
        <v>22238.555646785382</v>
      </c>
      <c r="D61" s="740">
        <f t="shared" ref="D61:Q61" ca="1" si="8">D46+D52+D56</f>
        <v>6417.9983193277312</v>
      </c>
      <c r="E61" s="740">
        <f t="shared" ca="1" si="8"/>
        <v>35790.418435515858</v>
      </c>
      <c r="F61" s="740">
        <f t="shared" si="8"/>
        <v>2489.1954248334578</v>
      </c>
      <c r="G61" s="740">
        <f t="shared" ca="1" si="8"/>
        <v>14530.986107500841</v>
      </c>
      <c r="H61" s="740">
        <f t="shared" si="8"/>
        <v>45712.197606390233</v>
      </c>
      <c r="I61" s="740">
        <f t="shared" si="8"/>
        <v>8190.6980859291853</v>
      </c>
      <c r="J61" s="740">
        <f t="shared" si="8"/>
        <v>0</v>
      </c>
      <c r="K61" s="740">
        <f t="shared" si="8"/>
        <v>870.06671639004946</v>
      </c>
      <c r="L61" s="740">
        <f t="shared" si="8"/>
        <v>0</v>
      </c>
      <c r="M61" s="740">
        <f t="shared" ca="1" si="8"/>
        <v>0</v>
      </c>
      <c r="N61" s="740">
        <f t="shared" si="8"/>
        <v>0</v>
      </c>
      <c r="O61" s="740">
        <f t="shared" ca="1" si="8"/>
        <v>0</v>
      </c>
      <c r="P61" s="740">
        <f t="shared" si="8"/>
        <v>0</v>
      </c>
      <c r="Q61" s="740">
        <f t="shared" si="8"/>
        <v>0</v>
      </c>
      <c r="R61" s="740">
        <f ca="1">R46+R52+R56</f>
        <v>136240.11634267273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0.23598600060204894</v>
      </c>
      <c r="D63" s="781">
        <f t="shared" ca="1" si="9"/>
        <v>0.23764705882352941</v>
      </c>
      <c r="E63" s="1024">
        <f t="shared" ca="1" si="9"/>
        <v>0.20200000000000004</v>
      </c>
      <c r="F63" s="781">
        <f t="shared" si="9"/>
        <v>0.22699999999999995</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8"/>
      <c r="B67" s="1098"/>
      <c r="C67" s="1098"/>
      <c r="D67" s="1098"/>
      <c r="E67" s="1098"/>
      <c r="F67" s="1098"/>
      <c r="G67" s="1098"/>
      <c r="H67" s="1098"/>
      <c r="I67" s="1098"/>
      <c r="J67" s="1098"/>
      <c r="K67" s="1098"/>
      <c r="L67" s="1098"/>
      <c r="M67" s="1098"/>
      <c r="N67" s="1098"/>
      <c r="O67" s="1098"/>
      <c r="P67" s="1098"/>
      <c r="Q67" s="1098"/>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9" t="s">
        <v>241</v>
      </c>
      <c r="B69" s="1083" t="s">
        <v>351</v>
      </c>
      <c r="C69" s="1084"/>
      <c r="D69" s="1158" t="s">
        <v>352</v>
      </c>
      <c r="E69" s="1159"/>
      <c r="F69" s="1159"/>
      <c r="G69" s="1159"/>
      <c r="H69" s="1159"/>
      <c r="I69" s="1159"/>
      <c r="J69" s="1159"/>
      <c r="K69" s="1159"/>
      <c r="L69" s="1159"/>
      <c r="M69" s="1159"/>
      <c r="N69" s="1159"/>
      <c r="O69" s="1160"/>
      <c r="P69" s="1025" t="s">
        <v>642</v>
      </c>
      <c r="Q69" s="1161" t="s">
        <v>641</v>
      </c>
      <c r="R69" s="1162"/>
    </row>
    <row r="70" spans="1:18" ht="61.5" thickTop="1" thickBot="1">
      <c r="A70" s="1100"/>
      <c r="B70" s="1156"/>
      <c r="C70" s="1157"/>
      <c r="D70" s="1163" t="s">
        <v>197</v>
      </c>
      <c r="E70" s="1164"/>
      <c r="F70" s="1164"/>
      <c r="G70" s="1164"/>
      <c r="H70" s="1165"/>
      <c r="I70" s="1005" t="s">
        <v>246</v>
      </c>
      <c r="J70" s="1005" t="s">
        <v>234</v>
      </c>
      <c r="K70" s="1005" t="s">
        <v>209</v>
      </c>
      <c r="L70" s="1005" t="s">
        <v>210</v>
      </c>
      <c r="M70" s="749" t="s">
        <v>245</v>
      </c>
      <c r="N70" s="1005" t="s">
        <v>247</v>
      </c>
      <c r="O70" s="1000" t="s">
        <v>127</v>
      </c>
      <c r="P70" s="1026"/>
      <c r="Q70" s="856"/>
      <c r="R70" s="857"/>
    </row>
    <row r="71" spans="1:18" ht="95.25" customHeight="1" thickTop="1" thickBot="1">
      <c r="A71" s="1101"/>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3100.4066254583377</v>
      </c>
      <c r="C72" s="1154"/>
      <c r="D72" s="1154"/>
      <c r="E72" s="1155"/>
      <c r="F72" s="1155"/>
      <c r="G72" s="1108"/>
      <c r="H72" s="1111"/>
      <c r="I72" s="1114"/>
      <c r="J72" s="997"/>
      <c r="K72" s="1117"/>
      <c r="L72" s="1117"/>
      <c r="M72" s="1117"/>
      <c r="N72" s="1117"/>
      <c r="O72" s="1166"/>
      <c r="P72" s="851">
        <v>0</v>
      </c>
      <c r="Q72" s="1031"/>
      <c r="R72" s="851">
        <v>0</v>
      </c>
    </row>
    <row r="73" spans="1:18" ht="15">
      <c r="A73" s="751" t="s">
        <v>250</v>
      </c>
      <c r="B73" s="750">
        <f>'lokale energieproductie'!B5</f>
        <v>0</v>
      </c>
      <c r="C73" s="1115"/>
      <c r="D73" s="1115"/>
      <c r="E73" s="1118"/>
      <c r="F73" s="1118"/>
      <c r="G73" s="1109"/>
      <c r="H73" s="1112"/>
      <c r="I73" s="1115"/>
      <c r="J73" s="998"/>
      <c r="K73" s="1118"/>
      <c r="L73" s="1118"/>
      <c r="M73" s="1118"/>
      <c r="N73" s="1118"/>
      <c r="O73" s="1167"/>
      <c r="P73" s="852">
        <v>0</v>
      </c>
      <c r="Q73" s="858"/>
      <c r="R73" s="852">
        <v>0</v>
      </c>
    </row>
    <row r="74" spans="1:18" ht="15">
      <c r="A74" s="751" t="s">
        <v>251</v>
      </c>
      <c r="B74" s="750">
        <f>'lokale energieproductie'!B6</f>
        <v>10837.904281094437</v>
      </c>
      <c r="C74" s="1115"/>
      <c r="D74" s="1115"/>
      <c r="E74" s="1118"/>
      <c r="F74" s="1118"/>
      <c r="G74" s="1109"/>
      <c r="H74" s="1112"/>
      <c r="I74" s="1115"/>
      <c r="J74" s="998"/>
      <c r="K74" s="1118"/>
      <c r="L74" s="1118"/>
      <c r="M74" s="1118"/>
      <c r="N74" s="1118"/>
      <c r="O74" s="1167"/>
      <c r="P74" s="852">
        <v>0</v>
      </c>
      <c r="Q74" s="858"/>
      <c r="R74" s="852">
        <v>0</v>
      </c>
    </row>
    <row r="75" spans="1:18" ht="15.75" thickBot="1">
      <c r="A75" s="751" t="s">
        <v>839</v>
      </c>
      <c r="B75" s="750">
        <f>'lokale energieproductie'!B7</f>
        <v>0</v>
      </c>
      <c r="C75" s="1116"/>
      <c r="D75" s="1116"/>
      <c r="E75" s="1119"/>
      <c r="F75" s="1119"/>
      <c r="G75" s="1110"/>
      <c r="H75" s="1113"/>
      <c r="I75" s="1116"/>
      <c r="J75" s="1032"/>
      <c r="K75" s="1119"/>
      <c r="L75" s="1119"/>
      <c r="M75" s="1119"/>
      <c r="N75" s="1119"/>
      <c r="O75" s="1168"/>
      <c r="P75" s="852">
        <v>0</v>
      </c>
      <c r="Q75" s="1033"/>
      <c r="R75" s="852">
        <v>0</v>
      </c>
    </row>
    <row r="76" spans="1:18" ht="15">
      <c r="A76" s="752" t="s">
        <v>252</v>
      </c>
      <c r="B76" s="750">
        <f>'lokale energieproductie'!B8*IFERROR(SUM(I76:O76)/SUM(D76:O76),0)</f>
        <v>0</v>
      </c>
      <c r="C76" s="750">
        <f>'lokale energieproductie'!B8*IFERROR(SUM(D76:H76)/SUM(D76:O76),0)</f>
        <v>18904.5</v>
      </c>
      <c r="D76" s="1034">
        <f>'lokale energieproductie'!C8</f>
        <v>22240.588235294119</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4492.5988235294126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13938.310906552775</v>
      </c>
      <c r="C78" s="755">
        <f>SUM(C72:C77)</f>
        <v>18904.5</v>
      </c>
      <c r="D78" s="756">
        <f t="shared" ref="D78:H78" si="10">SUM(D76:D77)</f>
        <v>22240.588235294119</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4492.5988235294126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8"/>
      <c r="B82" s="1098"/>
      <c r="C82" s="1098"/>
      <c r="D82" s="1098"/>
      <c r="E82" s="1098"/>
      <c r="F82" s="1098"/>
      <c r="G82" s="1098"/>
      <c r="H82" s="1098"/>
      <c r="I82" s="1098"/>
      <c r="J82" s="1098"/>
      <c r="K82" s="1098"/>
      <c r="L82" s="1098"/>
      <c r="M82" s="1098"/>
      <c r="N82" s="1098"/>
      <c r="O82" s="1098"/>
      <c r="P82" s="1098"/>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9" t="s">
        <v>253</v>
      </c>
      <c r="B84" s="1083" t="s">
        <v>355</v>
      </c>
      <c r="C84" s="1102"/>
      <c r="D84" s="1105" t="s">
        <v>356</v>
      </c>
      <c r="E84" s="1106"/>
      <c r="F84" s="1106"/>
      <c r="G84" s="1106"/>
      <c r="H84" s="1106"/>
      <c r="I84" s="1106"/>
      <c r="J84" s="1106"/>
      <c r="K84" s="1106"/>
      <c r="L84" s="1106"/>
      <c r="M84" s="1106"/>
      <c r="N84" s="1106"/>
      <c r="O84" s="1107"/>
      <c r="P84" s="1025" t="s">
        <v>642</v>
      </c>
      <c r="Q84" s="1083" t="s">
        <v>641</v>
      </c>
      <c r="R84" s="1084"/>
    </row>
    <row r="85" spans="1:19" ht="16.5" customHeight="1" thickTop="1" thickBot="1">
      <c r="A85" s="1100"/>
      <c r="B85" s="1103"/>
      <c r="C85" s="1104"/>
      <c r="D85" s="1085" t="s">
        <v>197</v>
      </c>
      <c r="E85" s="1086"/>
      <c r="F85" s="1086"/>
      <c r="G85" s="1086"/>
      <c r="H85" s="1087"/>
      <c r="I85" s="1088" t="s">
        <v>246</v>
      </c>
      <c r="J85" s="1090" t="s">
        <v>234</v>
      </c>
      <c r="K85" s="1092" t="s">
        <v>209</v>
      </c>
      <c r="L85" s="1092" t="s">
        <v>210</v>
      </c>
      <c r="M85" s="1094" t="s">
        <v>245</v>
      </c>
      <c r="N85" s="1092" t="s">
        <v>257</v>
      </c>
      <c r="O85" s="1096" t="s">
        <v>127</v>
      </c>
      <c r="P85" s="1026"/>
      <c r="Q85" s="856"/>
      <c r="R85" s="857"/>
    </row>
    <row r="86" spans="1:19" ht="110.25" customHeight="1" thickTop="1" thickBot="1">
      <c r="A86" s="1101"/>
      <c r="B86" s="844" t="s">
        <v>640</v>
      </c>
      <c r="C86" s="844" t="s">
        <v>838</v>
      </c>
      <c r="D86" s="995" t="s">
        <v>199</v>
      </c>
      <c r="E86" s="996" t="s">
        <v>200</v>
      </c>
      <c r="F86" s="1004" t="s">
        <v>201</v>
      </c>
      <c r="G86" s="996" t="s">
        <v>203</v>
      </c>
      <c r="H86" s="764" t="s">
        <v>204</v>
      </c>
      <c r="I86" s="1089"/>
      <c r="J86" s="1091"/>
      <c r="K86" s="1093"/>
      <c r="L86" s="1093"/>
      <c r="M86" s="1095"/>
      <c r="N86" s="1093"/>
      <c r="O86" s="1097"/>
      <c r="P86" s="1030"/>
      <c r="Q86" s="995" t="s">
        <v>643</v>
      </c>
      <c r="R86" s="1001" t="s">
        <v>644</v>
      </c>
    </row>
    <row r="87" spans="1:19" ht="15.75" thickTop="1">
      <c r="A87" s="765" t="s">
        <v>252</v>
      </c>
      <c r="B87" s="766">
        <f>'lokale energieproductie'!B17*IFERROR(SUM(I87:O87)/SUM(D87:O87),0)</f>
        <v>0</v>
      </c>
      <c r="C87" s="766">
        <f>'lokale energieproductie'!B17*IFERROR(SUM(D87:H87)/SUM(D87:O87),0)</f>
        <v>27006.428571428572</v>
      </c>
      <c r="D87" s="777">
        <f>'lokale energieproductie'!C17</f>
        <v>31772.268907563026</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80"/>
      <c r="Q87" s="859">
        <f>D87*EF_CO2_aardgas+E87*EF_VLgas_CO2+'SEAP template'!F87*EF_stookolie_CO2+EF_bruinkool_CO2*'SEAP template'!G87+'SEAP template'!H87*EF_steenkool_CO2+'EF brandstof'!M4*'SEAP template'!M87+'SEAP template'!O87*EF_anderfossiel_CO2</f>
        <v>6417.9983193277312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1"/>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2"/>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27006.428571428572</v>
      </c>
      <c r="D90" s="755">
        <f t="shared" ref="D90:H90" si="12">SUM(D87:D89)</f>
        <v>31772.268907563026</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6417.9983193277312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3" t="s">
        <v>241</v>
      </c>
      <c r="B1" s="1252" t="s">
        <v>242</v>
      </c>
      <c r="C1" s="1288" t="s">
        <v>243</v>
      </c>
      <c r="D1" s="1289"/>
      <c r="E1" s="1289"/>
      <c r="F1" s="1289"/>
      <c r="G1" s="1289"/>
      <c r="H1" s="1289"/>
      <c r="I1" s="1289"/>
      <c r="J1" s="1289"/>
      <c r="K1" s="1289"/>
      <c r="L1" s="1289"/>
      <c r="M1" s="1289"/>
      <c r="N1" s="1290"/>
      <c r="O1" s="1249" t="s">
        <v>244</v>
      </c>
      <c r="P1" s="1252" t="s">
        <v>547</v>
      </c>
      <c r="Q1" s="1249"/>
      <c r="S1" s="1255"/>
      <c r="T1" s="1255"/>
      <c r="U1" s="1255"/>
    </row>
    <row r="2" spans="1:21" s="559" customFormat="1" ht="15.75" thickBot="1">
      <c r="A2" s="1244"/>
      <c r="B2" s="1244"/>
      <c r="C2" s="1284" t="s">
        <v>197</v>
      </c>
      <c r="D2" s="1285"/>
      <c r="E2" s="1285"/>
      <c r="F2" s="1285"/>
      <c r="G2" s="1286"/>
      <c r="H2" s="1287" t="s">
        <v>245</v>
      </c>
      <c r="I2" s="1265" t="s">
        <v>246</v>
      </c>
      <c r="J2" s="1265" t="s">
        <v>234</v>
      </c>
      <c r="K2" s="1265" t="s">
        <v>247</v>
      </c>
      <c r="L2" s="1265" t="s">
        <v>127</v>
      </c>
      <c r="M2" s="1265" t="s">
        <v>841</v>
      </c>
      <c r="N2" s="1261" t="s">
        <v>842</v>
      </c>
      <c r="O2" s="1250"/>
      <c r="P2" s="1253"/>
      <c r="Q2" s="1250"/>
      <c r="S2" s="1255"/>
      <c r="T2" s="1255"/>
      <c r="U2" s="1255"/>
    </row>
    <row r="3" spans="1:21" s="559" customFormat="1" ht="53.45" customHeight="1" thickBot="1">
      <c r="A3" s="1245"/>
      <c r="B3" s="1254"/>
      <c r="C3" s="560" t="s">
        <v>199</v>
      </c>
      <c r="D3" s="1006" t="s">
        <v>200</v>
      </c>
      <c r="E3" s="561" t="s">
        <v>201</v>
      </c>
      <c r="F3" s="562" t="s">
        <v>203</v>
      </c>
      <c r="G3" s="563" t="s">
        <v>204</v>
      </c>
      <c r="H3" s="1260"/>
      <c r="I3" s="1266"/>
      <c r="J3" s="1266"/>
      <c r="K3" s="1266"/>
      <c r="L3" s="1266"/>
      <c r="M3" s="1266"/>
      <c r="N3" s="1262"/>
      <c r="O3" s="1251"/>
      <c r="P3" s="1254"/>
      <c r="Q3" s="1251"/>
      <c r="S3" s="1255"/>
      <c r="T3" s="1255"/>
      <c r="U3" s="1255"/>
    </row>
    <row r="4" spans="1:21" s="559" customFormat="1" ht="15.75" thickTop="1">
      <c r="A4" s="564" t="s">
        <v>249</v>
      </c>
      <c r="B4" s="565">
        <f>IF(ISERROR(kWh_wind_land),0,kWh_wind_land)</f>
        <v>3100.4066254583377</v>
      </c>
      <c r="C4" s="1267"/>
      <c r="D4" s="1270"/>
      <c r="E4" s="1270"/>
      <c r="F4" s="1273"/>
      <c r="G4" s="1276"/>
      <c r="H4" s="1279"/>
      <c r="I4" s="1270"/>
      <c r="J4" s="1270"/>
      <c r="K4" s="1270"/>
      <c r="L4" s="1270"/>
      <c r="M4" s="1270"/>
      <c r="N4" s="1041"/>
      <c r="O4" s="566"/>
      <c r="P4" s="1282"/>
      <c r="Q4" s="1283"/>
      <c r="S4" s="1007"/>
      <c r="T4" s="1238"/>
      <c r="U4" s="1238"/>
    </row>
    <row r="5" spans="1:21" s="559" customFormat="1">
      <c r="A5" s="567" t="s">
        <v>250</v>
      </c>
      <c r="B5" s="565">
        <f>IF(ISERROR(kWh_waterkracht),0,kWh_waterkracht)</f>
        <v>0</v>
      </c>
      <c r="C5" s="1268"/>
      <c r="D5" s="1271"/>
      <c r="E5" s="1271"/>
      <c r="F5" s="1274"/>
      <c r="G5" s="1277"/>
      <c r="H5" s="1280"/>
      <c r="I5" s="1271"/>
      <c r="J5" s="1271"/>
      <c r="K5" s="1271"/>
      <c r="L5" s="1271"/>
      <c r="M5" s="1271"/>
      <c r="N5" s="1041"/>
      <c r="O5" s="568"/>
      <c r="P5" s="1263"/>
      <c r="Q5" s="1264"/>
      <c r="S5" s="1007"/>
      <c r="T5" s="1238"/>
      <c r="U5" s="1238"/>
    </row>
    <row r="6" spans="1:21" s="559" customFormat="1">
      <c r="A6" s="567" t="s">
        <v>251</v>
      </c>
      <c r="B6" s="565">
        <f>IF(ISERROR((kWh_PV_kleiner_dan_10kW+kWh_PV_groter_dan_10kW)),0,(kWh_PV_kleiner_dan_10kW+kWh_PV_groter_dan_10kW))</f>
        <v>10837.904281094437</v>
      </c>
      <c r="C6" s="1268"/>
      <c r="D6" s="1271"/>
      <c r="E6" s="1271"/>
      <c r="F6" s="1274"/>
      <c r="G6" s="1277"/>
      <c r="H6" s="1280"/>
      <c r="I6" s="1271"/>
      <c r="J6" s="1271"/>
      <c r="K6" s="1271"/>
      <c r="L6" s="1271"/>
      <c r="M6" s="1271"/>
      <c r="N6" s="1041"/>
      <c r="O6" s="568"/>
      <c r="P6" s="1263"/>
      <c r="Q6" s="1264"/>
      <c r="S6" s="1007"/>
      <c r="T6" s="1238"/>
      <c r="U6" s="1238"/>
    </row>
    <row r="7" spans="1:21" s="559" customFormat="1">
      <c r="A7" s="567" t="s">
        <v>839</v>
      </c>
      <c r="B7" s="565"/>
      <c r="C7" s="1269"/>
      <c r="D7" s="1272"/>
      <c r="E7" s="1272"/>
      <c r="F7" s="1275"/>
      <c r="G7" s="1278"/>
      <c r="H7" s="1281"/>
      <c r="I7" s="1272"/>
      <c r="J7" s="1272"/>
      <c r="K7" s="1272"/>
      <c r="L7" s="1272"/>
      <c r="M7" s="1272"/>
      <c r="N7" s="1042"/>
      <c r="O7" s="568"/>
      <c r="P7" s="1009"/>
      <c r="Q7" s="1010"/>
      <c r="S7" s="1007"/>
      <c r="T7" s="1007"/>
      <c r="U7" s="1007"/>
    </row>
    <row r="8" spans="1:21" s="559" customFormat="1">
      <c r="A8" s="569" t="s">
        <v>252</v>
      </c>
      <c r="B8" s="1043">
        <f>N58</f>
        <v>18904.5</v>
      </c>
      <c r="C8" s="570">
        <f>B101</f>
        <v>22240.588235294119</v>
      </c>
      <c r="D8" s="1044"/>
      <c r="E8" s="1044">
        <f>E101</f>
        <v>0</v>
      </c>
      <c r="F8" s="1045"/>
      <c r="G8" s="571"/>
      <c r="H8" s="1044">
        <f>I101</f>
        <v>0</v>
      </c>
      <c r="I8" s="1044">
        <f>G101+F101</f>
        <v>0</v>
      </c>
      <c r="J8" s="1044">
        <f>H101+D101+C101</f>
        <v>0</v>
      </c>
      <c r="K8" s="1044"/>
      <c r="L8" s="1044"/>
      <c r="M8" s="1044"/>
      <c r="N8" s="572"/>
      <c r="O8" s="573">
        <f>C8*$C$12+D8*$D$12+E8*$E$12+F8*$F$12+G8*$G$12+H8*$H$12+I8*$I$12+J8*$J$12</f>
        <v>4492.5988235294126</v>
      </c>
      <c r="P8" s="1263"/>
      <c r="Q8" s="1264"/>
      <c r="S8" s="1007"/>
      <c r="T8" s="1238"/>
      <c r="U8" s="1238"/>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91"/>
      <c r="Q9" s="1292"/>
      <c r="R9" s="580"/>
      <c r="S9" s="1007"/>
      <c r="T9" s="1238"/>
      <c r="U9" s="1238"/>
    </row>
    <row r="10" spans="1:21" s="559" customFormat="1" ht="16.5" thickTop="1" thickBot="1">
      <c r="A10" s="581" t="s">
        <v>116</v>
      </c>
      <c r="B10" s="582">
        <f>SUM(B4:B9)</f>
        <v>32842.810906552775</v>
      </c>
      <c r="C10" s="583">
        <f t="shared" ref="C10:L10" si="0">SUM(C8:C9)</f>
        <v>22240.588235294119</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4492.5988235294126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3" t="s">
        <v>253</v>
      </c>
      <c r="B14" s="1243" t="s">
        <v>254</v>
      </c>
      <c r="C14" s="1246" t="s">
        <v>255</v>
      </c>
      <c r="D14" s="1247"/>
      <c r="E14" s="1247"/>
      <c r="F14" s="1247"/>
      <c r="G14" s="1247"/>
      <c r="H14" s="1247"/>
      <c r="I14" s="1247"/>
      <c r="J14" s="1247"/>
      <c r="K14" s="1247"/>
      <c r="L14" s="1247"/>
      <c r="M14" s="1247"/>
      <c r="N14" s="1248"/>
      <c r="O14" s="1249" t="s">
        <v>244</v>
      </c>
      <c r="P14" s="1252" t="s">
        <v>256</v>
      </c>
      <c r="Q14" s="1249"/>
      <c r="R14" s="1255"/>
      <c r="S14" s="1255"/>
      <c r="T14" s="1255"/>
    </row>
    <row r="15" spans="1:21" s="559" customFormat="1" ht="15.75" customHeight="1" thickBot="1">
      <c r="A15" s="1244"/>
      <c r="B15" s="1244"/>
      <c r="C15" s="1256" t="s">
        <v>197</v>
      </c>
      <c r="D15" s="1257"/>
      <c r="E15" s="1257"/>
      <c r="F15" s="1257"/>
      <c r="G15" s="1258"/>
      <c r="H15" s="1259" t="s">
        <v>245</v>
      </c>
      <c r="I15" s="1259" t="s">
        <v>246</v>
      </c>
      <c r="J15" s="1259" t="s">
        <v>234</v>
      </c>
      <c r="K15" s="1259" t="s">
        <v>257</v>
      </c>
      <c r="L15" s="1259" t="s">
        <v>127</v>
      </c>
      <c r="M15" s="1259" t="s">
        <v>841</v>
      </c>
      <c r="N15" s="1261" t="s">
        <v>842</v>
      </c>
      <c r="O15" s="1250"/>
      <c r="P15" s="1253"/>
      <c r="Q15" s="1250"/>
      <c r="R15" s="1255"/>
      <c r="S15" s="1255"/>
      <c r="T15" s="1255"/>
    </row>
    <row r="16" spans="1:21" s="559" customFormat="1" ht="40.700000000000003" customHeight="1" thickBot="1">
      <c r="A16" s="1245"/>
      <c r="B16" s="1245"/>
      <c r="C16" s="591" t="s">
        <v>199</v>
      </c>
      <c r="D16" s="1006" t="s">
        <v>200</v>
      </c>
      <c r="E16" s="1008" t="s">
        <v>201</v>
      </c>
      <c r="F16" s="1006" t="s">
        <v>203</v>
      </c>
      <c r="G16" s="592" t="s">
        <v>204</v>
      </c>
      <c r="H16" s="1260"/>
      <c r="I16" s="1260"/>
      <c r="J16" s="1260"/>
      <c r="K16" s="1260"/>
      <c r="L16" s="1260"/>
      <c r="M16" s="1260"/>
      <c r="N16" s="1262"/>
      <c r="O16" s="1251"/>
      <c r="P16" s="1254"/>
      <c r="Q16" s="1251"/>
      <c r="R16" s="1255"/>
      <c r="S16" s="1255"/>
      <c r="T16" s="1255"/>
    </row>
    <row r="17" spans="1:26" s="559" customFormat="1" ht="15.75" thickTop="1">
      <c r="A17" s="593" t="s">
        <v>252</v>
      </c>
      <c r="B17" s="594">
        <f>O58</f>
        <v>27006.428571428572</v>
      </c>
      <c r="C17" s="595">
        <f>B102</f>
        <v>31772.268907563026</v>
      </c>
      <c r="D17" s="596"/>
      <c r="E17" s="596">
        <f>E102</f>
        <v>0</v>
      </c>
      <c r="F17" s="1050"/>
      <c r="G17" s="597"/>
      <c r="H17" s="595">
        <f>I102</f>
        <v>0</v>
      </c>
      <c r="I17" s="596">
        <f>G102+F102</f>
        <v>0</v>
      </c>
      <c r="J17" s="596">
        <f>H102+D102+C102</f>
        <v>0</v>
      </c>
      <c r="K17" s="596"/>
      <c r="L17" s="596"/>
      <c r="M17" s="596"/>
      <c r="N17" s="1051"/>
      <c r="O17" s="598">
        <f>C17*$C$22+E17*$E$22+H17*$H$22+I17*$I$22+J17*$J$22+D17*$D$22+F17*$F$22+G17*$G$22+K17*$K$22+L17*$L$22</f>
        <v>6417.9983193277312</v>
      </c>
      <c r="P17" s="1241"/>
      <c r="Q17" s="1242"/>
      <c r="R17" s="1012"/>
      <c r="S17" s="1235"/>
      <c r="T17" s="1235"/>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36"/>
      <c r="Q18" s="1237"/>
      <c r="R18" s="1007"/>
      <c r="S18" s="1238"/>
      <c r="T18" s="1238"/>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39"/>
      <c r="Q19" s="1240"/>
      <c r="R19" s="1007"/>
      <c r="S19" s="1238"/>
      <c r="T19" s="1238"/>
    </row>
    <row r="20" spans="1:26" s="559" customFormat="1" ht="16.5" thickTop="1" thickBot="1">
      <c r="A20" s="581" t="s">
        <v>116</v>
      </c>
      <c r="B20" s="582">
        <f>SUM(B17:B19)</f>
        <v>27006.428571428572</v>
      </c>
      <c r="C20" s="582">
        <f>SUM(C17:C19)</f>
        <v>31772.268907563026</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6417.9983193277312</v>
      </c>
      <c r="P20" s="1232"/>
      <c r="Q20" s="1233"/>
      <c r="R20" s="1007"/>
      <c r="S20" s="1234"/>
      <c r="T20" s="1234"/>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31040</v>
      </c>
      <c r="C28" s="796">
        <v>8210</v>
      </c>
      <c r="D28" s="653" t="s">
        <v>878</v>
      </c>
      <c r="E28" s="652" t="s">
        <v>879</v>
      </c>
      <c r="F28" s="652" t="s">
        <v>880</v>
      </c>
      <c r="G28" s="652" t="s">
        <v>881</v>
      </c>
      <c r="H28" s="652" t="s">
        <v>882</v>
      </c>
      <c r="I28" s="652" t="s">
        <v>879</v>
      </c>
      <c r="J28" s="795">
        <v>41039</v>
      </c>
      <c r="K28" s="795">
        <v>38899</v>
      </c>
      <c r="L28" s="652" t="s">
        <v>883</v>
      </c>
      <c r="M28" s="652">
        <v>1156</v>
      </c>
      <c r="N28" s="652">
        <v>5202</v>
      </c>
      <c r="O28" s="652">
        <v>7431.4285714285716</v>
      </c>
      <c r="P28" s="652">
        <v>14862.857142857143</v>
      </c>
      <c r="Q28" s="652">
        <v>0</v>
      </c>
      <c r="R28" s="652">
        <v>0</v>
      </c>
      <c r="S28" s="652">
        <v>0</v>
      </c>
      <c r="T28" s="652">
        <v>0</v>
      </c>
      <c r="U28" s="652">
        <v>0</v>
      </c>
      <c r="V28" s="652">
        <v>0</v>
      </c>
      <c r="W28" s="652">
        <v>0</v>
      </c>
      <c r="X28" s="652">
        <v>10</v>
      </c>
      <c r="Y28" s="652" t="s">
        <v>112</v>
      </c>
      <c r="Z28" s="654" t="s">
        <v>112</v>
      </c>
    </row>
    <row r="29" spans="1:26" s="606" customFormat="1" ht="25.5">
      <c r="A29" s="605"/>
      <c r="B29" s="796">
        <v>31040</v>
      </c>
      <c r="C29" s="796">
        <v>8210</v>
      </c>
      <c r="D29" s="653" t="s">
        <v>884</v>
      </c>
      <c r="E29" s="652" t="s">
        <v>885</v>
      </c>
      <c r="F29" s="652" t="s">
        <v>886</v>
      </c>
      <c r="G29" s="652" t="s">
        <v>881</v>
      </c>
      <c r="H29" s="652" t="s">
        <v>882</v>
      </c>
      <c r="I29" s="652" t="s">
        <v>885</v>
      </c>
      <c r="J29" s="795">
        <v>41627</v>
      </c>
      <c r="K29" s="795">
        <v>40641</v>
      </c>
      <c r="L29" s="652" t="s">
        <v>883</v>
      </c>
      <c r="M29" s="652">
        <v>3045</v>
      </c>
      <c r="N29" s="652">
        <v>13702.5</v>
      </c>
      <c r="O29" s="652">
        <v>19575</v>
      </c>
      <c r="P29" s="652">
        <v>39150</v>
      </c>
      <c r="Q29" s="652">
        <v>0</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4201</v>
      </c>
      <c r="N58" s="610">
        <f>SUM(N28:N57)</f>
        <v>18904.5</v>
      </c>
      <c r="O58" s="610">
        <f t="shared" ref="O58:W58" si="2">SUM(O28:O57)</f>
        <v>27006.428571428572</v>
      </c>
      <c r="P58" s="610">
        <f t="shared" si="2"/>
        <v>54012.857142857145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4201</v>
      </c>
      <c r="N61" s="615">
        <f t="shared" si="4"/>
        <v>18904.5</v>
      </c>
      <c r="O61" s="615">
        <f t="shared" si="4"/>
        <v>27006.428571428572</v>
      </c>
      <c r="P61" s="615">
        <f t="shared" si="4"/>
        <v>54012.857142857145</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22240.588235294119</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31772.268907563026</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D13" sqref="D13"/>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847</v>
      </c>
      <c r="D13" s="941" t="s">
        <v>848</v>
      </c>
    </row>
    <row r="14" spans="1:4" s="7" customFormat="1">
      <c r="A14" s="889"/>
      <c r="B14" s="917"/>
      <c r="C14" s="917"/>
      <c r="D14" s="938"/>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42981.092660512128</v>
      </c>
      <c r="C4" s="477">
        <f>huishoudens!C8</f>
        <v>0</v>
      </c>
      <c r="D4" s="477">
        <f>huishoudens!D8</f>
        <v>79305.553914118704</v>
      </c>
      <c r="E4" s="477">
        <f>huishoudens!E8</f>
        <v>8362.3294438679477</v>
      </c>
      <c r="F4" s="477">
        <f>huishoudens!F8</f>
        <v>26473.361919591498</v>
      </c>
      <c r="G4" s="477">
        <f>huishoudens!G8</f>
        <v>0</v>
      </c>
      <c r="H4" s="477">
        <f>huishoudens!H8</f>
        <v>0</v>
      </c>
      <c r="I4" s="477">
        <f>huishoudens!I8</f>
        <v>0</v>
      </c>
      <c r="J4" s="477">
        <f>huishoudens!J8</f>
        <v>1777.1204791641333</v>
      </c>
      <c r="K4" s="477">
        <f>huishoudens!K8</f>
        <v>0</v>
      </c>
      <c r="L4" s="477">
        <f>huishoudens!L8</f>
        <v>0</v>
      </c>
      <c r="M4" s="477">
        <f>huishoudens!M8</f>
        <v>0</v>
      </c>
      <c r="N4" s="477">
        <f>huishoudens!N8</f>
        <v>28372.821324928489</v>
      </c>
      <c r="O4" s="477">
        <f>huishoudens!O8</f>
        <v>565.92666666666673</v>
      </c>
      <c r="P4" s="478">
        <f>huishoudens!P8</f>
        <v>1372.8</v>
      </c>
      <c r="Q4" s="479">
        <f>SUM(B4:P4)</f>
        <v>189211.00640884956</v>
      </c>
    </row>
    <row r="5" spans="1:17">
      <c r="A5" s="476" t="s">
        <v>156</v>
      </c>
      <c r="B5" s="477">
        <f ca="1">tertiair!B16</f>
        <v>24853.2727119792</v>
      </c>
      <c r="C5" s="477">
        <f ca="1">tertiair!C16</f>
        <v>0</v>
      </c>
      <c r="D5" s="477">
        <f ca="1">tertiair!D16</f>
        <v>29507.670100901079</v>
      </c>
      <c r="E5" s="477">
        <f>tertiair!E16</f>
        <v>397.01209889382488</v>
      </c>
      <c r="F5" s="477">
        <f ca="1">tertiair!F16</f>
        <v>4453.457446706856</v>
      </c>
      <c r="G5" s="477">
        <f>tertiair!G16</f>
        <v>0</v>
      </c>
      <c r="H5" s="477">
        <f>tertiair!H16</f>
        <v>0</v>
      </c>
      <c r="I5" s="477">
        <f>tertiair!I16</f>
        <v>0</v>
      </c>
      <c r="J5" s="477">
        <f>tertiair!J16</f>
        <v>7.6992032773787814E-2</v>
      </c>
      <c r="K5" s="477">
        <f>tertiair!K16</f>
        <v>0</v>
      </c>
      <c r="L5" s="477">
        <f ca="1">tertiair!L16</f>
        <v>0</v>
      </c>
      <c r="M5" s="477">
        <f>tertiair!M16</f>
        <v>0</v>
      </c>
      <c r="N5" s="477">
        <f ca="1">tertiair!N16</f>
        <v>3056.0823987815561</v>
      </c>
      <c r="O5" s="477">
        <f>tertiair!O16</f>
        <v>3.1266666666666669</v>
      </c>
      <c r="P5" s="478">
        <f>tertiair!P16</f>
        <v>152.53333333333333</v>
      </c>
      <c r="Q5" s="476">
        <f t="shared" ref="Q5:Q14" ca="1" si="0">SUM(B5:P5)</f>
        <v>62423.231749295279</v>
      </c>
    </row>
    <row r="6" spans="1:17">
      <c r="A6" s="476" t="s">
        <v>194</v>
      </c>
      <c r="B6" s="477">
        <f>'openbare verlichting'!B8</f>
        <v>2018.5170000000001</v>
      </c>
      <c r="C6" s="477"/>
      <c r="D6" s="477"/>
      <c r="E6" s="477"/>
      <c r="F6" s="477"/>
      <c r="G6" s="477"/>
      <c r="H6" s="477"/>
      <c r="I6" s="477"/>
      <c r="J6" s="477"/>
      <c r="K6" s="477"/>
      <c r="L6" s="477"/>
      <c r="M6" s="477"/>
      <c r="N6" s="477"/>
      <c r="O6" s="477"/>
      <c r="P6" s="478"/>
      <c r="Q6" s="476">
        <f t="shared" si="0"/>
        <v>2018.5170000000001</v>
      </c>
    </row>
    <row r="7" spans="1:17">
      <c r="A7" s="476" t="s">
        <v>112</v>
      </c>
      <c r="B7" s="477">
        <f>landbouw!B8</f>
        <v>4368.6981817599235</v>
      </c>
      <c r="C7" s="477">
        <f>landbouw!C8</f>
        <v>27006.428571428572</v>
      </c>
      <c r="D7" s="477">
        <f>landbouw!D8</f>
        <v>8205.3694286624668</v>
      </c>
      <c r="E7" s="477">
        <f>landbouw!E8</f>
        <v>128.40938310630315</v>
      </c>
      <c r="F7" s="477">
        <f>landbouw!F8</f>
        <v>18199.76055315297</v>
      </c>
      <c r="G7" s="477">
        <f>landbouw!G8</f>
        <v>0</v>
      </c>
      <c r="H7" s="477">
        <f>landbouw!H8</f>
        <v>0</v>
      </c>
      <c r="I7" s="477">
        <f>landbouw!I8</f>
        <v>0</v>
      </c>
      <c r="J7" s="477">
        <f>landbouw!J8</f>
        <v>632.93054766962564</v>
      </c>
      <c r="K7" s="477">
        <f>landbouw!K8</f>
        <v>0</v>
      </c>
      <c r="L7" s="477">
        <f>landbouw!L8</f>
        <v>0</v>
      </c>
      <c r="M7" s="477">
        <f>landbouw!M8</f>
        <v>0</v>
      </c>
      <c r="N7" s="477">
        <f>landbouw!N8</f>
        <v>0</v>
      </c>
      <c r="O7" s="477">
        <f>landbouw!O8</f>
        <v>0</v>
      </c>
      <c r="P7" s="478">
        <f>landbouw!P8</f>
        <v>0</v>
      </c>
      <c r="Q7" s="476">
        <f t="shared" si="0"/>
        <v>58541.596665779856</v>
      </c>
    </row>
    <row r="8" spans="1:17">
      <c r="A8" s="476" t="s">
        <v>635</v>
      </c>
      <c r="B8" s="477">
        <f>industrie!B18</f>
        <v>18757.829325582235</v>
      </c>
      <c r="C8" s="477">
        <f>industrie!C18</f>
        <v>0</v>
      </c>
      <c r="D8" s="477">
        <f>industrie!D18</f>
        <v>57356.141888564576</v>
      </c>
      <c r="E8" s="477">
        <f>industrie!E18</f>
        <v>1648.3280823605382</v>
      </c>
      <c r="F8" s="477">
        <f>industrie!F18</f>
        <v>5296.5890224993891</v>
      </c>
      <c r="G8" s="477">
        <f>industrie!G18</f>
        <v>0</v>
      </c>
      <c r="H8" s="477">
        <f>industrie!H18</f>
        <v>0</v>
      </c>
      <c r="I8" s="477">
        <f>industrie!I18</f>
        <v>0</v>
      </c>
      <c r="J8" s="477">
        <f>industrie!J18</f>
        <v>47.6875641562062</v>
      </c>
      <c r="K8" s="477">
        <f>industrie!K18</f>
        <v>0</v>
      </c>
      <c r="L8" s="477">
        <f>industrie!L18</f>
        <v>0</v>
      </c>
      <c r="M8" s="477">
        <f>industrie!M18</f>
        <v>0</v>
      </c>
      <c r="N8" s="477">
        <f>industrie!N18</f>
        <v>4712.7870576193682</v>
      </c>
      <c r="O8" s="477">
        <f>industrie!O18</f>
        <v>0</v>
      </c>
      <c r="P8" s="478">
        <f>industrie!P18</f>
        <v>0</v>
      </c>
      <c r="Q8" s="476">
        <f t="shared" si="0"/>
        <v>87819.362940782317</v>
      </c>
    </row>
    <row r="9" spans="1:17" s="482" customFormat="1">
      <c r="A9" s="480" t="s">
        <v>561</v>
      </c>
      <c r="B9" s="481">
        <f>transport!B14</f>
        <v>84.644438587522444</v>
      </c>
      <c r="C9" s="481">
        <f>transport!C14</f>
        <v>0</v>
      </c>
      <c r="D9" s="481">
        <f>transport!D14</f>
        <v>284.90486218514957</v>
      </c>
      <c r="E9" s="481">
        <f>transport!E14</f>
        <v>429.53960337252198</v>
      </c>
      <c r="F9" s="481">
        <f>transport!F14</f>
        <v>0</v>
      </c>
      <c r="G9" s="481">
        <f>transport!G14</f>
        <v>169361.61765706472</v>
      </c>
      <c r="H9" s="481">
        <f>transport!H14</f>
        <v>32894.369823008776</v>
      </c>
      <c r="I9" s="481">
        <f>transport!I14</f>
        <v>0</v>
      </c>
      <c r="J9" s="481">
        <f>transport!J14</f>
        <v>0</v>
      </c>
      <c r="K9" s="481">
        <f>transport!K14</f>
        <v>0</v>
      </c>
      <c r="L9" s="481">
        <f>transport!L14</f>
        <v>0</v>
      </c>
      <c r="M9" s="481">
        <f>transport!M14</f>
        <v>10865.457544677634</v>
      </c>
      <c r="N9" s="481">
        <f>transport!N14</f>
        <v>0</v>
      </c>
      <c r="O9" s="481">
        <f>transport!O14</f>
        <v>0</v>
      </c>
      <c r="P9" s="481">
        <f>transport!P14</f>
        <v>0</v>
      </c>
      <c r="Q9" s="480">
        <f>SUM(B9:P9)</f>
        <v>213920.53392889633</v>
      </c>
    </row>
    <row r="10" spans="1:17">
      <c r="A10" s="476" t="s">
        <v>551</v>
      </c>
      <c r="B10" s="477">
        <f>transport!B54</f>
        <v>0</v>
      </c>
      <c r="C10" s="477">
        <f>transport!C54</f>
        <v>0</v>
      </c>
      <c r="D10" s="477">
        <f>transport!D54</f>
        <v>0</v>
      </c>
      <c r="E10" s="477">
        <f>transport!E54</f>
        <v>0</v>
      </c>
      <c r="F10" s="477">
        <f>transport!F54</f>
        <v>0</v>
      </c>
      <c r="G10" s="477">
        <f>transport!G54</f>
        <v>1845.1149511383785</v>
      </c>
      <c r="H10" s="477">
        <f>transport!H54</f>
        <v>0</v>
      </c>
      <c r="I10" s="477">
        <f>transport!I54</f>
        <v>0</v>
      </c>
      <c r="J10" s="477">
        <f>transport!J54</f>
        <v>0</v>
      </c>
      <c r="K10" s="477">
        <f>transport!K54</f>
        <v>0</v>
      </c>
      <c r="L10" s="477">
        <f>transport!L54</f>
        <v>0</v>
      </c>
      <c r="M10" s="477">
        <f>transport!M54</f>
        <v>104.79438382376978</v>
      </c>
      <c r="N10" s="477">
        <f>transport!N54</f>
        <v>0</v>
      </c>
      <c r="O10" s="477">
        <f>transport!O54</f>
        <v>0</v>
      </c>
      <c r="P10" s="478">
        <f>transport!P54</f>
        <v>0</v>
      </c>
      <c r="Q10" s="476">
        <f t="shared" si="0"/>
        <v>1949.9093349621483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1172.7037521859099</v>
      </c>
      <c r="C14" s="484"/>
      <c r="D14" s="484">
        <f>'SEAP template'!E25</f>
        <v>2520.6490902999699</v>
      </c>
      <c r="E14" s="484"/>
      <c r="F14" s="484"/>
      <c r="G14" s="484"/>
      <c r="H14" s="484"/>
      <c r="I14" s="484"/>
      <c r="J14" s="484"/>
      <c r="K14" s="484"/>
      <c r="L14" s="484"/>
      <c r="M14" s="484"/>
      <c r="N14" s="484"/>
      <c r="O14" s="484"/>
      <c r="P14" s="485"/>
      <c r="Q14" s="476">
        <f t="shared" si="0"/>
        <v>3693.3528424858796</v>
      </c>
    </row>
    <row r="15" spans="1:17" s="486" customFormat="1">
      <c r="A15" s="1039" t="s">
        <v>555</v>
      </c>
      <c r="B15" s="987">
        <f ca="1">SUM(B4:B14)</f>
        <v>94236.758070606942</v>
      </c>
      <c r="C15" s="987">
        <f t="shared" ref="C15:Q15" ca="1" si="1">SUM(C4:C14)</f>
        <v>27006.428571428572</v>
      </c>
      <c r="D15" s="987">
        <f t="shared" ca="1" si="1"/>
        <v>177180.28928473193</v>
      </c>
      <c r="E15" s="987">
        <f t="shared" si="1"/>
        <v>10965.618611601138</v>
      </c>
      <c r="F15" s="987">
        <f t="shared" ca="1" si="1"/>
        <v>54423.168941950717</v>
      </c>
      <c r="G15" s="987">
        <f t="shared" si="1"/>
        <v>171206.73260820311</v>
      </c>
      <c r="H15" s="987">
        <f t="shared" si="1"/>
        <v>32894.369823008776</v>
      </c>
      <c r="I15" s="987">
        <f t="shared" si="1"/>
        <v>0</v>
      </c>
      <c r="J15" s="987">
        <f t="shared" si="1"/>
        <v>2457.8155830227388</v>
      </c>
      <c r="K15" s="987">
        <f t="shared" si="1"/>
        <v>0</v>
      </c>
      <c r="L15" s="987">
        <f t="shared" ca="1" si="1"/>
        <v>0</v>
      </c>
      <c r="M15" s="987">
        <f t="shared" si="1"/>
        <v>10970.251928501404</v>
      </c>
      <c r="N15" s="987">
        <f t="shared" ca="1" si="1"/>
        <v>36141.690781329416</v>
      </c>
      <c r="O15" s="987">
        <f t="shared" si="1"/>
        <v>569.0533333333334</v>
      </c>
      <c r="P15" s="987">
        <f t="shared" si="1"/>
        <v>1525.3333333333333</v>
      </c>
      <c r="Q15" s="987">
        <f t="shared" ca="1" si="1"/>
        <v>619577.51087105135</v>
      </c>
    </row>
    <row r="17" spans="1:17">
      <c r="A17" s="487" t="s">
        <v>556</v>
      </c>
      <c r="B17" s="786">
        <f ca="1">huishoudens!B10</f>
        <v>0.23598600060204888</v>
      </c>
      <c r="C17" s="786">
        <f ca="1">huishoudens!C10</f>
        <v>0.23764705882352941</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10142.936158460334</v>
      </c>
      <c r="C22" s="477">
        <f t="shared" ref="C22:C32" ca="1" si="3">C4*$C$17</f>
        <v>0</v>
      </c>
      <c r="D22" s="477">
        <f t="shared" ref="D22:D32" si="4">D4*$D$17</f>
        <v>16019.721890651979</v>
      </c>
      <c r="E22" s="477">
        <f t="shared" ref="E22:E32" si="5">E4*$E$17</f>
        <v>1898.2487837580243</v>
      </c>
      <c r="F22" s="477">
        <f t="shared" ref="F22:F32" si="6">F4*$F$17</f>
        <v>7068.3876325309302</v>
      </c>
      <c r="G22" s="477">
        <f t="shared" ref="G22:G32" si="7">G4*$G$17</f>
        <v>0</v>
      </c>
      <c r="H22" s="477">
        <f t="shared" ref="H22:H32" si="8">H4*$H$17</f>
        <v>0</v>
      </c>
      <c r="I22" s="477">
        <f t="shared" ref="I22:I32" si="9">I4*$I$17</f>
        <v>0</v>
      </c>
      <c r="J22" s="477">
        <f t="shared" ref="J22:J32" si="10">J4*$J$17</f>
        <v>629.10064962410308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35758.395115025371</v>
      </c>
    </row>
    <row r="23" spans="1:17">
      <c r="A23" s="476" t="s">
        <v>156</v>
      </c>
      <c r="B23" s="477">
        <f t="shared" ca="1" si="2"/>
        <v>5865.0244291720082</v>
      </c>
      <c r="C23" s="477">
        <f t="shared" ca="1" si="3"/>
        <v>0</v>
      </c>
      <c r="D23" s="477">
        <f t="shared" ca="1" si="4"/>
        <v>5960.5493603820187</v>
      </c>
      <c r="E23" s="477">
        <f t="shared" si="5"/>
        <v>90.12174644889825</v>
      </c>
      <c r="F23" s="477">
        <f t="shared" ca="1" si="6"/>
        <v>1189.0731382707306</v>
      </c>
      <c r="G23" s="477">
        <f t="shared" si="7"/>
        <v>0</v>
      </c>
      <c r="H23" s="477">
        <f t="shared" si="8"/>
        <v>0</v>
      </c>
      <c r="I23" s="477">
        <f t="shared" si="9"/>
        <v>0</v>
      </c>
      <c r="J23" s="477">
        <f t="shared" si="10"/>
        <v>2.7255179601920886E-2</v>
      </c>
      <c r="K23" s="477">
        <f t="shared" si="11"/>
        <v>0</v>
      </c>
      <c r="L23" s="477">
        <f t="shared" ca="1" si="12"/>
        <v>0</v>
      </c>
      <c r="M23" s="477">
        <f t="shared" si="13"/>
        <v>0</v>
      </c>
      <c r="N23" s="477">
        <f t="shared" ca="1" si="14"/>
        <v>0</v>
      </c>
      <c r="O23" s="477">
        <f t="shared" si="15"/>
        <v>0</v>
      </c>
      <c r="P23" s="478">
        <f t="shared" si="16"/>
        <v>0</v>
      </c>
      <c r="Q23" s="476">
        <f t="shared" ref="Q23:Q32" ca="1" si="17">SUM(B23:P23)</f>
        <v>13104.795929453257</v>
      </c>
    </row>
    <row r="24" spans="1:17">
      <c r="A24" s="476" t="s">
        <v>194</v>
      </c>
      <c r="B24" s="477">
        <f t="shared" ca="1" si="2"/>
        <v>476.3417539772459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476.3417539772459</v>
      </c>
    </row>
    <row r="25" spans="1:17">
      <c r="A25" s="476" t="s">
        <v>112</v>
      </c>
      <c r="B25" s="477">
        <f t="shared" ca="1" si="2"/>
        <v>1030.9516117509672</v>
      </c>
      <c r="C25" s="477">
        <f t="shared" ca="1" si="3"/>
        <v>6417.9983193277312</v>
      </c>
      <c r="D25" s="477">
        <f t="shared" si="4"/>
        <v>1657.4846245898184</v>
      </c>
      <c r="E25" s="477">
        <f t="shared" si="5"/>
        <v>29.148929965130815</v>
      </c>
      <c r="F25" s="477">
        <f t="shared" si="6"/>
        <v>4859.3360676918428</v>
      </c>
      <c r="G25" s="477">
        <f t="shared" si="7"/>
        <v>0</v>
      </c>
      <c r="H25" s="477">
        <f t="shared" si="8"/>
        <v>0</v>
      </c>
      <c r="I25" s="477">
        <f t="shared" si="9"/>
        <v>0</v>
      </c>
      <c r="J25" s="477">
        <f t="shared" si="10"/>
        <v>224.05741387504747</v>
      </c>
      <c r="K25" s="477">
        <f t="shared" si="11"/>
        <v>0</v>
      </c>
      <c r="L25" s="477">
        <f t="shared" si="12"/>
        <v>0</v>
      </c>
      <c r="M25" s="477">
        <f t="shared" si="13"/>
        <v>0</v>
      </c>
      <c r="N25" s="477">
        <f t="shared" si="14"/>
        <v>0</v>
      </c>
      <c r="O25" s="477">
        <f t="shared" si="15"/>
        <v>0</v>
      </c>
      <c r="P25" s="478">
        <f t="shared" si="16"/>
        <v>0</v>
      </c>
      <c r="Q25" s="476">
        <f t="shared" ca="1" si="17"/>
        <v>14218.976967200537</v>
      </c>
    </row>
    <row r="26" spans="1:17">
      <c r="A26" s="476" t="s">
        <v>635</v>
      </c>
      <c r="B26" s="477">
        <f t="shared" ca="1" si="2"/>
        <v>4426.5851225199794</v>
      </c>
      <c r="C26" s="477">
        <f t="shared" ca="1" si="3"/>
        <v>0</v>
      </c>
      <c r="D26" s="477">
        <f t="shared" si="4"/>
        <v>11585.940661490045</v>
      </c>
      <c r="E26" s="477">
        <f t="shared" si="5"/>
        <v>374.17047469584219</v>
      </c>
      <c r="F26" s="477">
        <f t="shared" si="6"/>
        <v>1414.1892690073369</v>
      </c>
      <c r="G26" s="477">
        <f t="shared" si="7"/>
        <v>0</v>
      </c>
      <c r="H26" s="477">
        <f t="shared" si="8"/>
        <v>0</v>
      </c>
      <c r="I26" s="477">
        <f t="shared" si="9"/>
        <v>0</v>
      </c>
      <c r="J26" s="477">
        <f t="shared" si="10"/>
        <v>16.881397711296994</v>
      </c>
      <c r="K26" s="477">
        <f t="shared" si="11"/>
        <v>0</v>
      </c>
      <c r="L26" s="477">
        <f t="shared" si="12"/>
        <v>0</v>
      </c>
      <c r="M26" s="477">
        <f t="shared" si="13"/>
        <v>0</v>
      </c>
      <c r="N26" s="477">
        <f t="shared" si="14"/>
        <v>0</v>
      </c>
      <c r="O26" s="477">
        <f t="shared" si="15"/>
        <v>0</v>
      </c>
      <c r="P26" s="478">
        <f t="shared" si="16"/>
        <v>0</v>
      </c>
      <c r="Q26" s="476">
        <f t="shared" ca="1" si="17"/>
        <v>17817.766925424501</v>
      </c>
    </row>
    <row r="27" spans="1:17" s="482" customFormat="1">
      <c r="A27" s="480" t="s">
        <v>561</v>
      </c>
      <c r="B27" s="780">
        <f t="shared" ca="1" si="2"/>
        <v>19.974902535475163</v>
      </c>
      <c r="C27" s="481">
        <f t="shared" ca="1" si="3"/>
        <v>0</v>
      </c>
      <c r="D27" s="481">
        <f t="shared" si="4"/>
        <v>57.550782161400214</v>
      </c>
      <c r="E27" s="481">
        <f t="shared" si="5"/>
        <v>97.505489965562489</v>
      </c>
      <c r="F27" s="481">
        <f t="shared" si="6"/>
        <v>0</v>
      </c>
      <c r="G27" s="481">
        <f t="shared" si="7"/>
        <v>45219.551914436284</v>
      </c>
      <c r="H27" s="481">
        <f t="shared" si="8"/>
        <v>8190.6980859291853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53585.281175027907</v>
      </c>
    </row>
    <row r="28" spans="1:17">
      <c r="A28" s="476" t="s">
        <v>551</v>
      </c>
      <c r="B28" s="477">
        <f t="shared" ca="1" si="2"/>
        <v>0</v>
      </c>
      <c r="C28" s="477">
        <f t="shared" ca="1" si="3"/>
        <v>0</v>
      </c>
      <c r="D28" s="477">
        <f t="shared" si="4"/>
        <v>0</v>
      </c>
      <c r="E28" s="477">
        <f t="shared" si="5"/>
        <v>0</v>
      </c>
      <c r="F28" s="477">
        <f t="shared" si="6"/>
        <v>0</v>
      </c>
      <c r="G28" s="477">
        <f t="shared" si="7"/>
        <v>492.64569195394711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492.64569195394711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276.74166836936911</v>
      </c>
      <c r="C32" s="477">
        <f t="shared" ca="1" si="3"/>
        <v>0</v>
      </c>
      <c r="D32" s="477">
        <f t="shared" si="4"/>
        <v>509.17111624059396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785.91278460996307</v>
      </c>
    </row>
    <row r="33" spans="1:17" s="486" customFormat="1">
      <c r="A33" s="1039" t="s">
        <v>555</v>
      </c>
      <c r="B33" s="987">
        <f ca="1">SUM(B22:B32)</f>
        <v>22238.555646785382</v>
      </c>
      <c r="C33" s="987">
        <f t="shared" ref="C33:Q33" ca="1" si="18">SUM(C22:C32)</f>
        <v>6417.9983193277312</v>
      </c>
      <c r="D33" s="987">
        <f t="shared" ca="1" si="18"/>
        <v>35790.418435515858</v>
      </c>
      <c r="E33" s="987">
        <f t="shared" si="18"/>
        <v>2489.1954248334578</v>
      </c>
      <c r="F33" s="987">
        <f t="shared" ca="1" si="18"/>
        <v>14530.986107500841</v>
      </c>
      <c r="G33" s="987">
        <f t="shared" si="18"/>
        <v>45712.197606390233</v>
      </c>
      <c r="H33" s="987">
        <f t="shared" si="18"/>
        <v>8190.6980859291853</v>
      </c>
      <c r="I33" s="987">
        <f t="shared" si="18"/>
        <v>0</v>
      </c>
      <c r="J33" s="987">
        <f t="shared" si="18"/>
        <v>870.06671639004946</v>
      </c>
      <c r="K33" s="987">
        <f t="shared" si="18"/>
        <v>0</v>
      </c>
      <c r="L33" s="987">
        <f t="shared" ca="1" si="18"/>
        <v>0</v>
      </c>
      <c r="M33" s="987">
        <f t="shared" si="18"/>
        <v>0</v>
      </c>
      <c r="N33" s="987">
        <f t="shared" ca="1" si="18"/>
        <v>0</v>
      </c>
      <c r="O33" s="987">
        <f t="shared" si="18"/>
        <v>0</v>
      </c>
      <c r="P33" s="987">
        <f t="shared" si="18"/>
        <v>0</v>
      </c>
      <c r="Q33" s="987">
        <f t="shared" ca="1" si="18"/>
        <v>136240.11634267276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60">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3100.4066254583377</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10837.904281094437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18904.5</v>
      </c>
      <c r="D8" s="1056">
        <f>'SEAP template'!D76</f>
        <v>22240.588235294119</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4492.5988235294126</v>
      </c>
    </row>
    <row r="9" spans="1:16">
      <c r="A9" s="1059" t="s">
        <v>855</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13938.310906552775</v>
      </c>
      <c r="C10" s="1060">
        <f>SUM(C4:C9)</f>
        <v>18904.5</v>
      </c>
      <c r="D10" s="1060">
        <f t="shared" ref="D10:H10" si="0">SUM(D8:D9)</f>
        <v>22240.588235294119</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4492.5988235294126</v>
      </c>
    </row>
    <row r="11" spans="1:16">
      <c r="A11" s="896"/>
      <c r="B11" s="896"/>
      <c r="C11" s="896"/>
      <c r="D11" s="896"/>
      <c r="E11" s="896"/>
      <c r="F11" s="896"/>
      <c r="G11" s="896"/>
      <c r="H11" s="896"/>
      <c r="I11" s="896"/>
      <c r="J11" s="896"/>
      <c r="K11" s="896"/>
      <c r="L11" s="896"/>
      <c r="M11" s="896"/>
      <c r="N11" s="896"/>
      <c r="O11" s="896"/>
      <c r="P11" s="896"/>
    </row>
    <row r="12" spans="1:16">
      <c r="A12" s="487" t="s">
        <v>856</v>
      </c>
      <c r="B12" s="786" t="s">
        <v>857</v>
      </c>
      <c r="C12" s="786">
        <f ca="1">'EF ele_warmte'!B12</f>
        <v>0.23598600060204888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27006.428571428572</v>
      </c>
      <c r="D17" s="1057">
        <f>'SEAP template'!D87</f>
        <v>31772.268907563026</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6417.9983193277312</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862</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27006.428571428572</v>
      </c>
      <c r="D20" s="1060">
        <f t="shared" ref="D20:H20" si="2">SUM(D17:D19)</f>
        <v>31772.268907563026</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6417.9983193277312</v>
      </c>
    </row>
    <row r="22" spans="1:16">
      <c r="A22" s="487" t="s">
        <v>863</v>
      </c>
      <c r="B22" s="786" t="s">
        <v>857</v>
      </c>
      <c r="C22" s="786">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15.75">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864</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865</v>
      </c>
    </row>
    <row r="5" spans="1:16" ht="135">
      <c r="A5" s="1069" t="s">
        <v>250</v>
      </c>
      <c r="B5" s="1066" t="s">
        <v>864</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865</v>
      </c>
    </row>
    <row r="6" spans="1:16" ht="135">
      <c r="A6" s="1069" t="s">
        <v>251</v>
      </c>
      <c r="B6" s="1066" t="s">
        <v>864</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865</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865</v>
      </c>
    </row>
    <row r="8" spans="1:16" ht="210">
      <c r="A8" s="1065" t="s">
        <v>252</v>
      </c>
      <c r="B8" s="1066" t="s">
        <v>866</v>
      </c>
      <c r="C8" s="1066" t="s">
        <v>866</v>
      </c>
      <c r="D8" s="1066" t="s">
        <v>866</v>
      </c>
      <c r="E8" s="1066" t="s">
        <v>866</v>
      </c>
      <c r="F8" s="1066" t="s">
        <v>866</v>
      </c>
      <c r="G8" s="1066" t="s">
        <v>866</v>
      </c>
      <c r="H8" s="1066" t="s">
        <v>866</v>
      </c>
      <c r="I8" s="1066" t="s">
        <v>866</v>
      </c>
      <c r="J8" s="1066" t="s">
        <v>866</v>
      </c>
      <c r="K8" s="1067" t="s">
        <v>820</v>
      </c>
      <c r="L8" s="1067" t="s">
        <v>820</v>
      </c>
      <c r="M8" s="1067" t="s">
        <v>820</v>
      </c>
      <c r="N8" s="1066" t="s">
        <v>867</v>
      </c>
      <c r="O8" s="1066" t="s">
        <v>867</v>
      </c>
      <c r="P8" s="1070"/>
    </row>
    <row r="9" spans="1:16" ht="210">
      <c r="A9" s="1071" t="s">
        <v>855</v>
      </c>
      <c r="B9" s="1066" t="s">
        <v>867</v>
      </c>
      <c r="C9" s="1066" t="s">
        <v>867</v>
      </c>
      <c r="D9" s="1066" t="s">
        <v>867</v>
      </c>
      <c r="E9" s="1066" t="s">
        <v>867</v>
      </c>
      <c r="F9" s="1066" t="s">
        <v>867</v>
      </c>
      <c r="G9" s="1066" t="s">
        <v>867</v>
      </c>
      <c r="H9" s="1066" t="s">
        <v>867</v>
      </c>
      <c r="I9" s="1066" t="s">
        <v>867</v>
      </c>
      <c r="J9" s="1066" t="s">
        <v>867</v>
      </c>
      <c r="K9" s="1067" t="s">
        <v>820</v>
      </c>
      <c r="L9" s="1066" t="s">
        <v>867</v>
      </c>
      <c r="M9" s="1066" t="s">
        <v>867</v>
      </c>
      <c r="N9" s="1066" t="s">
        <v>867</v>
      </c>
      <c r="O9" s="1066" t="s">
        <v>867</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856</v>
      </c>
      <c r="B12" s="786" t="s">
        <v>857</v>
      </c>
      <c r="C12" s="1073" t="s">
        <v>868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867</v>
      </c>
      <c r="C17" s="1066" t="s">
        <v>867</v>
      </c>
      <c r="D17" s="1066" t="s">
        <v>867</v>
      </c>
      <c r="E17" s="1066" t="s">
        <v>867</v>
      </c>
      <c r="F17" s="1066" t="s">
        <v>867</v>
      </c>
      <c r="G17" s="1066" t="s">
        <v>867</v>
      </c>
      <c r="H17" s="1066" t="s">
        <v>867</v>
      </c>
      <c r="I17" s="1066" t="s">
        <v>867</v>
      </c>
      <c r="J17" s="1066" t="s">
        <v>867</v>
      </c>
      <c r="K17" s="1067" t="s">
        <v>820</v>
      </c>
      <c r="L17" s="1067" t="s">
        <v>820</v>
      </c>
      <c r="M17" s="1067" t="s">
        <v>820</v>
      </c>
      <c r="N17" s="1066" t="s">
        <v>867</v>
      </c>
      <c r="O17" s="1066" t="s">
        <v>867</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862</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863</v>
      </c>
      <c r="B22" s="786" t="s">
        <v>857</v>
      </c>
      <c r="C22" s="1073" t="s">
        <v>869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0.23598600060204888</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2019-06-29T17:03:39Z</dcterms:modified>
</cp:coreProperties>
</file>