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<sst xmlns="http://schemas.openxmlformats.org/spreadsheetml/2006/main" count="2380" uniqueCount="878">
  <si>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</si>
  <si>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</si>
  <si>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</si>
  <si>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</si>
  <si>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</si>
  <si>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</si>
  <si>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</si>
  <si>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</si>
  <si>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</si>
  <si>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</si>
  <si>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</si>
  <si>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</si>
  <si>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</si>
  <si>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</si>
  <si>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</si>
  <si>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</si>
  <si>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</si>
  <si>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</si>
  <si>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</si>
  <si>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</si>
  <si>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</si>
  <si>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</si>
  <si>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</si>
  <si>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</si>
  <si>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</si>
  <si>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</si>
  <si>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</si>
  <si>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</si>
  <si>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</si>
  <si>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</si>
  <si>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</si>
  <si>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</si>
  <si>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</si>
  <si>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</si>
  <si>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</si>
  <si>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</si>
  <si>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</si>
  <si>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</si>
  <si>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</si>
  <si>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</si>
  <si>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</si>
  <si>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</si>
  <si>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</si>
  <si>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</si>
  <si>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</si>
  <si>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</si>
  <si>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</si>
  <si>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</si>
  <si>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</si>
  <si>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</si>
  <si>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</si>
  <si>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</si>
  <si>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</si>
  <si>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</si>
  <si>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</si>
  <si>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</si>
  <si>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</si>
  <si>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</si>
  <si>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</si>
  <si>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</si>
  <si>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</si>
  <si>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</si>
  <si>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</si>
  <si>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</si>
  <si>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</si>
  <si>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</si>
  <si>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</si>
  <si>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</si>
  <si>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</si>
  <si>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</si>
  <si>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</si>
  <si>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</si>
  <si>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</si>
  <si>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</si>
  <si>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</si>
  <si>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</si>
  <si>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</si>
  <si>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</si>
  <si>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</si>
  <si>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</si>
  <si>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</si>
  <si>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</si>
  <si>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</si>
  <si>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</si>
  <si>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</si>
  <si>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</si>
  <si>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</si>
  <si>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</si>
  <si>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</si>
  <si>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</si>
  <si>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</si>
  <si>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</si>
  <si>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</si>
  <si>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</si>
  <si>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</si>
  <si>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</si>
  <si>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</si>
  <si>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</si>
  <si>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</si>
  <si>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</si>
  <si>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</si>
  <si>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</si>
  <si>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</si>
  <si>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</si>
  <si>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</si>
  <si>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</si>
  <si>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</si>
  <si>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</si>
  <si>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</si>
  <si>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</si>
  <si>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</si>
  <si>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</si>
  <si>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</si>
  <si>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</si>
  <si>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</si>
  <si>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</si>
  <si>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</si>
  <si>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</si>
  <si>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</si>
  <si>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</si>
  <si>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</si>
  <si>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</si>
  <si>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</si>
  <si>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</si>
  <si>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</si>
  <si>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</si>
  <si>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</si>
  <si>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</si>
  <si>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</si>
  <si>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</si>
  <si>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</si>
  <si>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</si>
  <si>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</si>
  <si>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</si>
  <si>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</si>
  <si>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</si>
  <si>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</si>
  <si>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</si>
  <si>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</si>
  <si>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</si>
  <si>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</si>
  <si>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</si>
  <si>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</si>
  <si>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</si>
  <si>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</si>
  <si>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</si>
  <si>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</si>
  <si>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</si>
  <si>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</si>
  <si>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</si>
  <si>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</si>
  <si>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</si>
  <si>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</si>
  <si>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</si>
  <si>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</si>
  <si>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</si>
  <si>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</si>
  <si>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</si>
  <si>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</si>
  <si>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</si>
  <si>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</si>
  <si>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</si>
  <si>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</si>
  <si>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</si>
  <si>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</si>
  <si>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</si>
  <si>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</si>
  <si>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</si>
  <si>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</si>
  <si>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</si>
  <si>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</si>
  <si>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</si>
  <si>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</si>
  <si>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</si>
  <si>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</si>
  <si>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</si>
  <si>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</si>
  <si>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</si>
  <si>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</si>
  <si>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</si>
  <si>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</si>
  <si>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</si>
  <si>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</si>
  <si>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</si>
  <si>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</si>
  <si>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</si>
  <si>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</si>
  <si>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</si>
  <si>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</si>
  <si>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</si>
  <si>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</si>
  <si>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</si>
  <si>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</si>
  <si>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</si>
  <si>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</si>
  <si>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</si>
  <si>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</si>
  <si>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</si>
  <si>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</si>
  <si>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</si>
  <si>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</si>
  <si>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</si>
  <si>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</si>
  <si>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</si>
  <si>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</si>
  <si>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</si>
  <si>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</si>
  <si>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</si>
  <si>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</si>
  <si>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</si>
  <si>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</si>
  <si>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</si>
  <si>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</si>
  <si>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</si>
  <si>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</si>
  <si>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</si>
  <si>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</si>
  <si>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</si>
  <si>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</si>
  <si>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</si>
  <si>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</si>
  <si>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</si>
  <si>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</si>
  <si>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</si>
  <si>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</si>
  <si>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</si>
  <si>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</si>
  <si>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</si>
  <si>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</si>
  <si>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</si>
  <si>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</si>
  <si>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</si>
  <si>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</si>
  <si>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</si>
  <si>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</si>
  <si>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</si>
  <si>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</si>
  <si>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</si>
  <si>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</si>
  <si>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</si>
  <si>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</si>
  <si>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</si>
  <si>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</si>
  <si>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</si>
  <si>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</si>
  <si>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</si>
  <si>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</si>
  <si>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</si>
  <si>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</si>
  <si>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</si>
  <si>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</si>
  <si>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</si>
  <si>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</si>
  <si>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</si>
  <si>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</si>
  <si>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</si>
  <si>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</si>
  <si>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</si>
  <si>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</si>
  <si>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</si>
  <si>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</si>
  <si>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</si>
  <si>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</si>
  <si>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</si>
  <si>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</si>
  <si>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</si>
  <si>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</si>
  <si>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</si>
  <si>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</si>
  <si>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</si>
  <si>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</si>
  <si>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</si>
  <si>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</si>
  <si>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</si>
  <si>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</si>
  <si>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</si>
  <si>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</si>
  <si>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</si>
  <si>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</si>
  <si>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</si>
  <si>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</si>
  <si>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</si>
  <si>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</si>
  <si>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</si>
  <si>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</si>
  <si>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</si>
  <si>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</si>
  <si>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</si>
  <si>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</si>
  <si>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</si>
  <si>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</si>
  <si>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</si>
  <si>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</si>
  <si>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</si>
  <si>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</si>
  <si>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</si>
  <si>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</si>
  <si>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</si>
  <si>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</si>
  <si>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</si>
  <si>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</si>
  <si>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</si>
  <si>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</si>
  <si>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</si>
  <si>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</si>
  <si>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</si>
  <si>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</si>
  <si>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</si>
  <si>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</si>
  <si>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</si>
  <si>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</si>
  <si>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</si>
  <si>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</si>
  <si>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</si>
  <si>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</si>
  <si>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</si>
  <si>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</si>
  <si>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</si>
  <si>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</si>
  <si>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</si>
  <si>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</si>
  <si>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</si>
  <si>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</si>
  <si>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</si>
  <si>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</si>
  <si>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</si>
  <si>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</si>
  <si>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</si>
  <si>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</si>
  <si>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</si>
  <si>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</si>
  <si>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</si>
  <si>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</si>
  <si>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</si>
  <si>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</si>
  <si>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</si>
  <si>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</si>
  <si>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</si>
  <si>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</si>
  <si>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</si>
  <si>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</si>
  <si>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</si>
  <si>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</si>
  <si>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</si>
  <si>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</si>
  <si>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</si>
  <si>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</si>
  <si>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</si>
  <si>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</si>
  <si>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</si>
  <si>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</si>
  <si>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</si>
  <si>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</si>
  <si>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</si>
  <si>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</si>
  <si>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</si>
  <si>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</si>
  <si>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</si>
  <si>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</si>
  <si>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</si>
  <si>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</si>
  <si>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</si>
  <si>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</si>
  <si>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</si>
  <si>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</si>
  <si>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</si>
  <si>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</si>
  <si>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</si>
  <si>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</si>
  <si>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</si>
  <si>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</si>
  <si>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</si>
  <si>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</si>
  <si>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</si>
  <si>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</si>
  <si>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</si>
  <si>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</si>
  <si>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</si>
  <si>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</si>
  <si>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</si>
  <si>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</si>
  <si>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</si>
  <si>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</si>
  <si>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</si>
  <si>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</si>
  <si>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</si>
  <si>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</si>
  <si>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</si>
  <si>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</si>
  <si>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</si>
  <si>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</si>
  <si>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</si>
  <si>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</si>
  <si>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</si>
  <si>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</si>
  <si>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</si>
  <si>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</si>
  <si>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</si>
  <si>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</si>
  <si>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</si>
  <si>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</si>
  <si>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</si>
  <si>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</si>
  <si>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</si>
  <si>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</si>
  <si>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</si>
  <si>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</si>
  <si>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</si>
  <si>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</si>
  <si>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</si>
  <si>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</si>
  <si>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</si>
  <si>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</si>
  <si>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</si>
  <si>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</si>
  <si>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</si>
  <si>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</si>
  <si>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</si>
  <si>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</si>
  <si>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</si>
  <si>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</si>
  <si>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</si>
  <si>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</si>
  <si>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</si>
  <si>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</si>
  <si>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</si>
  <si>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</si>
  <si>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</si>
  <si>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</si>
  <si>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</si>
  <si>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</si>
  <si>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</si>
  <si>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</si>
  <si>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</si>
  <si>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</si>
  <si>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</si>
  <si>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</si>
  <si>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</si>
  <si>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</si>
  <si>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</si>
  <si>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</si>
  <si>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</si>
  <si>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</si>
  <si>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</si>
  <si>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</si>
  <si>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</si>
  <si>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</si>
  <si>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</si>
  <si>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</si>
  <si>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</si>
  <si>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</si>
  <si>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</si>
  <si>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</si>
  <si>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</si>
  <si>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</si>
  <si>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</si>
  <si>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</si>
  <si>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</si>
  <si>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</si>
  <si>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</si>
  <si>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</si>
  <si>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</si>
  <si>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</si>
  <si>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</si>
  <si>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</si>
  <si>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</si>
  <si>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</si>
  <si>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</si>
  <si>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</si>
  <si>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</si>
  <si>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</si>
  <si>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</si>
  <si>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</si>
  <si>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</si>
  <si>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</si>
  <si>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</si>
  <si>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</si>
  <si>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</si>
  <si>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</si>
  <si>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</si>
  <si>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</si>
  <si>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</si>
  <si>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</si>
  <si>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</si>
  <si>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</si>
  <si>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</si>
  <si>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</si>
  <si>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</si>
  <si>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</si>
  <si>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</si>
  <si>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</si>
  <si>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</si>
  <si>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</si>
  <si>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</si>
  <si>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</si>
  <si>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</si>
  <si>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</si>
  <si>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</si>
  <si>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</si>
  <si>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</si>
  <si>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</si>
  <si>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</si>
  <si>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</si>
  <si>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</si>
  <si>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</si>
  <si>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</si>
  <si>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</si>
  <si>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</si>
  <si>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</si>
  <si>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</si>
  <si>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</si>
  <si>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</si>
  <si>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</si>
  <si>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</si>
  <si>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</si>
  <si>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</si>
  <si>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</si>
  <si>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</si>
  <si>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</si>
  <si>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</si>
  <si>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</si>
  <si>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</si>
  <si>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</si>
  <si>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</si>
  <si>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</si>
  <si>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</si>
  <si>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</si>
  <si>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</si>
  <si>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</si>
  <si>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</si>
  <si>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</si>
  <si>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</si>
  <si>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</si>
  <si>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</si>
  <si>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</si>
  <si>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</si>
  <si>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</si>
  <si>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</si>
  <si>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</si>
  <si>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</si>
  <si>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</si>
  <si>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</si>
  <si>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</si>
  <si>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</si>
  <si>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</si>
  <si>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</si>
  <si>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</si>
  <si>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</si>
  <si>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</si>
  <si>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</si>
  <si>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</si>
  <si>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</si>
  <si>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</si>
  <si>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</si>
  <si>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</si>
  <si>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</si>
  <si>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</si>
  <si>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</si>
  <si>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</si>
  <si>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</si>
  <si>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</si>
  <si>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</si>
  <si>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</si>
  <si>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</si>
  <si>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</si>
  <si>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</si>
  <si>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</si>
  <si>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</si>
  <si>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</si>
  <si>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</si>
  <si>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</si>
  <si>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</si>
  <si>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</si>
  <si>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</si>
  <si>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</si>
  <si>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</si>
  <si>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</si>
  <si>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</si>
  <si>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</si>
  <si>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</si>
  <si>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</si>
  <si>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</si>
  <si>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</si>
  <si>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</si>
  <si>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</si>
  <si>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</si>
  <si>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</si>
  <si>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</si>
  <si>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</si>
  <si>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</si>
  <si>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</si>
  <si>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</si>
  <si>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</si>
  <si>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</si>
  <si>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</si>
  <si>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</si>
  <si>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</si>
  <si>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</si>
  <si>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</si>
  <si>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</si>
  <si>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</si>
  <si>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</si>
  <si>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</si>
  <si>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</si>
  <si>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</si>
  <si>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</si>
  <si>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</si>
  <si>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</si>
  <si>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</si>
  <si>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</si>
  <si>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</si>
  <si>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</si>
  <si>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</si>
  <si>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</si>
  <si>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</si>
  <si>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</si>
  <si>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</si>
  <si>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</si>
  <si>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</si>
  <si>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</si>
  <si>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</si>
  <si>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</si>
  <si>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</si>
  <si>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</si>
  <si>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</si>
  <si>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</si>
  <si>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</si>
  <si>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</si>
  <si>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</si>
  <si>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</si>
  <si>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</si>
  <si>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</si>
  <si>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</si>
  <si>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</si>
  <si>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</si>
  <si>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</si>
  <si>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</si>
  <si>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</si>
  <si>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</si>
  <si>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</si>
  <si>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</si>
  <si>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</si>
  <si>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</si>
  <si>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</si>
  <si>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</si>
  <si>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</si>
  <si>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</si>
  <si>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</si>
  <si>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</si>
  <si>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</si>
  <si>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</si>
  <si>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</si>
  <si>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</si>
  <si>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</si>
  <si>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</si>
  <si>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</si>
  <si>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</si>
  <si>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</si>
  <si>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</si>
  <si>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</si>
  <si>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</si>
  <si>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</si>
  <si>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</si>
  <si>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</si>
  <si>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</si>
  <si>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</si>
  <si>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</si>
  <si>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</si>
  <si>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</si>
  <si>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</si>
  <si>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</si>
  <si>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</si>
  <si>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</si>
  <si>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</si>
  <si>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</si>
  <si>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</si>
  <si>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</si>
  <si>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</si>
  <si>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</si>
  <si>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</si>
  <si>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</si>
  <si>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</si>
  <si>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</si>
  <si>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</si>
  <si>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</si>
  <si>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</si>
  <si>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</si>
  <si>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</si>
  <si>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</si>
  <si>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</si>
  <si>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</si>
  <si>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</si>
  <si>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</si>
  <si>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</si>
  <si>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</si>
  <si>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</si>
  <si>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</si>
  <si>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</si>
  <si>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</si>
  <si>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</si>
  <si>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</si>
  <si>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</si>
  <si>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</si>
  <si>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</si>
  <si>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</si>
  <si>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</si>
  <si>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</si>
  <si>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</si>
  <si>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</si>
  <si>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</si>
  <si>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</si>
  <si>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</si>
  <si>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</si>
  <si>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</si>
  <si>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</si>
  <si>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</si>
  <si>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</si>
  <si>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</si>
  <si>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</si>
  <si>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</si>
  <si>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</si>
  <si>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</si>
  <si>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</si>
  <si>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</si>
  <si>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</si>
  <si>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</si>
  <si>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</si>
  <si>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</si>
  <si>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</si>
  <si>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</si>
  <si>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</si>
  <si>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</si>
  <si>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</si>
  <si>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</si>
  <si>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</si>
  <si>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</si>
  <si>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</si>
  <si>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</si>
  <si>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</si>
  <si>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</si>
  <si>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</si>
  <si>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</si>
  <si>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</si>
  <si>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</si>
  <si>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</si>
  <si>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</si>
  <si>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</si>
  <si>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</si>
  <si>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</si>
  <si>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</si>
  <si>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</si>
  <si>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</si>
  <si>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</si>
  <si>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</si>
  <si>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</si>
  <si>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</si>
  <si>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</si>
  <si>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</si>
  <si>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</si>
  <si>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</si>
  <si>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</si>
  <si>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</si>
  <si>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</si>
  <si>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</si>
  <si>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</si>
  <si>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</si>
  <si>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</si>
  <si>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</si>
  <si>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</si>
  <si>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</si>
  <si>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</si>
  <si>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</si>
  <si>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</si>
  <si>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</si>
  <si>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</si>
  <si>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</si>
  <si>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</si>
  <si>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</si>
  <si>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</si>
  <si>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</si>
  <si>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</si>
  <si>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</si>
  <si>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</si>
  <si>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</si>
  <si>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</si>
  <si>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</si>
  <si>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</si>
  <si>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</si>
  <si>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</si>
  <si>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</si>
  <si>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</si>
  <si>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</si>
  <si>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</si>
  <si>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</si>
  <si>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</si>
  <si>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</si>
  <si>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</si>
  <si>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</si>
  <si>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</si>
  <si>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</si>
  <si>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</si>
  <si>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</si>
  <si>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</si>
  <si>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</si>
  <si>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</si>
  <si>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</si>
  <si>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</si>
  <si>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</si>
  <si>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</si>
  <si>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</si>
  <si>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</si>
  <si>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</si>
  <si>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</si>
  <si>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</si>
  <si>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</si>
  <si>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</si>
  <si>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</si>
  <si>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</si>
  <si>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</si>
  <si>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</si>
  <si>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</si>
  <si>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</si>
  <si>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</si>
  <si>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</si>
  <si>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</si>
  <si>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</si>
  <si>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</si>
  <si>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</si>
  <si>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</si>
  <si>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</si>
  <si>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</si>
  <si>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</si>
  <si>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</si>
  <si>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</si>
  <si>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</si>
  <si>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</si>
  <si>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</si>
  <si>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</si>
  <si>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</si>
  <si>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</si>
  <si>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</si>
  <si>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</si>
  <si>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</si>
  <si>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</si>
  <si>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</si>
  <si>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</si>
  <si>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</si>
  <si>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</si>
  <si>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</si>
  <si>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</si>
  <si>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</si>
  <si>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</si>
  <si>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</si>
  <si>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</si>
  <si>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</si>
  <si>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</si>
  <si>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</si>
  <si>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</si>
  <si>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</si>
  <si>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</si>
  <si>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</si>
  <si>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</si>
  <si>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</si>
  <si>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</si>
  <si>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</si>
  <si>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</si>
  <si>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</si>
  <si>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</si>
  <si>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</si>
  <si>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</si>
  <si>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23102</t>
  </si>
  <si>
    <t>WEMMEL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</si>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</sst>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118536.99150114995</c:v>
                </c:pt>
                <c:pt idx="1">
                  <c:v>51837.255621179036</c:v>
                </c:pt>
                <c:pt idx="2">
                  <c:v>1433.693</c:v>
                </c:pt>
                <c:pt idx="3">
                  <c:v>1028.6753462035629</c:v>
                </c:pt>
                <c:pt idx="4">
                  <c:v>4668.4779195036672</c:v>
                </c:pt>
                <c:pt idx="5">
                  <c:v>169499.38197714865</c:v>
                </c:pt>
                <c:pt idx="6">
                  <c:v>1707.6307551048683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8784"/>
        <c:axId val="180840320"/>
      </c:barChart>
      <c:catAx>
        <c:axId val="180838784"/>
        <c:scaling>
          <c:orientation val="minMax"/>
        </c:scaling>
        <c:axPos val="b"/>
        <c:numFmt formatCode="General" sourceLinked="0"/>
        <c:tickLblPos val="nextTo"/>
        <c:crossAx val="180840320"/>
        <c:crosses val="autoZero"/>
        <c:auto val="1"/>
        <c:lblAlgn val="ctr"/>
        <c:lblOffset val="100"/>
      </c:catAx>
      <c:valAx>
        <c:axId val="180840320"/>
        <c:scaling>
          <c:orientation val="minMax"/>
        </c:scaling>
        <c:axPos val="l"/>
        <c:majorGridlines>
          <c:spPr>
            <a:ln>
              <a:noFill/>
            </a:ln>
          </c:spPr>
        </c:majorGridlines>
        <c:numFmt formatCode="#,##0" sourceLinked="1"/>
        <c:tickLblPos val="nextTo"/>
        <c:crossAx val="18083878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118536.99150114995</c:v>
                </c:pt>
                <c:pt idx="1">
                  <c:v>51837.255621179036</c:v>
                </c:pt>
                <c:pt idx="2">
                  <c:v>1433.693</c:v>
                </c:pt>
                <c:pt idx="3">
                  <c:v>1028.6753462035629</c:v>
                </c:pt>
                <c:pt idx="4">
                  <c:v>4668.4779195036672</c:v>
                </c:pt>
                <c:pt idx="5">
                  <c:v>169499.38197714865</c:v>
                </c:pt>
                <c:pt idx="6">
                  <c:v>1707.6307551048683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24399.62887345731</c:v>
                </c:pt>
                <c:pt idx="2">
                  <c:v>10470.03281094554</c:v>
                </c:pt>
                <c:pt idx="3">
                  <c:v>311.83138801231013</c:v>
                </c:pt>
                <c:pt idx="4">
                  <c:v>257.66380443532745</c:v>
                </c:pt>
                <c:pt idx="5">
                  <c:v>938.54624466166695</c:v>
                </c:pt>
                <c:pt idx="6">
                  <c:v>42431.64002564743</c:v>
                </c:pt>
                <c:pt idx="7">
                  <c:v>431.43387226607103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93344"/>
        <c:axId val="181211520"/>
      </c:barChart>
      <c:catAx>
        <c:axId val="181193344"/>
        <c:scaling>
          <c:orientation val="minMax"/>
        </c:scaling>
        <c:axPos val="b"/>
        <c:numFmt formatCode="General" sourceLinked="0"/>
        <c:tickLblPos val="nextTo"/>
        <c:crossAx val="181211520"/>
        <c:crosses val="autoZero"/>
        <c:auto val="1"/>
        <c:lblAlgn val="ctr"/>
        <c:lblOffset val="100"/>
      </c:catAx>
      <c:valAx>
        <c:axId val="181211520"/>
        <c:scaling>
          <c:orientation val="minMax"/>
        </c:scaling>
        <c:axPos val="l"/>
        <c:majorGridlines>
          <c:spPr>
            <a:ln>
              <a:noFill/>
            </a:ln>
          </c:spPr>
        </c:majorGridlines>
        <c:numFmt formatCode="#,##0" sourceLinked="1"/>
        <c:tickLblPos val="nextTo"/>
        <c:crossAx val="181193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24399.62887345731</c:v>
                </c:pt>
                <c:pt idx="2">
                  <c:v>10470.03281094554</c:v>
                </c:pt>
                <c:pt idx="3">
                  <c:v>311.83138801231013</c:v>
                </c:pt>
                <c:pt idx="4">
                  <c:v>257.66380443532745</c:v>
                </c:pt>
                <c:pt idx="5">
                  <c:v>938.54624466166695</c:v>
                </c:pt>
                <c:pt idx="6">
                  <c:v>42431.64002564743</c:v>
                </c:pt>
                <c:pt idx="7">
                  <c:v>431.43387226607103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0.21750220445542395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0.21750220445542395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6474</v>
      </c>
      <c r="C9" s="342">
        <v>6748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229.95</v>
      </c>
    </row>
    <row r="15" spans="1:6">
      <c r="A15" s="348" t="s">
        <v>184</v>
      </c>
      <c r="B15" s="334">
        <v>0</v>
      </c>
    </row>
    <row r="16" spans="1:6">
      <c r="A16" s="348" t="s">
        <v>6</v>
      </c>
      <c r="B16" s="334">
        <v>4</v>
      </c>
    </row>
    <row r="17" spans="1:6">
      <c r="A17" s="348" t="s">
        <v>7</v>
      </c>
      <c r="B17" s="334">
        <v>20</v>
      </c>
    </row>
    <row r="18" spans="1:6">
      <c r="A18" s="348" t="s">
        <v>8</v>
      </c>
      <c r="B18" s="334">
        <v>21</v>
      </c>
    </row>
    <row r="19" spans="1:6">
      <c r="A19" s="348" t="s">
        <v>9</v>
      </c>
      <c r="B19" s="334">
        <v>18</v>
      </c>
    </row>
    <row r="20" spans="1:6">
      <c r="A20" s="348" t="s">
        <v>10</v>
      </c>
      <c r="B20" s="334">
        <v>11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8</v>
      </c>
    </row>
    <row r="29" spans="1:6">
      <c r="A29" s="355" t="s">
        <v>744</v>
      </c>
      <c r="B29" s="355">
        <v>135</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4225.8329778376001</v>
      </c>
    </row>
    <row r="39" spans="1:6">
      <c r="A39" s="348" t="s">
        <v>30</v>
      </c>
      <c r="B39" s="348" t="s">
        <v>31</v>
      </c>
      <c r="C39" s="334">
        <v>5119</v>
      </c>
      <c r="D39" s="334">
        <v>92868106.0228668</v>
      </c>
      <c r="E39" s="334">
        <v>6462</v>
      </c>
      <c r="F39" s="334">
        <v>23348881.777786601</v>
      </c>
    </row>
    <row r="40" spans="1:6">
      <c r="A40" s="348" t="s">
        <v>30</v>
      </c>
      <c r="B40" s="348" t="s">
        <v>29</v>
      </c>
      <c r="C40" s="334">
        <v>0</v>
      </c>
      <c r="D40" s="334">
        <v>0</v>
      </c>
      <c r="E40" s="334">
        <v>0</v>
      </c>
      <c r="F40" s="334">
        <v>0</v>
      </c>
    </row>
    <row r="41" spans="1:6">
      <c r="A41" s="348" t="s">
        <v>32</v>
      </c>
      <c r="B41" s="348" t="s">
        <v>33</v>
      </c>
      <c r="C41" s="334">
        <v>55</v>
      </c>
      <c r="D41" s="334">
        <v>1304269.1759249701</v>
      </c>
      <c r="E41" s="334">
        <v>87</v>
      </c>
      <c r="F41" s="334">
        <v>536521.58281623595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60489.205120509498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16387.034510340101</v>
      </c>
    </row>
    <row r="48" spans="1:6">
      <c r="A48" s="348" t="s">
        <v>32</v>
      </c>
      <c r="B48" s="348" t="s">
        <v>29</v>
      </c>
      <c r="C48" s="334">
        <v>18</v>
      </c>
      <c r="D48" s="334">
        <v>490452.45456969802</v>
      </c>
      <c r="E48" s="334">
        <v>24</v>
      </c>
      <c r="F48" s="334">
        <v>318393.79978451802</v>
      </c>
    </row>
    <row r="49" spans="1:6">
      <c r="A49" s="348" t="s">
        <v>32</v>
      </c>
      <c r="B49" s="348" t="s">
        <v>40</v>
      </c>
      <c r="C49" s="334">
        <v>0</v>
      </c>
      <c r="D49" s="334">
        <v>0</v>
      </c>
      <c r="E49" s="334">
        <v>0</v>
      </c>
      <c r="F49" s="334">
        <v>0</v>
      </c>
    </row>
    <row r="50" spans="1:6">
      <c r="A50" s="348" t="s">
        <v>32</v>
      </c>
      <c r="B50" s="348" t="s">
        <v>41</v>
      </c>
      <c r="C50" s="334">
        <v>8</v>
      </c>
      <c r="D50" s="334">
        <v>385356.56027986301</v>
      </c>
      <c r="E50" s="334">
        <v>8</v>
      </c>
      <c r="F50" s="334">
        <v>702079.38039835298</v>
      </c>
    </row>
    <row r="51" spans="1:6">
      <c r="A51" s="348" t="s">
        <v>42</v>
      </c>
      <c r="B51" s="348" t="s">
        <v>43</v>
      </c>
      <c r="C51" s="334">
        <v>0</v>
      </c>
      <c r="D51" s="334">
        <v>0</v>
      </c>
      <c r="E51" s="334">
        <v>7</v>
      </c>
      <c r="F51" s="334">
        <v>41077.542767876301</v>
      </c>
    </row>
    <row r="52" spans="1:6">
      <c r="A52" s="348" t="s">
        <v>42</v>
      </c>
      <c r="B52" s="348" t="s">
        <v>29</v>
      </c>
      <c r="C52" s="334">
        <v>6</v>
      </c>
      <c r="D52" s="334">
        <v>185045.33504072201</v>
      </c>
      <c r="E52" s="334">
        <v>5</v>
      </c>
      <c r="F52" s="334">
        <v>120294.99444215</v>
      </c>
    </row>
    <row r="53" spans="1:6">
      <c r="A53" s="348" t="s">
        <v>44</v>
      </c>
      <c r="B53" s="348" t="s">
        <v>45</v>
      </c>
      <c r="C53" s="334">
        <v>208</v>
      </c>
      <c r="D53" s="334">
        <v>3878870.7213842398</v>
      </c>
      <c r="E53" s="334">
        <v>418</v>
      </c>
      <c r="F53" s="334">
        <v>1346412.92918221</v>
      </c>
    </row>
    <row r="54" spans="1:6">
      <c r="A54" s="348" t="s">
        <v>46</v>
      </c>
      <c r="B54" s="348" t="s">
        <v>47</v>
      </c>
      <c r="C54" s="334">
        <v>0</v>
      </c>
      <c r="D54" s="334">
        <v>0</v>
      </c>
      <c r="E54" s="334">
        <v>1</v>
      </c>
      <c r="F54" s="334">
        <v>1433693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1034234.72438541</v>
      </c>
      <c r="E57" s="334">
        <v>103</v>
      </c>
      <c r="F57" s="334">
        <v>2617329.3180826101</v>
      </c>
    </row>
    <row r="58" spans="1:6">
      <c r="A58" s="348" t="s">
        <v>49</v>
      </c>
      <c r="B58" s="348" t="s">
        <v>51</v>
      </c>
      <c r="C58" s="334">
        <v>39</v>
      </c>
      <c r="D58" s="334">
        <v>1247462.5414027399</v>
      </c>
      <c r="E58" s="334">
        <v>50</v>
      </c>
      <c r="F58" s="334">
        <v>976158.39284401305</v>
      </c>
    </row>
    <row r="59" spans="1:6">
      <c r="A59" s="348" t="s">
        <v>49</v>
      </c>
      <c r="B59" s="348" t="s">
        <v>52</v>
      </c>
      <c r="C59" s="334">
        <v>59</v>
      </c>
      <c r="D59" s="334">
        <v>2676815.8508551</v>
      </c>
      <c r="E59" s="334">
        <v>152</v>
      </c>
      <c r="F59" s="334">
        <v>5464509.4787001899</v>
      </c>
    </row>
    <row r="60" spans="1:6">
      <c r="A60" s="348" t="s">
        <v>49</v>
      </c>
      <c r="B60" s="348" t="s">
        <v>53</v>
      </c>
      <c r="C60" s="334">
        <v>61</v>
      </c>
      <c r="D60" s="334">
        <v>4042707.2303545801</v>
      </c>
      <c r="E60" s="334">
        <v>84</v>
      </c>
      <c r="F60" s="334">
        <v>2466726.29448624</v>
      </c>
    </row>
    <row r="61" spans="1:6">
      <c r="A61" s="348" t="s">
        <v>49</v>
      </c>
      <c r="B61" s="348" t="s">
        <v>54</v>
      </c>
      <c r="C61" s="334">
        <v>227</v>
      </c>
      <c r="D61" s="334">
        <v>10585452.957430599</v>
      </c>
      <c r="E61" s="334">
        <v>397</v>
      </c>
      <c r="F61" s="334">
        <v>4305133.4688894497</v>
      </c>
    </row>
    <row r="62" spans="1:6">
      <c r="A62" s="348" t="s">
        <v>49</v>
      </c>
      <c r="B62" s="348" t="s">
        <v>55</v>
      </c>
      <c r="C62" s="334">
        <v>6</v>
      </c>
      <c r="D62" s="334">
        <v>3605612.1734365402</v>
      </c>
      <c r="E62" s="334">
        <v>9</v>
      </c>
      <c r="F62" s="334">
        <v>697410.70378029696</v>
      </c>
    </row>
    <row r="63" spans="1:6">
      <c r="A63" s="348" t="s">
        <v>49</v>
      </c>
      <c r="B63" s="348" t="s">
        <v>29</v>
      </c>
      <c r="C63" s="334">
        <v>96</v>
      </c>
      <c r="D63" s="334">
        <v>7123957.6326450901</v>
      </c>
      <c r="E63" s="334">
        <v>91</v>
      </c>
      <c r="F63" s="334">
        <v>1891537.8422939901</v>
      </c>
    </row>
    <row r="64" spans="1:6">
      <c r="A64" s="348" t="s">
        <v>56</v>
      </c>
      <c r="B64" s="348" t="s">
        <v>57</v>
      </c>
      <c r="C64" s="334">
        <v>0</v>
      </c>
      <c r="D64" s="334">
        <v>0</v>
      </c>
      <c r="E64" s="334">
        <v>0</v>
      </c>
      <c r="F64" s="334">
        <v>0</v>
      </c>
    </row>
    <row r="65" spans="1:6">
      <c r="A65" s="348" t="s">
        <v>56</v>
      </c>
      <c r="B65" s="348" t="s">
        <v>29</v>
      </c>
      <c r="C65" s="334">
        <v>3</v>
      </c>
      <c r="D65" s="334">
        <v>90454.854044514301</v>
      </c>
      <c r="E65" s="334">
        <v>3</v>
      </c>
      <c r="F65" s="334">
        <v>11193.4870092204</v>
      </c>
    </row>
    <row r="66" spans="1:6">
      <c r="A66" s="348" t="s">
        <v>56</v>
      </c>
      <c r="B66" s="348" t="s">
        <v>58</v>
      </c>
      <c r="C66" s="334">
        <v>0</v>
      </c>
      <c r="D66" s="334">
        <v>0</v>
      </c>
      <c r="E66" s="334">
        <v>3</v>
      </c>
      <c r="F66" s="334">
        <v>268251</v>
      </c>
    </row>
    <row r="67" spans="1:6">
      <c r="A67" s="355" t="s">
        <v>56</v>
      </c>
      <c r="B67" s="355" t="s">
        <v>59</v>
      </c>
      <c r="C67" s="334">
        <v>0</v>
      </c>
      <c r="D67" s="334">
        <v>0</v>
      </c>
      <c r="E67" s="334">
        <v>0</v>
      </c>
      <c r="F67" s="334">
        <v>0</v>
      </c>
    </row>
    <row r="68" spans="1:6">
      <c r="A68" s="341" t="s">
        <v>56</v>
      </c>
      <c r="B68" s="341" t="s">
        <v>60</v>
      </c>
      <c r="C68" s="334">
        <v>7</v>
      </c>
      <c r="D68" s="334">
        <v>66918.390238182095</v>
      </c>
      <c r="E68" s="334">
        <v>9</v>
      </c>
      <c r="F68" s="334">
        <v>46295.934807280399</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44207982</v>
      </c>
      <c r="E73" s="475">
        <v>44835029.697879598</v>
      </c>
    </row>
    <row r="74" spans="1:6">
      <c r="A74" s="348" t="s">
        <v>64</v>
      </c>
      <c r="B74" s="348" t="s">
        <v>657</v>
      </c>
      <c r="C74" s="1295" t="s">
        <v>659</v>
      </c>
      <c r="D74" s="475">
        <v>1001429</v>
      </c>
      <c r="E74" s="475">
        <v>981049.37362020847</v>
      </c>
    </row>
    <row r="75" spans="1:6">
      <c r="A75" s="348" t="s">
        <v>65</v>
      </c>
      <c r="B75" s="348" t="s">
        <v>656</v>
      </c>
      <c r="C75" s="1295" t="s">
        <v>660</v>
      </c>
      <c r="D75" s="475">
        <v>13365437</v>
      </c>
      <c r="E75" s="475">
        <v>13561964.560992908</v>
      </c>
    </row>
    <row r="76" spans="1:6">
      <c r="A76" s="348" t="s">
        <v>65</v>
      </c>
      <c r="B76" s="348" t="s">
        <v>657</v>
      </c>
      <c r="C76" s="1295" t="s">
        <v>661</v>
      </c>
      <c r="D76" s="475">
        <v>131101</v>
      </c>
      <c r="E76" s="475">
        <v>127790.97864184095</v>
      </c>
    </row>
    <row r="77" spans="1:6">
      <c r="A77" s="348" t="s">
        <v>66</v>
      </c>
      <c r="B77" s="348" t="s">
        <v>656</v>
      </c>
      <c r="C77" s="1295" t="s">
        <v>662</v>
      </c>
      <c r="D77" s="475">
        <v>131161262</v>
      </c>
      <c r="E77" s="475">
        <v>135242822.65283743</v>
      </c>
    </row>
    <row r="78" spans="1:6">
      <c r="A78" s="341" t="s">
        <v>66</v>
      </c>
      <c r="B78" s="341" t="s">
        <v>657</v>
      </c>
      <c r="C78" s="341" t="s">
        <v>663</v>
      </c>
      <c r="D78" s="1296">
        <v>15503405</v>
      </c>
      <c r="E78" s="1296">
        <v>15411659.270605873</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463138</v>
      </c>
      <c r="C83" s="475">
        <v>463768.22099136346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725.92493841961243</v>
      </c>
    </row>
    <row r="92" spans="1:6">
      <c r="A92" s="341" t="s">
        <v>69</v>
      </c>
      <c r="B92" s="342">
        <v>20.216743752145664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29</v>
      </c>
    </row>
    <row r="130" spans="1:6">
      <c r="A130" s="348" t="s">
        <v>295</v>
      </c>
      <c r="B130" s="334">
        <v>0</v>
      </c>
    </row>
    <row r="131" spans="1:6">
      <c r="A131" s="348" t="s">
        <v>296</v>
      </c>
      <c r="B131" s="334">
        <v>4</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47143.210533177436</v>
      </c>
      <c r="C3" s="43" t="s">
        <v>170</v>
      </c>
      <c r="D3" s="43"/>
      <c r="E3" s="154"/>
      <c r="F3" s="43"/>
      <c r="G3" s="43"/>
      <c r="H3" s="43"/>
      <c r="I3" s="43"/>
      <c r="J3" s="43"/>
      <c r="K3" s="96"/>
    </row>
    <row r="4" spans="1:11">
      <c r="A4" s="383" t="s">
        <v>171</v>
      </c>
      <c r="B4" s="49">
        <f>IF(ISERROR('SEAP template'!B78),0,'SEAP template'!B78)</f>
        <v>746.14168217175813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0.21750220445542395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1433.693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1433.693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0.21750220445542395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311.83138801231013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23348.881777786602</v>
      </c>
      <c r="C5" s="17">
        <f>IF(ISERROR('Eigen informatie GS &amp; warmtenet'!B57),0,'Eigen informatie GS &amp; warmtenet'!B57)</f>
        <v>0</v>
      </c>
      <c r="D5" s="30">
        <f>(SUM(HH_hh_gas_kWh,HH_rest_gas_kWh)/1000)*0.902</f>
        <v>83767.031632625862</v>
      </c>
      <c r="E5" s="17">
        <f>B46*B57</f>
        <v>1117.766137574755</v>
      </c>
      <c r="F5" s="17">
        <f>B51*B62</f>
        <v>7448.060066757751</v>
      </c>
      <c r="G5" s="18"/>
      <c r="H5" s="17"/>
      <c r="I5" s="17"/>
      <c r="J5" s="17">
        <f>B50*B61+C50*C61</f>
        <v>0</v>
      </c>
      <c r="K5" s="17"/>
      <c r="L5" s="17"/>
      <c r="M5" s="17"/>
      <c r="N5" s="17">
        <f>B48*B59+C48*C59</f>
        <v>1777.6669479853745</v>
      </c>
      <c r="O5" s="17">
        <f>B69*B70*B71</f>
        <v>65.660000000000011</v>
      </c>
      <c r="P5" s="17">
        <f>B77*B78*B79/1000-B77*B78*B79/1000/B80</f>
        <v>286</v>
      </c>
    </row>
    <row r="6" spans="1:16">
      <c r="A6" s="16" t="s">
        <v>621</v>
      </c>
      <c r="B6" s="788">
        <f>kWh_PV_kleiner_dan_10kW</f>
        <v>725.92493841961243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24074.806716206214</v>
      </c>
      <c r="C8" s="21">
        <f>C5</f>
        <v>0</v>
      </c>
      <c r="D8" s="21">
        <f>D5</f>
        <v>83767.031632625862</v>
      </c>
      <c r="E8" s="21">
        <f>E5</f>
        <v>1117.766137574755</v>
      </c>
      <c r="F8" s="21">
        <f>F5</f>
        <v>7448.060066757751</v>
      </c>
      <c r="G8" s="21"/>
      <c r="H8" s="21"/>
      <c r="I8" s="21"/>
      <c r="J8" s="21">
        <f>J5</f>
        <v>0</v>
      </c>
      <c r="K8" s="21"/>
      <c r="L8" s="21">
        <f>L5</f>
        <v>0</v>
      </c>
      <c r="M8" s="21">
        <f>M5</f>
        <v>0</v>
      </c>
      <c r="N8" s="21">
        <f>N5</f>
        <v>1777.6669479853745</v>
      </c>
      <c r="O8" s="21">
        <f>O5</f>
        <v>65.660000000000011</v>
      </c>
      <c r="P8" s="21">
        <f>P5</f>
        <v>286</v>
      </c>
    </row>
    <row r="9" spans="1:16">
      <c r="B9" s="19"/>
      <c r="C9" s="19"/>
      <c r="D9" s="258"/>
      <c r="E9" s="19"/>
      <c r="F9" s="19"/>
      <c r="G9" s="19"/>
      <c r="H9" s="19"/>
      <c r="I9" s="19"/>
      <c r="J9" s="19"/>
      <c r="K9" s="19"/>
      <c r="L9" s="19"/>
      <c r="M9" s="19"/>
      <c r="N9" s="19"/>
      <c r="O9" s="19"/>
      <c r="P9" s="19"/>
    </row>
    <row r="10" spans="1:16">
      <c r="A10" s="24" t="s">
        <v>214</v>
      </c>
      <c r="B10" s="25">
        <f ca="1">'EF ele_warmte'!B12</f>
        <v>0.21750220445542395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5236.323532613098</v>
      </c>
      <c r="C12" s="23">
        <f ca="1">C10*C8</f>
        <v>0</v>
      </c>
      <c r="D12" s="23">
        <f>D8*D10</f>
        <v>16920.940389790427</v>
      </c>
      <c r="E12" s="23">
        <f>E10*E8</f>
        <v>253.7329132294694</v>
      </c>
      <c r="F12" s="23">
        <f>F10*F8</f>
        <v>1988.6320378243197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6474</v>
      </c>
      <c r="C28" s="36"/>
      <c r="D28" s="228"/>
    </row>
    <row r="29" spans="1:7" s="15" customFormat="1">
      <c r="A29" s="230" t="s">
        <v>794</v>
      </c>
      <c r="B29" s="37">
        <f>SUM(HH_hh_gas_aantal,HH_rest_gas_aantal)</f>
        <v>5119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5119</v>
      </c>
      <c r="C32" s="167">
        <f>IF(ISERROR(B32/SUM($B$32,$B$34,$B$35,$B$36,$B$38,$B$39)*100),0,B32/SUM($B$32,$B$34,$B$35,$B$36,$B$38,$B$39)*100)</f>
        <v>79.253754451153426</v>
      </c>
      <c r="D32" s="233"/>
      <c r="G32" s="15"/>
    </row>
    <row r="33" spans="1:7">
      <c r="A33" s="171" t="s">
        <v>72</v>
      </c>
      <c r="B33" s="34" t="s">
        <v>111</v>
      </c>
      <c r="C33" s="167"/>
      <c r="D33" s="233"/>
      <c r="G33" s="15"/>
    </row>
    <row r="34" spans="1:7">
      <c r="A34" s="171" t="s">
        <v>73</v>
      </c>
      <c r="B34" s="33">
        <f>IF((($B$28-$B$32-$B$39-$B$77-$B$38)*C20/100)&lt;0,0,($B$28-$B$32-$B$39-$B$77-$B$38)*C20/100)</f>
        <v>52.790969899665555</v>
      </c>
      <c r="C34" s="167">
        <f>IF(ISERROR(B34/SUM($B$32,$B$34,$B$35,$B$36,$B$38,$B$39)*100),0,B34/SUM($B$32,$B$34,$B$35,$B$36,$B$38,$B$39)*100)</f>
        <v>0.81732419723897742</v>
      </c>
      <c r="D34" s="233"/>
      <c r="G34" s="15"/>
    </row>
    <row r="35" spans="1:7">
      <c r="A35" s="171" t="s">
        <v>74</v>
      </c>
      <c r="B35" s="33">
        <f>IF((($B$28-$B$32-$B$39-$B$77-$B$38)*C21/100)&lt;0,0,($B$28-$B$32-$B$39-$B$77-$B$38)*C21/100)</f>
        <v>974.87324414715704</v>
      </c>
      <c r="C35" s="167">
        <f>IF(ISERROR(B35/SUM($B$32,$B$34,$B$35,$B$36,$B$38,$B$39)*100),0,B35/SUM($B$32,$B$34,$B$35,$B$36,$B$38,$B$39)*100)</f>
        <v>15.093253509013113</v>
      </c>
      <c r="D35" s="233"/>
      <c r="G35" s="15"/>
    </row>
    <row r="36" spans="1:7">
      <c r="A36" s="171" t="s">
        <v>75</v>
      </c>
      <c r="B36" s="33">
        <f>IF((($B$28-$B$32-$B$39-$B$77-$B$38)*C22/100)&lt;0,0,($B$28-$B$32-$B$39-$B$77-$B$38)*C22/100)</f>
        <v>24.635785953177255</v>
      </c>
      <c r="C36" s="167">
        <f>IF(ISERROR(B36/SUM($B$32,$B$34,$B$35,$B$36,$B$38,$B$39)*100),0,B36/SUM($B$32,$B$34,$B$35,$B$36,$B$38,$B$39)*100)</f>
        <v>0.38141795871152273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287.70000000000005</v>
      </c>
      <c r="C39" s="167">
        <f>IF(ISERROR(B39/SUM($B$32,$B$34,$B$35,$B$36,$B$38,$B$39)*100),0,B39/SUM($B$32,$B$34,$B$35,$B$36,$B$38,$B$39)*100)</f>
        <v>4.4542498838829552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5119</v>
      </c>
      <c r="C44" s="34" t="s">
        <v>111</v>
      </c>
      <c r="D44" s="174"/>
    </row>
    <row r="45" spans="1:7">
      <c r="A45" s="171" t="s">
        <v>72</v>
      </c>
      <c r="B45" s="33" t="str">
        <f t="shared" si="0"/>
        <v>-</v>
      </c>
      <c r="C45" s="34" t="s">
        <v>111</v>
      </c>
      <c r="D45" s="174"/>
    </row>
    <row r="46" spans="1:7">
      <c r="A46" s="171" t="s">
        <v>73</v>
      </c>
      <c r="B46" s="33">
        <f t="shared" si="0"/>
        <v>52.790969899665555</v>
      </c>
      <c r="C46" s="34" t="s">
        <v>111</v>
      </c>
      <c r="D46" s="174"/>
    </row>
    <row r="47" spans="1:7">
      <c r="A47" s="171" t="s">
        <v>74</v>
      </c>
      <c r="B47" s="33">
        <f t="shared" si="0"/>
        <v>974.87324414715704</v>
      </c>
      <c r="C47" s="34" t="s">
        <v>111</v>
      </c>
      <c r="D47" s="174"/>
    </row>
    <row r="48" spans="1:7">
      <c r="A48" s="171" t="s">
        <v>75</v>
      </c>
      <c r="B48" s="33">
        <f t="shared" si="0"/>
        <v>24.635785953177255</v>
      </c>
      <c r="C48" s="33">
        <f>B48*10</f>
        <v>246.35785953177253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287.70000000000005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18418.805499076789</v>
      </c>
      <c r="C5" s="17">
        <f>IF(ISERROR('Eigen informatie GS &amp; warmtenet'!B58),0,'Eigen informatie GS &amp; warmtenet'!B58)</f>
        <v>0</v>
      </c>
      <c r="D5" s="30">
        <f>SUM(D6:D12)</f>
        <v>27345.251285680075</v>
      </c>
      <c r="E5" s="17">
        <f>SUM(E6:E12)</f>
        <v>270.73994571399629</v>
      </c>
      <c r="F5" s="17">
        <f>SUM(F6:F12)</f>
        <v>3290.9421392452077</v>
      </c>
      <c r="G5" s="18"/>
      <c r="H5" s="17"/>
      <c r="I5" s="17"/>
      <c r="J5" s="17">
        <f>SUM(J6:J12)</f>
        <v>6.1392366468879508E-2</v>
      </c>
      <c r="K5" s="17"/>
      <c r="L5" s="17"/>
      <c r="M5" s="17"/>
      <c r="N5" s="17">
        <f>SUM(N6:N12)</f>
        <v>2435.1886924298278</v>
      </c>
      <c r="O5" s="17">
        <f>B38*B39*B40</f>
        <v>0</v>
      </c>
      <c r="P5" s="17">
        <f>B46*B47*B48/1000-B46*B47*B48/1000/B49</f>
        <v>76.266666666666666</v>
      </c>
      <c r="R5" s="32"/>
    </row>
    <row r="6" spans="1:18">
      <c r="A6" s="32" t="s">
        <v>54</v>
      </c>
      <c r="B6" s="37">
        <f>B26</f>
        <v>4305.1334688894494</v>
      </c>
      <c r="C6" s="33"/>
      <c r="D6" s="37">
        <f>IF(ISERROR(TER_kantoor_gas_kWh/1000),0,TER_kantoor_gas_kWh/1000)*0.902</f>
        <v>9548.0785676024007</v>
      </c>
      <c r="E6" s="33">
        <f>$C$26*'E Balans VL '!I12/100/3.6*1000000</f>
        <v>2.69831447180395E-2</v>
      </c>
      <c r="F6" s="33">
        <f>$C$26*('E Balans VL '!L12+'E Balans VL '!N12)/100/3.6*1000000</f>
        <v>646.9412634717952</v>
      </c>
      <c r="G6" s="34"/>
      <c r="H6" s="33"/>
      <c r="I6" s="33"/>
      <c r="J6" s="33">
        <f>$C$26*('E Balans VL '!D12+'E Balans VL '!E12)/100/3.6*1000000</f>
        <v>0</v>
      </c>
      <c r="K6" s="33"/>
      <c r="L6" s="33"/>
      <c r="M6" s="33"/>
      <c r="N6" s="33">
        <f>$C$26*'E Balans VL '!Y12/100/3.6*1000000</f>
        <v>4.1172218569056263</v>
      </c>
      <c r="O6" s="33"/>
      <c r="P6" s="33"/>
      <c r="R6" s="32"/>
    </row>
    <row r="7" spans="1:18">
      <c r="A7" s="32" t="s">
        <v>53</v>
      </c>
      <c r="B7" s="37">
        <f t="shared" ref="B7:B12" si="0">B27</f>
        <v>2466.72629448624</v>
      </c>
      <c r="C7" s="33"/>
      <c r="D7" s="37">
        <f>IF(ISERROR(TER_horeca_gas_kWh/1000),0,TER_horeca_gas_kWh/1000)*0.902</f>
        <v>3646.5219217798312</v>
      </c>
      <c r="E7" s="33">
        <f>$C$27*'E Balans VL '!I9/100/3.6*1000000</f>
        <v>35.32310965887816</v>
      </c>
      <c r="F7" s="33">
        <f>$C$27*('E Balans VL '!L9+'E Balans VL '!N9)/100/3.6*1000000</f>
        <v>312.36890464945139</v>
      </c>
      <c r="G7" s="34"/>
      <c r="H7" s="33"/>
      <c r="I7" s="33"/>
      <c r="J7" s="33">
        <f>$C$27*('E Balans VL '!D9+'E Balans VL '!E9)/100/3.6*1000000</f>
        <v>0</v>
      </c>
      <c r="K7" s="33"/>
      <c r="L7" s="33"/>
      <c r="M7" s="33"/>
      <c r="N7" s="33">
        <f>$C$27*'E Balans VL '!Y9/100/3.6*1000000</f>
        <v>0.70912942301853199</v>
      </c>
      <c r="O7" s="33"/>
      <c r="P7" s="33"/>
      <c r="R7" s="32"/>
    </row>
    <row r="8" spans="1:18">
      <c r="A8" s="6" t="s">
        <v>52</v>
      </c>
      <c r="B8" s="37">
        <f t="shared" si="0"/>
        <v>5464.5094787001899</v>
      </c>
      <c r="C8" s="33"/>
      <c r="D8" s="37">
        <f>IF(ISERROR(TER_handel_gas_kWh/1000),0,TER_handel_gas_kWh/1000)*0.902</f>
        <v>2414.4878974713001</v>
      </c>
      <c r="E8" s="33">
        <f>$C$28*'E Balans VL '!I13/100/3.6*1000000</f>
        <v>198.19708493933666</v>
      </c>
      <c r="F8" s="33">
        <f>$C$28*('E Balans VL '!L13+'E Balans VL '!N13)/100/3.6*1000000</f>
        <v>1052.5198572740067</v>
      </c>
      <c r="G8" s="34"/>
      <c r="H8" s="33"/>
      <c r="I8" s="33"/>
      <c r="J8" s="33">
        <f>$C$28*('E Balans VL '!D13+'E Balans VL '!E13)/100/3.6*1000000</f>
        <v>0</v>
      </c>
      <c r="K8" s="33"/>
      <c r="L8" s="33"/>
      <c r="M8" s="33"/>
      <c r="N8" s="33">
        <f>$C$28*'E Balans VL '!Y13/100/3.6*1000000</f>
        <v>7.5696029555556832</v>
      </c>
      <c r="O8" s="33"/>
      <c r="P8" s="33"/>
      <c r="R8" s="32"/>
    </row>
    <row r="9" spans="1:18">
      <c r="A9" s="32" t="s">
        <v>51</v>
      </c>
      <c r="B9" s="37">
        <f t="shared" si="0"/>
        <v>976.15839284401306</v>
      </c>
      <c r="C9" s="33"/>
      <c r="D9" s="37">
        <f>IF(ISERROR(TER_gezond_gas_kWh/1000),0,TER_gezond_gas_kWh/1000)*0.902</f>
        <v>1125.2112123452716</v>
      </c>
      <c r="E9" s="33">
        <f>$C$29*'E Balans VL '!I10/100/3.6*1000000</f>
        <v>6.111715321499115E-2</v>
      </c>
      <c r="F9" s="33">
        <f>$C$29*('E Balans VL '!L10+'E Balans VL '!N10)/100/3.6*1000000</f>
        <v>145.01130137623466</v>
      </c>
      <c r="G9" s="34"/>
      <c r="H9" s="33"/>
      <c r="I9" s="33"/>
      <c r="J9" s="33">
        <f>$C$29*('E Balans VL '!D10+'E Balans VL '!E10)/100/3.6*1000000</f>
        <v>0</v>
      </c>
      <c r="K9" s="33"/>
      <c r="L9" s="33"/>
      <c r="M9" s="33"/>
      <c r="N9" s="33">
        <f>$C$29*'E Balans VL '!Y10/100/3.6*1000000</f>
        <v>15.099312211744619</v>
      </c>
      <c r="O9" s="33"/>
      <c r="P9" s="33"/>
      <c r="R9" s="32"/>
    </row>
    <row r="10" spans="1:18">
      <c r="A10" s="32" t="s">
        <v>50</v>
      </c>
      <c r="B10" s="37">
        <f t="shared" si="0"/>
        <v>2617.3293180826104</v>
      </c>
      <c r="C10" s="33"/>
      <c r="D10" s="37">
        <f>IF(ISERROR(TER_ander_gas_kWh/1000),0,TER_ander_gas_kWh/1000)*0.902</f>
        <v>932.87972139563976</v>
      </c>
      <c r="E10" s="33">
        <f>$C$30*'E Balans VL '!I14/100/3.6*1000000</f>
        <v>3.1197630196080217</v>
      </c>
      <c r="F10" s="33">
        <f>$C$30*('E Balans VL '!L14+'E Balans VL '!N14)/100/3.6*1000000</f>
        <v>684.80970693282302</v>
      </c>
      <c r="G10" s="34"/>
      <c r="H10" s="33"/>
      <c r="I10" s="33"/>
      <c r="J10" s="33">
        <f>$C$30*('E Balans VL '!D14+'E Balans VL '!E14)/100/3.6*1000000</f>
        <v>5.6811959847935557E-2</v>
      </c>
      <c r="K10" s="33"/>
      <c r="L10" s="33"/>
      <c r="M10" s="33"/>
      <c r="N10" s="33">
        <f>$C$30*'E Balans VL '!Y14/100/3.6*1000000</f>
        <v>2222.5720117688388</v>
      </c>
      <c r="O10" s="33"/>
      <c r="P10" s="33"/>
      <c r="R10" s="32"/>
    </row>
    <row r="11" spans="1:18">
      <c r="A11" s="32" t="s">
        <v>55</v>
      </c>
      <c r="B11" s="37">
        <f t="shared" si="0"/>
        <v>697.41070378029701</v>
      </c>
      <c r="C11" s="33"/>
      <c r="D11" s="37">
        <f>IF(ISERROR(TER_onderwijs_gas_kWh/1000),0,TER_onderwijs_gas_kWh/1000)*0.902</f>
        <v>3252.2621804397595</v>
      </c>
      <c r="E11" s="33">
        <f>$C$31*'E Balans VL '!I11/100/3.6*1000000</f>
        <v>10.52280423329325</v>
      </c>
      <c r="F11" s="33">
        <f>$C$31*('E Balans VL '!L11+'E Balans VL '!N11)/100/3.6*1000000</f>
        <v>122.19749676975586</v>
      </c>
      <c r="G11" s="34"/>
      <c r="H11" s="33"/>
      <c r="I11" s="33"/>
      <c r="J11" s="33">
        <f>$C$31*('E Balans VL '!D11+'E Balans VL '!E11)/100/3.6*1000000</f>
        <v>0</v>
      </c>
      <c r="K11" s="33"/>
      <c r="L11" s="33"/>
      <c r="M11" s="33"/>
      <c r="N11" s="33">
        <f>$C$31*'E Balans VL '!Y11/100/3.6*1000000</f>
        <v>1.9625667396185265</v>
      </c>
      <c r="O11" s="33"/>
      <c r="P11" s="33"/>
      <c r="R11" s="32"/>
    </row>
    <row r="12" spans="1:18">
      <c r="A12" s="32" t="s">
        <v>260</v>
      </c>
      <c r="B12" s="37">
        <f t="shared" si="0"/>
        <v>1891.53784229399</v>
      </c>
      <c r="C12" s="33"/>
      <c r="D12" s="37">
        <f>IF(ISERROR(TER_rest_gas_kWh/1000),0,TER_rest_gas_kWh/1000)*0.902</f>
        <v>6425.8097846458713</v>
      </c>
      <c r="E12" s="33">
        <f>$C$32*'E Balans VL '!I8/100/3.6*1000000</f>
        <v>23.489083564947173</v>
      </c>
      <c r="F12" s="33">
        <f>$C$32*('E Balans VL '!L8+'E Balans VL '!N8)/100/3.6*1000000</f>
        <v>327.09360877114057</v>
      </c>
      <c r="G12" s="34"/>
      <c r="H12" s="33"/>
      <c r="I12" s="33"/>
      <c r="J12" s="33">
        <f>$C$32*('E Balans VL '!D8+'E Balans VL '!E8)/100/3.6*1000000</f>
        <v>4.5804066209439538E-3</v>
      </c>
      <c r="K12" s="33"/>
      <c r="L12" s="33"/>
      <c r="M12" s="33"/>
      <c r="N12" s="33">
        <f>$C$32*'E Balans VL '!Y8/100/3.6*1000000</f>
        <v>183.15884747414614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18418.805499076789</v>
      </c>
      <c r="C16" s="21">
        <f t="shared" ca="1" si="1"/>
        <v>0</v>
      </c>
      <c r="D16" s="21">
        <f t="shared" ca="1" si="1"/>
        <v>27345.251285680075</v>
      </c>
      <c r="E16" s="21">
        <f t="shared" si="1"/>
        <v>270.73994571399629</v>
      </c>
      <c r="F16" s="21">
        <f t="shared" ca="1" si="1"/>
        <v>3290.9421392452077</v>
      </c>
      <c r="G16" s="21">
        <f t="shared" si="1"/>
        <v>0</v>
      </c>
      <c r="H16" s="21">
        <f t="shared" si="1"/>
        <v>0</v>
      </c>
      <c r="I16" s="21">
        <f t="shared" si="1"/>
        <v>0</v>
      </c>
      <c r="J16" s="21">
        <f t="shared" si="1"/>
        <v>6.1392366468879508E-2</v>
      </c>
      <c r="K16" s="21">
        <f t="shared" si="1"/>
        <v>0</v>
      </c>
      <c r="L16" s="21">
        <f t="shared" ca="1" si="1"/>
        <v>0</v>
      </c>
      <c r="M16" s="21">
        <f t="shared" si="1"/>
        <v>0</v>
      </c>
      <c r="N16" s="21">
        <f t="shared" ca="1" si="1"/>
        <v>2435.1886924298278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0.21750220445542395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4006.1307994848867</v>
      </c>
      <c r="C20" s="23">
        <f t="shared" ref="C20:P20" ca="1" si="2">C16*C18</f>
        <v>0</v>
      </c>
      <c r="D20" s="23">
        <f t="shared" ca="1" si="2"/>
        <v>5523.7407597073752</v>
      </c>
      <c r="E20" s="23">
        <f t="shared" si="2"/>
        <v>61.457967677077157</v>
      </c>
      <c r="F20" s="23">
        <f t="shared" ca="1" si="2"/>
        <v>878.6815511784705</v>
      </c>
      <c r="G20" s="23">
        <f t="shared" si="2"/>
        <v>0</v>
      </c>
      <c r="H20" s="23">
        <f t="shared" si="2"/>
        <v>0</v>
      </c>
      <c r="I20" s="23">
        <f t="shared" si="2"/>
        <v>0</v>
      </c>
      <c r="J20" s="23">
        <f t="shared" si="2"/>
        <v>2.1732897729983346E-2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4305.1334688894494</v>
      </c>
      <c r="C26" s="39">
        <f>IF(ISERROR(B26*3.6/1000000/'E Balans VL '!Z12*100),0,B26*3.6/1000000/'E Balans VL '!Z12*100)</f>
        <v>9.1003701650031771E-2</v>
      </c>
      <c r="D26" s="237" t="s">
        <v>754</v>
      </c>
      <c r="F26" s="6"/>
    </row>
    <row r="27" spans="1:18">
      <c r="A27" s="231" t="s">
        <v>53</v>
      </c>
      <c r="B27" s="33">
        <f>IF(ISERROR(TER_horeca_ele_kWh/1000),0,TER_horeca_ele_kWh/1000)</f>
        <v>2466.72629448624</v>
      </c>
      <c r="C27" s="39">
        <f>IF(ISERROR(B27*3.6/1000000/'E Balans VL '!Z9*100),0,B27*3.6/1000000/'E Balans VL '!Z9*100)</f>
        <v>0.1944511143985235</v>
      </c>
      <c r="D27" s="237" t="s">
        <v>754</v>
      </c>
      <c r="F27" s="6"/>
    </row>
    <row r="28" spans="1:18">
      <c r="A28" s="171" t="s">
        <v>52</v>
      </c>
      <c r="B28" s="33">
        <f>IF(ISERROR(TER_handel_ele_kWh/1000),0,TER_handel_ele_kWh/1000)</f>
        <v>5464.5094787001899</v>
      </c>
      <c r="C28" s="39">
        <f>IF(ISERROR(B28*3.6/1000000/'E Balans VL '!Z13*100),0,B28*3.6/1000000/'E Balans VL '!Z13*100)</f>
        <v>0.15860214416427054</v>
      </c>
      <c r="D28" s="237" t="s">
        <v>754</v>
      </c>
      <c r="F28" s="6"/>
    </row>
    <row r="29" spans="1:18">
      <c r="A29" s="231" t="s">
        <v>51</v>
      </c>
      <c r="B29" s="33">
        <f>IF(ISERROR(TER_gezond_ele_kWh/1000),0,TER_gezond_ele_kWh/1000)</f>
        <v>976.15839284401306</v>
      </c>
      <c r="C29" s="39">
        <f>IF(ISERROR(B29*3.6/1000000/'E Balans VL '!Z10*100),0,B29*3.6/1000000/'E Balans VL '!Z10*100)</f>
        <v>0.10280550771038723</v>
      </c>
      <c r="D29" s="237" t="s">
        <v>754</v>
      </c>
      <c r="F29" s="6"/>
    </row>
    <row r="30" spans="1:18">
      <c r="A30" s="231" t="s">
        <v>50</v>
      </c>
      <c r="B30" s="33">
        <f>IF(ISERROR(TER_ander_ele_kWh/1000),0,TER_ander_ele_kWh/1000)</f>
        <v>2617.3293180826104</v>
      </c>
      <c r="C30" s="39">
        <f>IF(ISERROR(B30*3.6/1000000/'E Balans VL '!Z14*100),0,B30*3.6/1000000/'E Balans VL '!Z14*100)</f>
        <v>0.19305477898287338</v>
      </c>
      <c r="D30" s="237" t="s">
        <v>754</v>
      </c>
      <c r="F30" s="6"/>
    </row>
    <row r="31" spans="1:18">
      <c r="A31" s="231" t="s">
        <v>55</v>
      </c>
      <c r="B31" s="33">
        <f>IF(ISERROR(TER_onderwijs_ele_kWh/1000),0,TER_onderwijs_ele_kWh/1000)</f>
        <v>697.41070378029701</v>
      </c>
      <c r="C31" s="39">
        <f>IF(ISERROR(B31*3.6/1000000/'E Balans VL '!Z11*100),0,B31*3.6/1000000/'E Balans VL '!Z11*100)</f>
        <v>0.17319974638993638</v>
      </c>
      <c r="D31" s="237" t="s">
        <v>754</v>
      </c>
    </row>
    <row r="32" spans="1:18">
      <c r="A32" s="231" t="s">
        <v>260</v>
      </c>
      <c r="B32" s="33">
        <f>IF(ISERROR(TER_rest_ele_kWh/1000),0,TER_rest_ele_kWh/1000)</f>
        <v>1891.53784229399</v>
      </c>
      <c r="C32" s="39">
        <f>IF(ISERROR(B32*3.6/1000000/'E Balans VL '!Z8*100),0,B32*3.6/1000000/'E Balans VL '!Z8*100)</f>
        <v>1.5564845680819398E-2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1633.8710026299566</v>
      </c>
      <c r="C5" s="17">
        <f>IF(ISERROR('Eigen informatie GS &amp; warmtenet'!B59),0,'Eigen informatie GS &amp; warmtenet'!B59)</f>
        <v>0</v>
      </c>
      <c r="D5" s="30">
        <f>SUM(D6:D15)</f>
        <v>1966.430528078627</v>
      </c>
      <c r="E5" s="17">
        <f>SUM(E6:E15)</f>
        <v>176.48076593752808</v>
      </c>
      <c r="F5" s="17">
        <f>SUM(F6:F15)</f>
        <v>544.91085163444961</v>
      </c>
      <c r="G5" s="18"/>
      <c r="H5" s="17"/>
      <c r="I5" s="17"/>
      <c r="J5" s="17">
        <f>SUM(J6:J15)</f>
        <v>1.1423781575084744</v>
      </c>
      <c r="K5" s="17"/>
      <c r="L5" s="17"/>
      <c r="M5" s="17"/>
      <c r="N5" s="17">
        <f>SUM(N6:N15)</f>
        <v>345.64239306559745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60.489205120509496</v>
      </c>
      <c r="C8" s="33"/>
      <c r="D8" s="37">
        <f>IF( ISERROR(IND_metaal_Gas_kWH/1000),0,IND_metaal_Gas_kWH/1000)*0.902</f>
        <v>0</v>
      </c>
      <c r="E8" s="33">
        <f>C30*'E Balans VL '!I18/100/3.6*1000000</f>
        <v>0.55613982005319362</v>
      </c>
      <c r="F8" s="33">
        <f>C30*'E Balans VL '!L18/100/3.6*1000000+C30*'E Balans VL '!N18/100/3.6*1000000</f>
        <v>5.6718735508102016</v>
      </c>
      <c r="G8" s="34"/>
      <c r="H8" s="33"/>
      <c r="I8" s="33"/>
      <c r="J8" s="40">
        <f>C30*'E Balans VL '!D18/100/3.6*1000000+C30*'E Balans VL '!E18/100/3.6*1000000</f>
        <v>0</v>
      </c>
      <c r="K8" s="33"/>
      <c r="L8" s="33"/>
      <c r="M8" s="33"/>
      <c r="N8" s="33">
        <f>C30*'E Balans VL '!Y18/100/3.6*1000000</f>
        <v>0.86297847366506042</v>
      </c>
      <c r="O8" s="33"/>
      <c r="P8" s="33"/>
      <c r="R8" s="32"/>
    </row>
    <row r="9" spans="1:18">
      <c r="A9" s="6" t="s">
        <v>33</v>
      </c>
      <c r="B9" s="37">
        <f t="shared" si="0"/>
        <v>536.52158281623599</v>
      </c>
      <c r="C9" s="33"/>
      <c r="D9" s="37">
        <f>IF( ISERROR(IND_andere_gas_kWh/1000),0,IND_andere_gas_kWh/1000)*0.902</f>
        <v>1176.450796684323</v>
      </c>
      <c r="E9" s="33">
        <f>C31*'E Balans VL '!I19/100/3.6*1000000</f>
        <v>156.83570350044107</v>
      </c>
      <c r="F9" s="33">
        <f>C31*'E Balans VL '!L19/100/3.6*1000000+C31*'E Balans VL '!N19/100/3.6*1000000</f>
        <v>431.13570274509004</v>
      </c>
      <c r="G9" s="34"/>
      <c r="H9" s="33"/>
      <c r="I9" s="33"/>
      <c r="J9" s="40">
        <f>C31*'E Balans VL '!D19/100/3.6*1000000+C31*'E Balans VL '!E19/100/3.6*1000000</f>
        <v>0</v>
      </c>
      <c r="K9" s="33"/>
      <c r="L9" s="33"/>
      <c r="M9" s="33"/>
      <c r="N9" s="33">
        <f>C31*'E Balans VL '!Y19/100/3.6*1000000</f>
        <v>177.27505182228441</v>
      </c>
      <c r="O9" s="33"/>
      <c r="P9" s="33"/>
      <c r="R9" s="32"/>
    </row>
    <row r="10" spans="1:18">
      <c r="A10" s="6" t="s">
        <v>41</v>
      </c>
      <c r="B10" s="37">
        <f t="shared" si="0"/>
        <v>702.07938039835301</v>
      </c>
      <c r="C10" s="33"/>
      <c r="D10" s="37">
        <f>IF( ISERROR(IND_voed_gas_kWh/1000),0,IND_voed_gas_kWh/1000)*0.902</f>
        <v>347.59161737243642</v>
      </c>
      <c r="E10" s="33">
        <f>C32*'E Balans VL '!I20/100/3.6*1000000</f>
        <v>1.4852598151024392</v>
      </c>
      <c r="F10" s="33">
        <f>C32*'E Balans VL '!L20/100/3.6*1000000+C32*'E Balans VL '!N20/100/3.6*1000000</f>
        <v>44.638924158784171</v>
      </c>
      <c r="G10" s="34"/>
      <c r="H10" s="33"/>
      <c r="I10" s="33"/>
      <c r="J10" s="40">
        <f>C32*'E Balans VL '!D20/100/3.6*1000000+C32*'E Balans VL '!E20/100/3.6*1000000</f>
        <v>0</v>
      </c>
      <c r="K10" s="33"/>
      <c r="L10" s="33"/>
      <c r="M10" s="33"/>
      <c r="N10" s="33">
        <f>C32*'E Balans VL '!Y20/100/3.6*1000000</f>
        <v>48.450405536101954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16.387034510340101</v>
      </c>
      <c r="C13" s="33"/>
      <c r="D13" s="37">
        <f>IF( ISERROR(IND_papier_gas_kWh/1000),0,IND_papier_gas_kWh/1000)*0.902</f>
        <v>0</v>
      </c>
      <c r="E13" s="33">
        <f>C35*'E Balans VL '!I23/100/3.6*1000000</f>
        <v>2.3249454284473298E-2</v>
      </c>
      <c r="F13" s="33">
        <f>C35*'E Balans VL '!L23/100/3.6*1000000+C35*'E Balans VL '!N23/100/3.6*1000000</f>
        <v>0.40006913162002378</v>
      </c>
      <c r="G13" s="34"/>
      <c r="H13" s="33"/>
      <c r="I13" s="33"/>
      <c r="J13" s="40">
        <f>C35*'E Balans VL '!D23/100/3.6*1000000+C35*'E Balans VL '!E23/100/3.6*1000000</f>
        <v>2.5344087378793589E-3</v>
      </c>
      <c r="K13" s="33"/>
      <c r="L13" s="33"/>
      <c r="M13" s="33"/>
      <c r="N13" s="33">
        <f>C35*'E Balans VL '!Y23/100/3.6*1000000</f>
        <v>47.633230244049585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318.39379978451802</v>
      </c>
      <c r="C15" s="33"/>
      <c r="D15" s="37">
        <f>IF( ISERROR(IND_rest_gas_kWh/1000),0,IND_rest_gas_kWh/1000)*0.902</f>
        <v>442.38811402186764</v>
      </c>
      <c r="E15" s="33">
        <f>C37*'E Balans VL '!I15/100/3.6*1000000</f>
        <v>17.580413347646882</v>
      </c>
      <c r="F15" s="33">
        <f>C37*'E Balans VL '!L15/100/3.6*1000000+C37*'E Balans VL '!N15/100/3.6*1000000</f>
        <v>63.064282048145216</v>
      </c>
      <c r="G15" s="34"/>
      <c r="H15" s="33"/>
      <c r="I15" s="33"/>
      <c r="J15" s="40">
        <f>C37*'E Balans VL '!D15/100/3.6*1000000+C37*'E Balans VL '!E15/100/3.6*1000000</f>
        <v>1.139843748770595</v>
      </c>
      <c r="K15" s="33"/>
      <c r="L15" s="33"/>
      <c r="M15" s="33"/>
      <c r="N15" s="33">
        <f>C37*'E Balans VL '!Y15/100/3.6*1000000</f>
        <v>71.420726989496401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1633.8710026299566</v>
      </c>
      <c r="C18" s="21">
        <f>C5+C16</f>
        <v>0</v>
      </c>
      <c r="D18" s="21">
        <f>MAX((D5+D16),0)</f>
        <v>1966.430528078627</v>
      </c>
      <c r="E18" s="21">
        <f>MAX((E5+E16),0)</f>
        <v>176.48076593752808</v>
      </c>
      <c r="F18" s="21">
        <f>MAX((F5+F16),0)</f>
        <v>544.91085163444961</v>
      </c>
      <c r="G18" s="21"/>
      <c r="H18" s="21"/>
      <c r="I18" s="21"/>
      <c r="J18" s="21">
        <f>MAX((J5+J16),0)</f>
        <v>1.1423781575084744</v>
      </c>
      <c r="K18" s="21"/>
      <c r="L18" s="21">
        <f>MAX((L5+L16),0)</f>
        <v>0</v>
      </c>
      <c r="M18" s="21"/>
      <c r="N18" s="21">
        <f>MAX((N5+N16),0)</f>
        <v>345.64239306559745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0.21750220445542395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355.37054486780937</v>
      </c>
      <c r="C22" s="23">
        <f ca="1">C18*C20</f>
        <v>0</v>
      </c>
      <c r="D22" s="23">
        <f>D18*D20</f>
        <v>397.2189666718827</v>
      </c>
      <c r="E22" s="23">
        <f>E18*E20</f>
        <v>40.061133867818874</v>
      </c>
      <c r="F22" s="23">
        <f>F18*F20</f>
        <v>145.49119738639806</v>
      </c>
      <c r="G22" s="23"/>
      <c r="H22" s="23"/>
      <c r="I22" s="23"/>
      <c r="J22" s="23">
        <f>J18*J20</f>
        <v>0.40440186775799991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60.489205120509496</v>
      </c>
      <c r="C30" s="39">
        <f>IF(ISERROR(B30*3.6/1000000/'E Balans VL '!Z18*100),0,B30*3.6/1000000/'E Balans VL '!Z18*100)</f>
        <v>3.4280783586457851E-3</v>
      </c>
      <c r="D30" s="237" t="s">
        <v>754</v>
      </c>
    </row>
    <row r="31" spans="1:18">
      <c r="A31" s="6" t="s">
        <v>33</v>
      </c>
      <c r="B31" s="37">
        <f>IF( ISERROR(IND_ander_ele_kWh/1000),0,IND_ander_ele_kWh/1000)</f>
        <v>536.52158281623599</v>
      </c>
      <c r="C31" s="39">
        <f>IF(ISERROR(B31*3.6/1000000/'E Balans VL '!Z19*100),0,B31*3.6/1000000/'E Balans VL '!Z19*100)</f>
        <v>2.4334384959556348E-2</v>
      </c>
      <c r="D31" s="237" t="s">
        <v>754</v>
      </c>
    </row>
    <row r="32" spans="1:18">
      <c r="A32" s="171" t="s">
        <v>41</v>
      </c>
      <c r="B32" s="37">
        <f>IF( ISERROR(IND_voed_ele_kWh/1000),0,IND_voed_ele_kWh/1000)</f>
        <v>702.07938039835301</v>
      </c>
      <c r="C32" s="39">
        <f>IF(ISERROR(B32*3.6/1000000/'E Balans VL '!Z20*100),0,B32*3.6/1000000/'E Balans VL '!Z20*100)</f>
        <v>2.1718502406997683E-2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16.387034510340101</v>
      </c>
      <c r="C35" s="39">
        <f>IF(ISERROR(B35*3.6/1000000/'E Balans VL '!Z22*100),0,B35*3.6/1000000/'E Balans VL '!Z22*100)</f>
        <v>2.9475162388217105E-3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318.39379978451802</v>
      </c>
      <c r="C37" s="39">
        <f>IF(ISERROR(B37*3.6/1000000/'E Balans VL '!Z15*100),0,B37*3.6/1000000/'E Balans VL '!Z15*100)</f>
        <v>2.5236618880667789E-3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161.37253721002628</v>
      </c>
      <c r="C5" s="17">
        <f>'Eigen informatie GS &amp; warmtenet'!B60</f>
        <v>0</v>
      </c>
      <c r="D5" s="30">
        <f>IF(ISERROR(SUM(LB_lb_gas_kWh,LB_rest_gas_kWh)/1000),0,SUM(LB_lb_gas_kWh,LB_rest_gas_kWh)/1000)*0.902</f>
        <v>166.91089220673126</v>
      </c>
      <c r="E5" s="17">
        <f>B17*'E Balans VL '!I25/3.6*1000000/100</f>
        <v>4.7432317572212552</v>
      </c>
      <c r="F5" s="17">
        <f>B17*('E Balans VL '!L25/3.6*1000000+'E Balans VL '!N25/3.6*1000000)/100</f>
        <v>672.26926990275717</v>
      </c>
      <c r="G5" s="18"/>
      <c r="H5" s="17"/>
      <c r="I5" s="17"/>
      <c r="J5" s="17">
        <f>('E Balans VL '!D25+'E Balans VL '!E25)/3.6*1000000*landbouw!B17/100</f>
        <v>23.379415126826867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161.37253721002628</v>
      </c>
      <c r="C8" s="21">
        <f>C5+C6</f>
        <v>0</v>
      </c>
      <c r="D8" s="21">
        <f>MAX((D5+D6),0)</f>
        <v>166.91089220673126</v>
      </c>
      <c r="E8" s="21">
        <f>MAX((E5+E6),0)</f>
        <v>4.7432317572212552</v>
      </c>
      <c r="F8" s="21">
        <f>MAX((F5+F6),0)</f>
        <v>672.26926990275717</v>
      </c>
      <c r="G8" s="21"/>
      <c r="H8" s="21"/>
      <c r="I8" s="21"/>
      <c r="J8" s="21">
        <f>MAX((J5+J6),0)</f>
        <v>23.379415126826867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0.21750220445542395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35.098882581745649</v>
      </c>
      <c r="C12" s="23">
        <f ca="1">C8*C10</f>
        <v>0</v>
      </c>
      <c r="D12" s="23">
        <f>D8*D10</f>
        <v>33.716000225759714</v>
      </c>
      <c r="E12" s="23">
        <f>E8*E10</f>
        <v>1.0767136088892251</v>
      </c>
      <c r="F12" s="23">
        <f>F8*F10</f>
        <v>179.49589506403618</v>
      </c>
      <c r="G12" s="23"/>
      <c r="H12" s="23"/>
      <c r="I12" s="23"/>
      <c r="J12" s="23">
        <f>J8*J10</f>
        <v>8.27631295489671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2.2899269320997929E-2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7.3280901918987826</v>
      </c>
      <c r="C26" s="247">
        <f>B26*'GWP N2O_CH4'!B5</f>
        <v>153.88989402987443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0.59841859914262674</v>
      </c>
      <c r="C27" s="247">
        <f>B27*'GWP N2O_CH4'!B5</f>
        <v>12.566790581995161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8.2400790092924295E-2</v>
      </c>
      <c r="C28" s="247">
        <f>B28*'GWP N2O_CH4'!B4</f>
        <v>25.544244928806531</v>
      </c>
      <c r="D28" s="50"/>
    </row>
    <row r="29" spans="1:4">
      <c r="A29" s="41" t="s">
        <v>277</v>
      </c>
      <c r="B29" s="247">
        <f>B34*'ha_N2O bodem landbouw'!B4</f>
        <v>1.4961099765351766</v>
      </c>
      <c r="C29" s="247">
        <f>B29*'GWP N2O_CH4'!B4</f>
        <v>463.79409272590476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3.4140714082098059E-4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2.672958559400657E-4</v>
      </c>
      <c r="C5" s="463" t="s">
        <v>211</v>
      </c>
      <c r="D5" s="448">
        <f>SUM(D6:D11)</f>
        <v>8.7155972185149952E-4</v>
      </c>
      <c r="E5" s="448">
        <f>SUM(E6:E11)</f>
        <v>1.3758592454872758E-3</v>
      </c>
      <c r="F5" s="461" t="s">
        <v>211</v>
      </c>
      <c r="G5" s="448">
        <f>SUM(G6:G11)</f>
        <v>0.47529735674202561</v>
      </c>
      <c r="H5" s="448">
        <f>SUM(H6:H11)</f>
        <v>0.1016184630191226</v>
      </c>
      <c r="I5" s="463" t="s">
        <v>211</v>
      </c>
      <c r="J5" s="463" t="s">
        <v>211</v>
      </c>
      <c r="K5" s="463" t="s">
        <v>211</v>
      </c>
      <c r="L5" s="463" t="s">
        <v>211</v>
      </c>
      <c r="M5" s="448">
        <f>SUM(M6:M11)</f>
        <v>3.0767240533308076E-2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6.2609639762355163E-5</v>
      </c>
      <c r="C6" s="449"/>
      <c r="D6" s="892">
        <f>vkm_2011_GW_PW*SUMIFS(TableVerdeelsleutelVkm[CNG],TableVerdeelsleutelVkm[Voertuigtype],"Lichte voertuigen")*SUMIFS(TableECFTransport[EnergieConsumptieFactor (PJ per km)],TableECFTransport[Index],CONCATENATE($A6,"_CNG_CNG"))</f>
        <v>1.8779298462249448E-4</v>
      </c>
      <c r="E6" s="892">
        <f>vkm_2011_GW_PW*SUMIFS(TableVerdeelsleutelVkm[LPG],TableVerdeelsleutelVkm[Voertuigtype],"Lichte voertuigen")*SUMIFS(TableECFTransport[EnergieConsumptieFactor (PJ per km)],TableECFTransport[Index],CONCATENATE($A6,"_LPG_LPG"))</f>
        <v>2.5655219212717306E-4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6.6332636348809551E-2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2.1359291154107059E-2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4.5055468881736614E-3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9.3974588937307257E-3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2.8641545134741171E-6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5.4915579252295336E-4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1.8928825926423261E-5</v>
      </c>
      <c r="C8" s="449"/>
      <c r="D8" s="451">
        <f>vkm_2011_NGW_PW*SUMIFS(TableVerdeelsleutelVkm[CNG],TableVerdeelsleutelVkm[Voertuigtype],"Lichte voertuigen")*SUMIFS(TableECFTransport[EnergieConsumptieFactor (PJ per km)],TableECFTransport[Index],CONCATENATE($A8,"_CNG_CNG"))</f>
        <v>1.0094767703968588E-4</v>
      </c>
      <c r="E8" s="451">
        <f>vkm_2011_NGW_PW*SUMIFS(TableVerdeelsleutelVkm[LPG],TableVerdeelsleutelVkm[Voertuigtype],"Lichte voertuigen")*SUMIFS(TableECFTransport[EnergieConsumptieFactor (PJ per km)],TableECFTransport[Index],CONCATENATE($A8,"_LPG_LPG"))</f>
        <v>1.2771940830385027E-4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3.0773368058028109E-2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1.1157636072261366E-2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2.1270550074486538E-3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1.5774908496337845E-3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4.5261955068243845E-7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9.218241243509086E-5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1.8575739025128728E-4</v>
      </c>
      <c r="C10" s="449"/>
      <c r="D10" s="451">
        <f>vkm_2011_SW_PW*SUMIFS(TableVerdeelsleutelVkm[CNG],TableVerdeelsleutelVkm[Voertuigtype],"Lichte voertuigen")*SUMIFS(TableECFTransport[EnergieConsumptieFactor (PJ per km)],TableECFTransport[Index],CONCATENATE($A10,"_CNG_CNG"))</f>
        <v>5.8281906018931918E-4</v>
      </c>
      <c r="E10" s="451">
        <f>vkm_2011_SW_PW*SUMIFS(TableVerdeelsleutelVkm[LPG],TableVerdeelsleutelVkm[Voertuigtype],"Lichte voertuigen")*SUMIFS(TableECFTransport[EnergieConsumptieFactor (PJ per km)],TableECFTransport[Index],CONCATENATE($A10,"_LPG_LPG"))</f>
        <v>9.9158764505625249E-4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0.2285631988232012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6.9052584292970384E-2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1.5390775433896407E-2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0.13865320376862228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4.5634725719619257E-5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8.1025249988313092E-3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74.248848872240472</v>
      </c>
      <c r="C14" s="21"/>
      <c r="D14" s="21">
        <f t="shared" ref="D14:M14" si="0">((D5)*10^9/3600)+D12</f>
        <v>242.09992273652765</v>
      </c>
      <c r="E14" s="21">
        <f t="shared" si="0"/>
        <v>382.18312374646547</v>
      </c>
      <c r="F14" s="21"/>
      <c r="G14" s="21">
        <f t="shared" si="0"/>
        <v>132027.04353945155</v>
      </c>
      <c r="H14" s="21">
        <f t="shared" si="0"/>
        <v>28227.350838645169</v>
      </c>
      <c r="I14" s="21"/>
      <c r="J14" s="21"/>
      <c r="K14" s="21"/>
      <c r="L14" s="21"/>
      <c r="M14" s="21">
        <f t="shared" si="0"/>
        <v>8546.4557036966889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0.21750220445542395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16.14928830798992</v>
      </c>
      <c r="C18" s="23"/>
      <c r="D18" s="23">
        <f t="shared" ref="D18:M18" si="1">D14*D16</f>
        <v>48.904184392778589</v>
      </c>
      <c r="E18" s="23">
        <f t="shared" si="1"/>
        <v>86.755569090447665</v>
      </c>
      <c r="F18" s="23"/>
      <c r="G18" s="23">
        <f t="shared" si="1"/>
        <v>35251.220625033566</v>
      </c>
      <c r="H18" s="23">
        <f t="shared" si="1"/>
        <v>7028.610358822647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5.8170859181942156E-3</v>
      </c>
      <c r="H50" s="321">
        <f t="shared" si="2"/>
        <v>0</v>
      </c>
      <c r="I50" s="321">
        <f t="shared" si="2"/>
        <v>0</v>
      </c>
      <c r="J50" s="321">
        <f t="shared" si="2"/>
        <v>0</v>
      </c>
      <c r="K50" s="321">
        <f t="shared" si="2"/>
        <v>0</v>
      </c>
      <c r="L50" s="321">
        <f t="shared" si="2"/>
        <v>0</v>
      </c>
      <c r="M50" s="321">
        <f t="shared" si="2"/>
        <v>3.3038480018330999E-4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5.8170859181942156E-3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3.3038480018330999E-4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1615.8571994983934</v>
      </c>
      <c r="H54" s="21">
        <f t="shared" si="3"/>
        <v>0</v>
      </c>
      <c r="I54" s="21">
        <f t="shared" si="3"/>
        <v>0</v>
      </c>
      <c r="J54" s="21">
        <f t="shared" si="3"/>
        <v>0</v>
      </c>
      <c r="K54" s="21">
        <f t="shared" si="3"/>
        <v>0</v>
      </c>
      <c r="L54" s="21">
        <f t="shared" si="3"/>
        <v>0</v>
      </c>
      <c r="M54" s="21">
        <f t="shared" si="3"/>
        <v>91.773555606475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0.21750220445542395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431.43387226607103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19852.498499076788</v>
      </c>
      <c r="D10" s="1013">
        <f ca="1">tertiair!C16</f>
        <v>0</v>
      </c>
      <c r="E10" s="1013">
        <f ca="1">tertiair!D16</f>
        <v>27345.251285680075</v>
      </c>
      <c r="F10" s="1013">
        <f>tertiair!E16</f>
        <v>270.73994571399629</v>
      </c>
      <c r="G10" s="1013">
        <f ca="1">tertiair!F16</f>
        <v>3290.9421392452077</v>
      </c>
      <c r="H10" s="1013">
        <f>tertiair!G16</f>
        <v>0</v>
      </c>
      <c r="I10" s="1013">
        <f>tertiair!H16</f>
        <v>0</v>
      </c>
      <c r="J10" s="1013">
        <f>tertiair!I16</f>
        <v>0</v>
      </c>
      <c r="K10" s="1013">
        <f>tertiair!J16</f>
        <v>6.1392366468879508E-2</v>
      </c>
      <c r="L10" s="1013">
        <f>tertiair!K16</f>
        <v>0</v>
      </c>
      <c r="M10" s="1013">
        <f ca="1">tertiair!L16</f>
        <v>0</v>
      </c>
      <c r="N10" s="1013">
        <f>tertiair!M16</f>
        <v>0</v>
      </c>
      <c r="O10" s="1013">
        <f ca="1">tertiair!N16</f>
        <v>2435.1886924298278</v>
      </c>
      <c r="P10" s="1013">
        <f>tertiair!O16</f>
        <v>0</v>
      </c>
      <c r="Q10" s="1014">
        <f>tertiair!P16</f>
        <v>76.266666666666666</v>
      </c>
      <c r="R10" s="700">
        <f ca="1">SUM(C10:Q10)</f>
        <v>53270.948621179035</v>
      </c>
      <c r="S10" s="67"/>
    </row>
    <row r="11" spans="1:19" s="473" customFormat="1">
      <c r="A11" s="809" t="s">
        <v>225</v>
      </c>
      <c r="B11" s="814"/>
      <c r="C11" s="1013">
        <f>huishoudens!B8</f>
        <v>24074.806716206214</v>
      </c>
      <c r="D11" s="1013">
        <f>huishoudens!C8</f>
        <v>0</v>
      </c>
      <c r="E11" s="1013">
        <f>huishoudens!D8</f>
        <v>83767.031632625862</v>
      </c>
      <c r="F11" s="1013">
        <f>huishoudens!E8</f>
        <v>1117.766137574755</v>
      </c>
      <c r="G11" s="1013">
        <f>huishoudens!F8</f>
        <v>7448.060066757751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1777.6669479853745</v>
      </c>
      <c r="P11" s="1013">
        <f>huishoudens!O8</f>
        <v>65.660000000000011</v>
      </c>
      <c r="Q11" s="1014">
        <f>huishoudens!P8</f>
        <v>286</v>
      </c>
      <c r="R11" s="700">
        <f>SUM(C11:Q11)</f>
        <v>118536.99150114995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1633.8710026299566</v>
      </c>
      <c r="D13" s="1013">
        <f>industrie!C18</f>
        <v>0</v>
      </c>
      <c r="E13" s="1013">
        <f>industrie!D18</f>
        <v>1966.430528078627</v>
      </c>
      <c r="F13" s="1013">
        <f>industrie!E18</f>
        <v>176.48076593752808</v>
      </c>
      <c r="G13" s="1013">
        <f>industrie!F18</f>
        <v>544.91085163444961</v>
      </c>
      <c r="H13" s="1013">
        <f>industrie!G18</f>
        <v>0</v>
      </c>
      <c r="I13" s="1013">
        <f>industrie!H18</f>
        <v>0</v>
      </c>
      <c r="J13" s="1013">
        <f>industrie!I18</f>
        <v>0</v>
      </c>
      <c r="K13" s="1013">
        <f>industrie!J18</f>
        <v>1.1423781575084744</v>
      </c>
      <c r="L13" s="1013">
        <f>industrie!K18</f>
        <v>0</v>
      </c>
      <c r="M13" s="1013">
        <f>industrie!L18</f>
        <v>0</v>
      </c>
      <c r="N13" s="1013">
        <f>industrie!M18</f>
        <v>0</v>
      </c>
      <c r="O13" s="1013">
        <f>industrie!N18</f>
        <v>345.64239306559745</v>
      </c>
      <c r="P13" s="1013">
        <f>industrie!O18</f>
        <v>0</v>
      </c>
      <c r="Q13" s="1014">
        <f>industrie!P18</f>
        <v>0</v>
      </c>
      <c r="R13" s="700">
        <f>SUM(C13:Q13)</f>
        <v>4668.4779195036672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45561.176217912966</v>
      </c>
      <c r="D16" s="732">
        <f t="shared" ref="D16:R16" ca="1" si="0">SUM(D9:D15)</f>
        <v>0</v>
      </c>
      <c r="E16" s="732">
        <f t="shared" ca="1" si="0"/>
        <v>113078.71344638456</v>
      </c>
      <c r="F16" s="732">
        <f t="shared" si="0"/>
        <v>1564.9868492262794</v>
      </c>
      <c r="G16" s="732">
        <f t="shared" ca="1" si="0"/>
        <v>11283.913057637408</v>
      </c>
      <c r="H16" s="732">
        <f t="shared" si="0"/>
        <v>0</v>
      </c>
      <c r="I16" s="732">
        <f t="shared" si="0"/>
        <v>0</v>
      </c>
      <c r="J16" s="732">
        <f t="shared" si="0"/>
        <v>0</v>
      </c>
      <c r="K16" s="732">
        <f t="shared" si="0"/>
        <v>1.203770523977354</v>
      </c>
      <c r="L16" s="732">
        <f t="shared" si="0"/>
        <v>0</v>
      </c>
      <c r="M16" s="732">
        <f t="shared" ca="1" si="0"/>
        <v>0</v>
      </c>
      <c r="N16" s="732">
        <f t="shared" si="0"/>
        <v>0</v>
      </c>
      <c r="O16" s="732">
        <f t="shared" ca="1" si="0"/>
        <v>4558.4980334807997</v>
      </c>
      <c r="P16" s="732">
        <f t="shared" si="0"/>
        <v>65.660000000000011</v>
      </c>
      <c r="Q16" s="732">
        <f t="shared" si="0"/>
        <v>362.26666666666665</v>
      </c>
      <c r="R16" s="732">
        <f t="shared" ca="1" si="0"/>
        <v>176476.41804183266</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1615.8571994983934</v>
      </c>
      <c r="I19" s="1013">
        <f>transport!H54</f>
        <v>0</v>
      </c>
      <c r="J19" s="1013">
        <f>transport!I54</f>
        <v>0</v>
      </c>
      <c r="K19" s="1013">
        <f>transport!J54</f>
        <v>0</v>
      </c>
      <c r="L19" s="1013">
        <f>transport!K54</f>
        <v>0</v>
      </c>
      <c r="M19" s="1013">
        <f>transport!L54</f>
        <v>0</v>
      </c>
      <c r="N19" s="1013">
        <f>transport!M54</f>
        <v>91.773555606475</v>
      </c>
      <c r="O19" s="1013">
        <f>transport!N54</f>
        <v>0</v>
      </c>
      <c r="P19" s="1013">
        <f>transport!O54</f>
        <v>0</v>
      </c>
      <c r="Q19" s="1014">
        <f>transport!P54</f>
        <v>0</v>
      </c>
      <c r="R19" s="700">
        <f>SUM(C19:Q19)</f>
        <v>1707.6307551048683</v>
      </c>
      <c r="S19" s="67"/>
    </row>
    <row r="20" spans="1:19" s="473" customFormat="1">
      <c r="A20" s="809" t="s">
        <v>307</v>
      </c>
      <c r="B20" s="814"/>
      <c r="C20" s="1013">
        <f>transport!B14</f>
        <v>74.248848872240472</v>
      </c>
      <c r="D20" s="1013">
        <f>transport!C14</f>
        <v>0</v>
      </c>
      <c r="E20" s="1013">
        <f>transport!D14</f>
        <v>242.09992273652765</v>
      </c>
      <c r="F20" s="1013">
        <f>transport!E14</f>
        <v>382.18312374646547</v>
      </c>
      <c r="G20" s="1013">
        <f>transport!F14</f>
        <v>0</v>
      </c>
      <c r="H20" s="1013">
        <f>transport!G14</f>
        <v>132027.04353945155</v>
      </c>
      <c r="I20" s="1013">
        <f>transport!H14</f>
        <v>28227.350838645169</v>
      </c>
      <c r="J20" s="1013">
        <f>transport!I14</f>
        <v>0</v>
      </c>
      <c r="K20" s="1013">
        <f>transport!J14</f>
        <v>0</v>
      </c>
      <c r="L20" s="1013">
        <f>transport!K14</f>
        <v>0</v>
      </c>
      <c r="M20" s="1013">
        <f>transport!L14</f>
        <v>0</v>
      </c>
      <c r="N20" s="1013">
        <f>transport!M14</f>
        <v>8546.4557036966889</v>
      </c>
      <c r="O20" s="1013">
        <f>transport!N14</f>
        <v>0</v>
      </c>
      <c r="P20" s="1013">
        <f>transport!O14</f>
        <v>0</v>
      </c>
      <c r="Q20" s="1014">
        <f>transport!P14</f>
        <v>0</v>
      </c>
      <c r="R20" s="700">
        <f>SUM(C20:Q20)</f>
        <v>169499.38197714865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74.248848872240472</v>
      </c>
      <c r="D22" s="812">
        <f t="shared" ref="D22:R22" si="1">SUM(D18:D21)</f>
        <v>0</v>
      </c>
      <c r="E22" s="812">
        <f t="shared" si="1"/>
        <v>242.09992273652765</v>
      </c>
      <c r="F22" s="812">
        <f t="shared" si="1"/>
        <v>382.18312374646547</v>
      </c>
      <c r="G22" s="812">
        <f t="shared" si="1"/>
        <v>0</v>
      </c>
      <c r="H22" s="812">
        <f t="shared" si="1"/>
        <v>133642.90073894995</v>
      </c>
      <c r="I22" s="812">
        <f t="shared" si="1"/>
        <v>28227.350838645169</v>
      </c>
      <c r="J22" s="812">
        <f t="shared" si="1"/>
        <v>0</v>
      </c>
      <c r="K22" s="812">
        <f t="shared" si="1"/>
        <v>0</v>
      </c>
      <c r="L22" s="812">
        <f t="shared" si="1"/>
        <v>0</v>
      </c>
      <c r="M22" s="812">
        <f t="shared" si="1"/>
        <v>0</v>
      </c>
      <c r="N22" s="812">
        <f t="shared" si="1"/>
        <v>8638.2292593031634</v>
      </c>
      <c r="O22" s="812">
        <f t="shared" si="1"/>
        <v>0</v>
      </c>
      <c r="P22" s="812">
        <f t="shared" si="1"/>
        <v>0</v>
      </c>
      <c r="Q22" s="812">
        <f t="shared" si="1"/>
        <v>0</v>
      </c>
      <c r="R22" s="812">
        <f t="shared" si="1"/>
        <v>171207.01273225353</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161.37253721002628</v>
      </c>
      <c r="D24" s="1013">
        <f>+landbouw!C8</f>
        <v>0</v>
      </c>
      <c r="E24" s="1013">
        <f>+landbouw!D8</f>
        <v>166.91089220673126</v>
      </c>
      <c r="F24" s="1013">
        <f>+landbouw!E8</f>
        <v>4.7432317572212552</v>
      </c>
      <c r="G24" s="1013">
        <f>+landbouw!F8</f>
        <v>672.26926990275717</v>
      </c>
      <c r="H24" s="1013">
        <f>+landbouw!G8</f>
        <v>0</v>
      </c>
      <c r="I24" s="1013">
        <f>+landbouw!H8</f>
        <v>0</v>
      </c>
      <c r="J24" s="1013">
        <f>+landbouw!I8</f>
        <v>0</v>
      </c>
      <c r="K24" s="1013">
        <f>+landbouw!J8</f>
        <v>23.379415126826867</v>
      </c>
      <c r="L24" s="1013">
        <f>+landbouw!K8</f>
        <v>0</v>
      </c>
      <c r="M24" s="1013">
        <f>+landbouw!L8</f>
        <v>0</v>
      </c>
      <c r="N24" s="1013">
        <f>+landbouw!M8</f>
        <v>0</v>
      </c>
      <c r="O24" s="1013">
        <f>+landbouw!N8</f>
        <v>0</v>
      </c>
      <c r="P24" s="1013">
        <f>+landbouw!O8</f>
        <v>0</v>
      </c>
      <c r="Q24" s="1014">
        <f>+landbouw!P8</f>
        <v>0</v>
      </c>
      <c r="R24" s="700">
        <f>SUM(C24:Q24)</f>
        <v>1028.6753462035629</v>
      </c>
      <c r="S24" s="67"/>
    </row>
    <row r="25" spans="1:19" s="473" customFormat="1" ht="15" thickBot="1">
      <c r="A25" s="831" t="s">
        <v>836</v>
      </c>
      <c r="B25" s="1016"/>
      <c r="C25" s="1017">
        <f>IF(Onbekend_ele_kWh="---",0,Onbekend_ele_kWh)/1000+IF(REST_rest_ele_kWh="---",0,REST_rest_ele_kWh)/1000</f>
        <v>1346.4129291822101</v>
      </c>
      <c r="D25" s="1017"/>
      <c r="E25" s="1017">
        <f>IF(onbekend_gas_kWh="---",0,onbekend_gas_kWh)/1000+IF(REST_rest_gas_kWh="---",0,REST_rest_gas_kWh)/1000</f>
        <v>3878.8707213842399</v>
      </c>
      <c r="F25" s="1017"/>
      <c r="G25" s="1017"/>
      <c r="H25" s="1017"/>
      <c r="I25" s="1017"/>
      <c r="J25" s="1017"/>
      <c r="K25" s="1017"/>
      <c r="L25" s="1017"/>
      <c r="M25" s="1017"/>
      <c r="N25" s="1017"/>
      <c r="O25" s="1017"/>
      <c r="P25" s="1017"/>
      <c r="Q25" s="1018"/>
      <c r="R25" s="700">
        <f>SUM(C25:Q25)</f>
        <v>5225.28365056645</v>
      </c>
      <c r="S25" s="67"/>
    </row>
    <row r="26" spans="1:19" s="473" customFormat="1" ht="15.75" thickBot="1">
      <c r="A26" s="705" t="s">
        <v>837</v>
      </c>
      <c r="B26" s="817"/>
      <c r="C26" s="812">
        <f>SUM(C24:C25)</f>
        <v>1507.7854663922362</v>
      </c>
      <c r="D26" s="812">
        <f t="shared" ref="D26:R26" si="2">SUM(D24:D25)</f>
        <v>0</v>
      </c>
      <c r="E26" s="812">
        <f t="shared" si="2"/>
        <v>4045.7816135909711</v>
      </c>
      <c r="F26" s="812">
        <f t="shared" si="2"/>
        <v>4.7432317572212552</v>
      </c>
      <c r="G26" s="812">
        <f t="shared" si="2"/>
        <v>672.26926990275717</v>
      </c>
      <c r="H26" s="812">
        <f t="shared" si="2"/>
        <v>0</v>
      </c>
      <c r="I26" s="812">
        <f t="shared" si="2"/>
        <v>0</v>
      </c>
      <c r="J26" s="812">
        <f t="shared" si="2"/>
        <v>0</v>
      </c>
      <c r="K26" s="812">
        <f t="shared" si="2"/>
        <v>23.379415126826867</v>
      </c>
      <c r="L26" s="812">
        <f t="shared" si="2"/>
        <v>0</v>
      </c>
      <c r="M26" s="812">
        <f t="shared" si="2"/>
        <v>0</v>
      </c>
      <c r="N26" s="812">
        <f t="shared" si="2"/>
        <v>0</v>
      </c>
      <c r="O26" s="812">
        <f t="shared" si="2"/>
        <v>0</v>
      </c>
      <c r="P26" s="812">
        <f t="shared" si="2"/>
        <v>0</v>
      </c>
      <c r="Q26" s="812">
        <f t="shared" si="2"/>
        <v>0</v>
      </c>
      <c r="R26" s="812">
        <f t="shared" si="2"/>
        <v>6253.9589967700131</v>
      </c>
      <c r="S26" s="67"/>
    </row>
    <row r="27" spans="1:19" s="473" customFormat="1" ht="17.25" thickTop="1" thickBot="1">
      <c r="A27" s="706" t="s">
        <v>116</v>
      </c>
      <c r="B27" s="805"/>
      <c r="C27" s="707">
        <f ca="1">C22+C16+C26</f>
        <v>47143.210533177436</v>
      </c>
      <c r="D27" s="707">
        <f t="shared" ref="D27:R27" ca="1" si="3">D22+D16+D26</f>
        <v>0</v>
      </c>
      <c r="E27" s="707">
        <f t="shared" ca="1" si="3"/>
        <v>117366.59498271205</v>
      </c>
      <c r="F27" s="707">
        <f t="shared" si="3"/>
        <v>1951.9132047299663</v>
      </c>
      <c r="G27" s="707">
        <f t="shared" ca="1" si="3"/>
        <v>11956.182327540166</v>
      </c>
      <c r="H27" s="707">
        <f t="shared" si="3"/>
        <v>133642.90073894995</v>
      </c>
      <c r="I27" s="707">
        <f t="shared" si="3"/>
        <v>28227.350838645169</v>
      </c>
      <c r="J27" s="707">
        <f t="shared" si="3"/>
        <v>0</v>
      </c>
      <c r="K27" s="707">
        <f t="shared" si="3"/>
        <v>24.583185650804221</v>
      </c>
      <c r="L27" s="707">
        <f t="shared" si="3"/>
        <v>0</v>
      </c>
      <c r="M27" s="707">
        <f t="shared" ca="1" si="3"/>
        <v>0</v>
      </c>
      <c r="N27" s="707">
        <f t="shared" si="3"/>
        <v>8638.2292593031634</v>
      </c>
      <c r="O27" s="707">
        <f t="shared" ca="1" si="3"/>
        <v>4558.4980334807997</v>
      </c>
      <c r="P27" s="707">
        <f t="shared" si="3"/>
        <v>65.660000000000011</v>
      </c>
      <c r="Q27" s="707">
        <f t="shared" si="3"/>
        <v>362.26666666666665</v>
      </c>
      <c r="R27" s="707">
        <f t="shared" ca="1" si="3"/>
        <v>353937.38977085619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4317.9621874971972</v>
      </c>
      <c r="D40" s="1013">
        <f ca="1">tertiair!C20</f>
        <v>0</v>
      </c>
      <c r="E40" s="1013">
        <f ca="1">tertiair!D20</f>
        <v>5523.7407597073752</v>
      </c>
      <c r="F40" s="1013">
        <f>tertiair!E20</f>
        <v>61.457967677077157</v>
      </c>
      <c r="G40" s="1013">
        <f ca="1">tertiair!F20</f>
        <v>878.6815511784705</v>
      </c>
      <c r="H40" s="1013">
        <f>tertiair!G20</f>
        <v>0</v>
      </c>
      <c r="I40" s="1013">
        <f>tertiair!H20</f>
        <v>0</v>
      </c>
      <c r="J40" s="1013">
        <f>tertiair!I20</f>
        <v>0</v>
      </c>
      <c r="K40" s="1013">
        <f>tertiair!J20</f>
        <v>2.1732897729983346E-2</v>
      </c>
      <c r="L40" s="1013">
        <f>tertiair!K20</f>
        <v>0</v>
      </c>
      <c r="M40" s="1013">
        <f ca="1">tertiair!L20</f>
        <v>0</v>
      </c>
      <c r="N40" s="1013">
        <f>tertiair!M20</f>
        <v>0</v>
      </c>
      <c r="O40" s="1013">
        <f ca="1">tertiair!N20</f>
        <v>0</v>
      </c>
      <c r="P40" s="1013">
        <f>tertiair!O20</f>
        <v>0</v>
      </c>
      <c r="Q40" s="774">
        <f>tertiair!P20</f>
        <v>0</v>
      </c>
      <c r="R40" s="850">
        <f t="shared" ca="1" si="4"/>
        <v>10781.86419895785</v>
      </c>
    </row>
    <row r="41" spans="1:18">
      <c r="A41" s="822" t="s">
        <v>225</v>
      </c>
      <c r="B41" s="829"/>
      <c r="C41" s="1013">
        <f ca="1">huishoudens!B12</f>
        <v>5236.323532613098</v>
      </c>
      <c r="D41" s="1013">
        <f ca="1">huishoudens!C12</f>
        <v>0</v>
      </c>
      <c r="E41" s="1013">
        <f>huishoudens!D12</f>
        <v>16920.940389790427</v>
      </c>
      <c r="F41" s="1013">
        <f>huishoudens!E12</f>
        <v>253.7329132294694</v>
      </c>
      <c r="G41" s="1013">
        <f>huishoudens!F12</f>
        <v>1988.6320378243197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24399.62887345731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355.37054486780937</v>
      </c>
      <c r="D43" s="1013">
        <f ca="1">industrie!C22</f>
        <v>0</v>
      </c>
      <c r="E43" s="1013">
        <f>industrie!D22</f>
        <v>397.2189666718827</v>
      </c>
      <c r="F43" s="1013">
        <f>industrie!E22</f>
        <v>40.061133867818874</v>
      </c>
      <c r="G43" s="1013">
        <f>industrie!F22</f>
        <v>145.49119738639806</v>
      </c>
      <c r="H43" s="1013">
        <f>industrie!G22</f>
        <v>0</v>
      </c>
      <c r="I43" s="1013">
        <f>industrie!H22</f>
        <v>0</v>
      </c>
      <c r="J43" s="1013">
        <f>industrie!I22</f>
        <v>0</v>
      </c>
      <c r="K43" s="1013">
        <f>industrie!J22</f>
        <v>0.40440186775799991</v>
      </c>
      <c r="L43" s="1013">
        <f>industrie!K22</f>
        <v>0</v>
      </c>
      <c r="M43" s="1013">
        <f>industrie!L22</f>
        <v>0</v>
      </c>
      <c r="N43" s="1013">
        <f>industrie!M22</f>
        <v>0</v>
      </c>
      <c r="O43" s="1013">
        <f>industrie!N22</f>
        <v>0</v>
      </c>
      <c r="P43" s="1013">
        <f>industrie!O22</f>
        <v>0</v>
      </c>
      <c r="Q43" s="774">
        <f>industrie!P22</f>
        <v>0</v>
      </c>
      <c r="R43" s="849">
        <f t="shared" ca="1" si="4"/>
        <v>938.54624466166695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9909.6562649781063</v>
      </c>
      <c r="D46" s="732">
        <f t="shared" ref="D46:Q46" ca="1" si="5">SUM(D39:D45)</f>
        <v>0</v>
      </c>
      <c r="E46" s="732">
        <f t="shared" ca="1" si="5"/>
        <v>22841.900116169687</v>
      </c>
      <c r="F46" s="732">
        <f t="shared" si="5"/>
        <v>355.25201477436542</v>
      </c>
      <c r="G46" s="732">
        <f t="shared" ca="1" si="5"/>
        <v>3012.8047863891884</v>
      </c>
      <c r="H46" s="732">
        <f t="shared" si="5"/>
        <v>0</v>
      </c>
      <c r="I46" s="732">
        <f t="shared" si="5"/>
        <v>0</v>
      </c>
      <c r="J46" s="732">
        <f t="shared" si="5"/>
        <v>0</v>
      </c>
      <c r="K46" s="732">
        <f t="shared" si="5"/>
        <v>0.42613476548798324</v>
      </c>
      <c r="L46" s="732">
        <f t="shared" si="5"/>
        <v>0</v>
      </c>
      <c r="M46" s="732">
        <f t="shared" ca="1" si="5"/>
        <v>0</v>
      </c>
      <c r="N46" s="732">
        <f t="shared" si="5"/>
        <v>0</v>
      </c>
      <c r="O46" s="732">
        <f t="shared" ca="1" si="5"/>
        <v>0</v>
      </c>
      <c r="P46" s="732">
        <f t="shared" si="5"/>
        <v>0</v>
      </c>
      <c r="Q46" s="732">
        <f t="shared" si="5"/>
        <v>0</v>
      </c>
      <c r="R46" s="732">
        <f ca="1">SUM(R39:R45)</f>
        <v>36120.039317076829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431.43387226607103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431.43387226607103</v>
      </c>
    </row>
    <row r="50" spans="1:18">
      <c r="A50" s="825" t="s">
        <v>307</v>
      </c>
      <c r="B50" s="835"/>
      <c r="C50" s="703">
        <f ca="1">transport!B18</f>
        <v>16.14928830798992</v>
      </c>
      <c r="D50" s="703">
        <f>transport!C18</f>
        <v>0</v>
      </c>
      <c r="E50" s="703">
        <f>transport!D18</f>
        <v>48.904184392778589</v>
      </c>
      <c r="F50" s="703">
        <f>transport!E18</f>
        <v>86.755569090447665</v>
      </c>
      <c r="G50" s="703">
        <f>transport!F18</f>
        <v>0</v>
      </c>
      <c r="H50" s="703">
        <f>transport!G18</f>
        <v>35251.220625033566</v>
      </c>
      <c r="I50" s="703">
        <f>transport!H18</f>
        <v>7028.610358822647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42431.64002564743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16.14928830798992</v>
      </c>
      <c r="D52" s="732">
        <f t="shared" ref="D52:Q52" ca="1" si="6">SUM(D48:D51)</f>
        <v>0</v>
      </c>
      <c r="E52" s="732">
        <f t="shared" si="6"/>
        <v>48.904184392778589</v>
      </c>
      <c r="F52" s="732">
        <f t="shared" si="6"/>
        <v>86.755569090447665</v>
      </c>
      <c r="G52" s="732">
        <f t="shared" si="6"/>
        <v>0</v>
      </c>
      <c r="H52" s="732">
        <f t="shared" si="6"/>
        <v>35682.654497299634</v>
      </c>
      <c r="I52" s="732">
        <f t="shared" si="6"/>
        <v>7028.610358822647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42863.073897913499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35.098882581745649</v>
      </c>
      <c r="D54" s="703">
        <f ca="1">+landbouw!C12</f>
        <v>0</v>
      </c>
      <c r="E54" s="703">
        <f>+landbouw!D12</f>
        <v>33.716000225759714</v>
      </c>
      <c r="F54" s="703">
        <f>+landbouw!E12</f>
        <v>1.0767136088892251</v>
      </c>
      <c r="G54" s="703">
        <f>+landbouw!F12</f>
        <v>179.49589506403618</v>
      </c>
      <c r="H54" s="703">
        <f>+landbouw!G12</f>
        <v>0</v>
      </c>
      <c r="I54" s="703">
        <f>+landbouw!H12</f>
        <v>0</v>
      </c>
      <c r="J54" s="703">
        <f>+landbouw!I12</f>
        <v>0</v>
      </c>
      <c r="K54" s="703">
        <f>+landbouw!J12</f>
        <v>8.27631295489671</v>
      </c>
      <c r="L54" s="703">
        <f>+landbouw!K12</f>
        <v>0</v>
      </c>
      <c r="M54" s="703">
        <f>+landbouw!L12</f>
        <v>0</v>
      </c>
      <c r="N54" s="703">
        <f>+landbouw!M12</f>
        <v>0</v>
      </c>
      <c r="O54" s="703">
        <f>+landbouw!N12</f>
        <v>0</v>
      </c>
      <c r="P54" s="703">
        <f>+landbouw!O12</f>
        <v>0</v>
      </c>
      <c r="Q54" s="704">
        <f>+landbouw!P12</f>
        <v>0</v>
      </c>
      <c r="R54" s="731">
        <f ca="1">SUM(C54:Q54)</f>
        <v>257.66380443532745</v>
      </c>
    </row>
    <row r="55" spans="1:18" ht="15" thickBot="1">
      <c r="A55" s="825" t="s">
        <v>836</v>
      </c>
      <c r="B55" s="835"/>
      <c r="C55" s="703">
        <f ca="1">C25*'EF ele_warmte'!B12</f>
        <v>292.8477802044153</v>
      </c>
      <c r="D55" s="703"/>
      <c r="E55" s="703">
        <f>E25*EF_CO2_aardgas</f>
        <v>783.53188571961653</v>
      </c>
      <c r="F55" s="703"/>
      <c r="G55" s="703"/>
      <c r="H55" s="703"/>
      <c r="I55" s="703"/>
      <c r="J55" s="703"/>
      <c r="K55" s="703"/>
      <c r="L55" s="703"/>
      <c r="M55" s="703"/>
      <c r="N55" s="703"/>
      <c r="O55" s="703"/>
      <c r="P55" s="703"/>
      <c r="Q55" s="704"/>
      <c r="R55" s="731">
        <f ca="1">SUM(C55:Q55)</f>
        <v>1076.3796659240318</v>
      </c>
    </row>
    <row r="56" spans="1:18" ht="15.75" thickBot="1">
      <c r="A56" s="823" t="s">
        <v>837</v>
      </c>
      <c r="B56" s="836"/>
      <c r="C56" s="732">
        <f ca="1">SUM(C54:C55)</f>
        <v>327.94666278616097</v>
      </c>
      <c r="D56" s="732">
        <f t="shared" ref="D56:Q56" ca="1" si="7">SUM(D54:D55)</f>
        <v>0</v>
      </c>
      <c r="E56" s="732">
        <f t="shared" si="7"/>
        <v>817.2478859453762</v>
      </c>
      <c r="F56" s="732">
        <f t="shared" si="7"/>
        <v>1.0767136088892251</v>
      </c>
      <c r="G56" s="732">
        <f t="shared" si="7"/>
        <v>179.49589506403618</v>
      </c>
      <c r="H56" s="732">
        <f t="shared" si="7"/>
        <v>0</v>
      </c>
      <c r="I56" s="732">
        <f t="shared" si="7"/>
        <v>0</v>
      </c>
      <c r="J56" s="732">
        <f t="shared" si="7"/>
        <v>0</v>
      </c>
      <c r="K56" s="732">
        <f t="shared" si="7"/>
        <v>8.27631295489671</v>
      </c>
      <c r="L56" s="732">
        <f t="shared" si="7"/>
        <v>0</v>
      </c>
      <c r="M56" s="732">
        <f t="shared" si="7"/>
        <v>0</v>
      </c>
      <c r="N56" s="732">
        <f t="shared" si="7"/>
        <v>0</v>
      </c>
      <c r="O56" s="732">
        <f t="shared" si="7"/>
        <v>0</v>
      </c>
      <c r="P56" s="732">
        <f t="shared" si="7"/>
        <v>0</v>
      </c>
      <c r="Q56" s="733">
        <f t="shared" si="7"/>
        <v>0</v>
      </c>
      <c r="R56" s="734">
        <f ca="1">SUM(R54:R55)</f>
        <v>1334.0434703593592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10253.752216072256</v>
      </c>
      <c r="D61" s="740">
        <f t="shared" ref="D61:Q61" ca="1" si="8">D46+D52+D56</f>
        <v>0</v>
      </c>
      <c r="E61" s="740">
        <f t="shared" ca="1" si="8"/>
        <v>23708.052186507841</v>
      </c>
      <c r="F61" s="740">
        <f t="shared" si="8"/>
        <v>443.08429747370235</v>
      </c>
      <c r="G61" s="740">
        <f t="shared" ca="1" si="8"/>
        <v>3192.3006814532246</v>
      </c>
      <c r="H61" s="740">
        <f t="shared" si="8"/>
        <v>35682.654497299634</v>
      </c>
      <c r="I61" s="740">
        <f t="shared" si="8"/>
        <v>7028.610358822647</v>
      </c>
      <c r="J61" s="740">
        <f t="shared" si="8"/>
        <v>0</v>
      </c>
      <c r="K61" s="740">
        <f t="shared" si="8"/>
        <v>8.7024477203846935</v>
      </c>
      <c r="L61" s="740">
        <f t="shared" si="8"/>
        <v>0</v>
      </c>
      <c r="M61" s="740">
        <f t="shared" ca="1" si="8"/>
        <v>0</v>
      </c>
      <c r="N61" s="740">
        <f t="shared" si="8"/>
        <v>0</v>
      </c>
      <c r="O61" s="740">
        <f t="shared" ca="1" si="8"/>
        <v>0</v>
      </c>
      <c r="P61" s="740">
        <f t="shared" si="8"/>
        <v>0</v>
      </c>
      <c r="Q61" s="740">
        <f t="shared" si="8"/>
        <v>0</v>
      </c>
      <c r="R61" s="740">
        <f ca="1">R46+R52+R56</f>
        <v>80317.156685349692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0.21750220445542398</v>
      </c>
      <c r="D63" s="781">
        <f t="shared" ca="1" si="9"/>
        <v>0</v>
      </c>
      <c r="E63" s="1024">
        <f t="shared" ca="1" si="9"/>
        <v>0.20200000000000007</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746.14168217175813</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746.14168217175813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746.14168217175813</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746.14168217175813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24074.806716206214</v>
      </c>
      <c r="C4" s="477">
        <f>huishoudens!C8</f>
        <v>0</v>
      </c>
      <c r="D4" s="477">
        <f>huishoudens!D8</f>
        <v>83767.031632625862</v>
      </c>
      <c r="E4" s="477">
        <f>huishoudens!E8</f>
        <v>1117.766137574755</v>
      </c>
      <c r="F4" s="477">
        <f>huishoudens!F8</f>
        <v>7448.060066757751</v>
      </c>
      <c r="G4" s="477">
        <f>huishoudens!G8</f>
        <v>0</v>
      </c>
      <c r="H4" s="477">
        <f>huishoudens!H8</f>
        <v>0</v>
      </c>
      <c r="I4" s="477">
        <f>huishoudens!I8</f>
        <v>0</v>
      </c>
      <c r="J4" s="477">
        <f>huishoudens!J8</f>
        <v>0</v>
      </c>
      <c r="K4" s="477">
        <f>huishoudens!K8</f>
        <v>0</v>
      </c>
      <c r="L4" s="477">
        <f>huishoudens!L8</f>
        <v>0</v>
      </c>
      <c r="M4" s="477">
        <f>huishoudens!M8</f>
        <v>0</v>
      </c>
      <c r="N4" s="477">
        <f>huishoudens!N8</f>
        <v>1777.6669479853745</v>
      </c>
      <c r="O4" s="477">
        <f>huishoudens!O8</f>
        <v>65.660000000000011</v>
      </c>
      <c r="P4" s="478">
        <f>huishoudens!P8</f>
        <v>286</v>
      </c>
      <c r="Q4" s="479">
        <f>SUM(B4:P4)</f>
        <v>118536.99150114995</v>
      </c>
    </row>
    <row r="5" spans="1:17">
      <c r="A5" s="476" t="s">
        <v>156</v>
      </c>
      <c r="B5" s="477">
        <f ca="1">tertiair!B16</f>
        <v>18418.805499076789</v>
      </c>
      <c r="C5" s="477">
        <f ca="1">tertiair!C16</f>
        <v>0</v>
      </c>
      <c r="D5" s="477">
        <f ca="1">tertiair!D16</f>
        <v>27345.251285680075</v>
      </c>
      <c r="E5" s="477">
        <f>tertiair!E16</f>
        <v>270.73994571399629</v>
      </c>
      <c r="F5" s="477">
        <f ca="1">tertiair!F16</f>
        <v>3290.9421392452077</v>
      </c>
      <c r="G5" s="477">
        <f>tertiair!G16</f>
        <v>0</v>
      </c>
      <c r="H5" s="477">
        <f>tertiair!H16</f>
        <v>0</v>
      </c>
      <c r="I5" s="477">
        <f>tertiair!I16</f>
        <v>0</v>
      </c>
      <c r="J5" s="477">
        <f>tertiair!J16</f>
        <v>6.1392366468879508E-2</v>
      </c>
      <c r="K5" s="477">
        <f>tertiair!K16</f>
        <v>0</v>
      </c>
      <c r="L5" s="477">
        <f ca="1">tertiair!L16</f>
        <v>0</v>
      </c>
      <c r="M5" s="477">
        <f>tertiair!M16</f>
        <v>0</v>
      </c>
      <c r="N5" s="477">
        <f ca="1">tertiair!N16</f>
        <v>2435.1886924298278</v>
      </c>
      <c r="O5" s="477">
        <f>tertiair!O16</f>
        <v>0</v>
      </c>
      <c r="P5" s="478">
        <f>tertiair!P16</f>
        <v>76.266666666666666</v>
      </c>
      <c r="Q5" s="476">
        <f t="shared" ref="Q5:Q14" ca="1" si="0">SUM(B5:P5)</f>
        <v>51837.255621179036</v>
      </c>
    </row>
    <row r="6" spans="1:17">
      <c r="A6" s="476" t="s">
        <v>194</v>
      </c>
      <c r="B6" s="477">
        <f>'openbare verlichting'!B8</f>
        <v>1433.693</v>
      </c>
      <c r="C6" s="477"/>
      <c r="D6" s="477"/>
      <c r="E6" s="477"/>
      <c r="F6" s="477"/>
      <c r="G6" s="477"/>
      <c r="H6" s="477"/>
      <c r="I6" s="477"/>
      <c r="J6" s="477"/>
      <c r="K6" s="477"/>
      <c r="L6" s="477"/>
      <c r="M6" s="477"/>
      <c r="N6" s="477"/>
      <c r="O6" s="477"/>
      <c r="P6" s="478"/>
      <c r="Q6" s="476">
        <f t="shared" si="0"/>
        <v>1433.693</v>
      </c>
    </row>
    <row r="7" spans="1:17">
      <c r="A7" s="476" t="s">
        <v>112</v>
      </c>
      <c r="B7" s="477">
        <f>landbouw!B8</f>
        <v>161.37253721002628</v>
      </c>
      <c r="C7" s="477">
        <f>landbouw!C8</f>
        <v>0</v>
      </c>
      <c r="D7" s="477">
        <f>landbouw!D8</f>
        <v>166.91089220673126</v>
      </c>
      <c r="E7" s="477">
        <f>landbouw!E8</f>
        <v>4.7432317572212552</v>
      </c>
      <c r="F7" s="477">
        <f>landbouw!F8</f>
        <v>672.26926990275717</v>
      </c>
      <c r="G7" s="477">
        <f>landbouw!G8</f>
        <v>0</v>
      </c>
      <c r="H7" s="477">
        <f>landbouw!H8</f>
        <v>0</v>
      </c>
      <c r="I7" s="477">
        <f>landbouw!I8</f>
        <v>0</v>
      </c>
      <c r="J7" s="477">
        <f>landbouw!J8</f>
        <v>23.379415126826867</v>
      </c>
      <c r="K7" s="477">
        <f>landbouw!K8</f>
        <v>0</v>
      </c>
      <c r="L7" s="477">
        <f>landbouw!L8</f>
        <v>0</v>
      </c>
      <c r="M7" s="477">
        <f>landbouw!M8</f>
        <v>0</v>
      </c>
      <c r="N7" s="477">
        <f>landbouw!N8</f>
        <v>0</v>
      </c>
      <c r="O7" s="477">
        <f>landbouw!O8</f>
        <v>0</v>
      </c>
      <c r="P7" s="478">
        <f>landbouw!P8</f>
        <v>0</v>
      </c>
      <c r="Q7" s="476">
        <f t="shared" si="0"/>
        <v>1028.6753462035629</v>
      </c>
    </row>
    <row r="8" spans="1:17">
      <c r="A8" s="476" t="s">
        <v>635</v>
      </c>
      <c r="B8" s="477">
        <f>industrie!B18</f>
        <v>1633.8710026299566</v>
      </c>
      <c r="C8" s="477">
        <f>industrie!C18</f>
        <v>0</v>
      </c>
      <c r="D8" s="477">
        <f>industrie!D18</f>
        <v>1966.430528078627</v>
      </c>
      <c r="E8" s="477">
        <f>industrie!E18</f>
        <v>176.48076593752808</v>
      </c>
      <c r="F8" s="477">
        <f>industrie!F18</f>
        <v>544.91085163444961</v>
      </c>
      <c r="G8" s="477">
        <f>industrie!G18</f>
        <v>0</v>
      </c>
      <c r="H8" s="477">
        <f>industrie!H18</f>
        <v>0</v>
      </c>
      <c r="I8" s="477">
        <f>industrie!I18</f>
        <v>0</v>
      </c>
      <c r="J8" s="477">
        <f>industrie!J18</f>
        <v>1.1423781575084744</v>
      </c>
      <c r="K8" s="477">
        <f>industrie!K18</f>
        <v>0</v>
      </c>
      <c r="L8" s="477">
        <f>industrie!L18</f>
        <v>0</v>
      </c>
      <c r="M8" s="477">
        <f>industrie!M18</f>
        <v>0</v>
      </c>
      <c r="N8" s="477">
        <f>industrie!N18</f>
        <v>345.64239306559745</v>
      </c>
      <c r="O8" s="477">
        <f>industrie!O18</f>
        <v>0</v>
      </c>
      <c r="P8" s="478">
        <f>industrie!P18</f>
        <v>0</v>
      </c>
      <c r="Q8" s="476">
        <f t="shared" si="0"/>
        <v>4668.4779195036672</v>
      </c>
    </row>
    <row r="9" spans="1:17" s="482" customFormat="1">
      <c r="A9" s="480" t="s">
        <v>561</v>
      </c>
      <c r="B9" s="481">
        <f>transport!B14</f>
        <v>74.248848872240472</v>
      </c>
      <c r="C9" s="481">
        <f>transport!C14</f>
        <v>0</v>
      </c>
      <c r="D9" s="481">
        <f>transport!D14</f>
        <v>242.09992273652765</v>
      </c>
      <c r="E9" s="481">
        <f>transport!E14</f>
        <v>382.18312374646547</v>
      </c>
      <c r="F9" s="481">
        <f>transport!F14</f>
        <v>0</v>
      </c>
      <c r="G9" s="481">
        <f>transport!G14</f>
        <v>132027.04353945155</v>
      </c>
      <c r="H9" s="481">
        <f>transport!H14</f>
        <v>28227.350838645169</v>
      </c>
      <c r="I9" s="481">
        <f>transport!I14</f>
        <v>0</v>
      </c>
      <c r="J9" s="481">
        <f>transport!J14</f>
        <v>0</v>
      </c>
      <c r="K9" s="481">
        <f>transport!K14</f>
        <v>0</v>
      </c>
      <c r="L9" s="481">
        <f>transport!L14</f>
        <v>0</v>
      </c>
      <c r="M9" s="481">
        <f>transport!M14</f>
        <v>8546.4557036966889</v>
      </c>
      <c r="N9" s="481">
        <f>transport!N14</f>
        <v>0</v>
      </c>
      <c r="O9" s="481">
        <f>transport!O14</f>
        <v>0</v>
      </c>
      <c r="P9" s="481">
        <f>transport!P14</f>
        <v>0</v>
      </c>
      <c r="Q9" s="480">
        <f>SUM(B9:P9)</f>
        <v>169499.38197714865</v>
      </c>
    </row>
    <row r="10" spans="1:17">
      <c r="A10" s="476" t="s">
        <v>551</v>
      </c>
      <c r="B10" s="477">
        <f>transport!B54</f>
        <v>0</v>
      </c>
      <c r="C10" s="477">
        <f>transport!C54</f>
        <v>0</v>
      </c>
      <c r="D10" s="477">
        <f>transport!D54</f>
        <v>0</v>
      </c>
      <c r="E10" s="477">
        <f>transport!E54</f>
        <v>0</v>
      </c>
      <c r="F10" s="477">
        <f>transport!F54</f>
        <v>0</v>
      </c>
      <c r="G10" s="477">
        <f>transport!G54</f>
        <v>1615.8571994983934</v>
      </c>
      <c r="H10" s="477">
        <f>transport!H54</f>
        <v>0</v>
      </c>
      <c r="I10" s="477">
        <f>transport!I54</f>
        <v>0</v>
      </c>
      <c r="J10" s="477">
        <f>transport!J54</f>
        <v>0</v>
      </c>
      <c r="K10" s="477">
        <f>transport!K54</f>
        <v>0</v>
      </c>
      <c r="L10" s="477">
        <f>transport!L54</f>
        <v>0</v>
      </c>
      <c r="M10" s="477">
        <f>transport!M54</f>
        <v>91.773555606475</v>
      </c>
      <c r="N10" s="477">
        <f>transport!N54</f>
        <v>0</v>
      </c>
      <c r="O10" s="477">
        <f>transport!O54</f>
        <v>0</v>
      </c>
      <c r="P10" s="478">
        <f>transport!P54</f>
        <v>0</v>
      </c>
      <c r="Q10" s="476">
        <f t="shared" si="0"/>
        <v>1707.6307551048683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1346.4129291822101</v>
      </c>
      <c r="C14" s="484"/>
      <c r="D14" s="484">
        <f>'SEAP template'!E25</f>
        <v>3878.8707213842399</v>
      </c>
      <c r="E14" s="484"/>
      <c r="F14" s="484"/>
      <c r="G14" s="484"/>
      <c r="H14" s="484"/>
      <c r="I14" s="484"/>
      <c r="J14" s="484"/>
      <c r="K14" s="484"/>
      <c r="L14" s="484"/>
      <c r="M14" s="484"/>
      <c r="N14" s="484"/>
      <c r="O14" s="484"/>
      <c r="P14" s="485"/>
      <c r="Q14" s="476">
        <f t="shared" si="0"/>
        <v>5225.28365056645</v>
      </c>
    </row>
    <row r="15" spans="1:17" s="486" customFormat="1">
      <c r="A15" s="1039" t="s">
        <v>555</v>
      </c>
      <c r="B15" s="987">
        <f ca="1">SUM(B4:B14)</f>
        <v>47143.210533177436</v>
      </c>
      <c r="C15" s="987">
        <f t="shared" ref="C15:Q15" ca="1" si="1">SUM(C4:C14)</f>
        <v>0</v>
      </c>
      <c r="D15" s="987">
        <f t="shared" ca="1" si="1"/>
        <v>117366.59498271205</v>
      </c>
      <c r="E15" s="987">
        <f t="shared" si="1"/>
        <v>1951.9132047299663</v>
      </c>
      <c r="F15" s="987">
        <f t="shared" ca="1" si="1"/>
        <v>11956.182327540166</v>
      </c>
      <c r="G15" s="987">
        <f t="shared" si="1"/>
        <v>133642.90073894995</v>
      </c>
      <c r="H15" s="987">
        <f t="shared" si="1"/>
        <v>28227.350838645169</v>
      </c>
      <c r="I15" s="987">
        <f t="shared" si="1"/>
        <v>0</v>
      </c>
      <c r="J15" s="987">
        <f t="shared" si="1"/>
        <v>24.583185650804221</v>
      </c>
      <c r="K15" s="987">
        <f t="shared" si="1"/>
        <v>0</v>
      </c>
      <c r="L15" s="987">
        <f t="shared" ca="1" si="1"/>
        <v>0</v>
      </c>
      <c r="M15" s="987">
        <f t="shared" si="1"/>
        <v>8638.2292593031634</v>
      </c>
      <c r="N15" s="987">
        <f t="shared" ca="1" si="1"/>
        <v>4558.4980334807997</v>
      </c>
      <c r="O15" s="987">
        <f t="shared" si="1"/>
        <v>65.660000000000011</v>
      </c>
      <c r="P15" s="987">
        <f t="shared" si="1"/>
        <v>362.26666666666665</v>
      </c>
      <c r="Q15" s="987">
        <f t="shared" ca="1" si="1"/>
        <v>353937.38977085619</v>
      </c>
    </row>
    <row r="17" spans="1:17">
      <c r="A17" s="487" t="s">
        <v>556</v>
      </c>
      <c r="B17" s="786">
        <f ca="1">huishoudens!B10</f>
        <v>0.21750220445542395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5236.323532613098</v>
      </c>
      <c r="C22" s="477">
        <f t="shared" ref="C22:C32" ca="1" si="3">C4*$C$17</f>
        <v>0</v>
      </c>
      <c r="D22" s="477">
        <f t="shared" ref="D22:D32" si="4">D4*$D$17</f>
        <v>16920.940389790427</v>
      </c>
      <c r="E22" s="477">
        <f t="shared" ref="E22:E32" si="5">E4*$E$17</f>
        <v>253.7329132294694</v>
      </c>
      <c r="F22" s="477">
        <f t="shared" ref="F22:F32" si="6">F4*$F$17</f>
        <v>1988.6320378243197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24399.62887345731</v>
      </c>
    </row>
    <row r="23" spans="1:17">
      <c r="A23" s="476" t="s">
        <v>156</v>
      </c>
      <c r="B23" s="477">
        <f t="shared" ca="1" si="2"/>
        <v>4006.1307994848867</v>
      </c>
      <c r="C23" s="477">
        <f t="shared" ca="1" si="3"/>
        <v>0</v>
      </c>
      <c r="D23" s="477">
        <f t="shared" ca="1" si="4"/>
        <v>5523.7407597073752</v>
      </c>
      <c r="E23" s="477">
        <f t="shared" si="5"/>
        <v>61.457967677077157</v>
      </c>
      <c r="F23" s="477">
        <f t="shared" ca="1" si="6"/>
        <v>878.6815511784705</v>
      </c>
      <c r="G23" s="477">
        <f t="shared" si="7"/>
        <v>0</v>
      </c>
      <c r="H23" s="477">
        <f t="shared" si="8"/>
        <v>0</v>
      </c>
      <c r="I23" s="477">
        <f t="shared" si="9"/>
        <v>0</v>
      </c>
      <c r="J23" s="477">
        <f t="shared" si="10"/>
        <v>2.1732897729983346E-2</v>
      </c>
      <c r="K23" s="477">
        <f t="shared" si="11"/>
        <v>0</v>
      </c>
      <c r="L23" s="477">
        <f t="shared" ca="1" si="12"/>
        <v>0</v>
      </c>
      <c r="M23" s="477">
        <f t="shared" si="13"/>
        <v>0</v>
      </c>
      <c r="N23" s="477">
        <f t="shared" ca="1" si="14"/>
        <v>0</v>
      </c>
      <c r="O23" s="477">
        <f t="shared" si="15"/>
        <v>0</v>
      </c>
      <c r="P23" s="478">
        <f t="shared" si="16"/>
        <v>0</v>
      </c>
      <c r="Q23" s="476">
        <f t="shared" ref="Q23:Q32" ca="1" si="17">SUM(B23:P23)</f>
        <v>10470.03281094554</v>
      </c>
    </row>
    <row r="24" spans="1:17">
      <c r="A24" s="476" t="s">
        <v>194</v>
      </c>
      <c r="B24" s="477">
        <f t="shared" ca="1" si="2"/>
        <v>311.83138801231013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311.83138801231013</v>
      </c>
    </row>
    <row r="25" spans="1:17">
      <c r="A25" s="476" t="s">
        <v>112</v>
      </c>
      <c r="B25" s="477">
        <f t="shared" ca="1" si="2"/>
        <v>35.098882581745649</v>
      </c>
      <c r="C25" s="477">
        <f t="shared" ca="1" si="3"/>
        <v>0</v>
      </c>
      <c r="D25" s="477">
        <f t="shared" si="4"/>
        <v>33.716000225759714</v>
      </c>
      <c r="E25" s="477">
        <f t="shared" si="5"/>
        <v>1.0767136088892251</v>
      </c>
      <c r="F25" s="477">
        <f t="shared" si="6"/>
        <v>179.49589506403618</v>
      </c>
      <c r="G25" s="477">
        <f t="shared" si="7"/>
        <v>0</v>
      </c>
      <c r="H25" s="477">
        <f t="shared" si="8"/>
        <v>0</v>
      </c>
      <c r="I25" s="477">
        <f t="shared" si="9"/>
        <v>0</v>
      </c>
      <c r="J25" s="477">
        <f t="shared" si="10"/>
        <v>8.27631295489671</v>
      </c>
      <c r="K25" s="477">
        <f t="shared" si="11"/>
        <v>0</v>
      </c>
      <c r="L25" s="477">
        <f t="shared" si="12"/>
        <v>0</v>
      </c>
      <c r="M25" s="477">
        <f t="shared" si="13"/>
        <v>0</v>
      </c>
      <c r="N25" s="477">
        <f t="shared" si="14"/>
        <v>0</v>
      </c>
      <c r="O25" s="477">
        <f t="shared" si="15"/>
        <v>0</v>
      </c>
      <c r="P25" s="478">
        <f t="shared" si="16"/>
        <v>0</v>
      </c>
      <c r="Q25" s="476">
        <f t="shared" ca="1" si="17"/>
        <v>257.66380443532745</v>
      </c>
    </row>
    <row r="26" spans="1:17">
      <c r="A26" s="476" t="s">
        <v>635</v>
      </c>
      <c r="B26" s="477">
        <f t="shared" ca="1" si="2"/>
        <v>355.37054486780937</v>
      </c>
      <c r="C26" s="477">
        <f t="shared" ca="1" si="3"/>
        <v>0</v>
      </c>
      <c r="D26" s="477">
        <f t="shared" si="4"/>
        <v>397.2189666718827</v>
      </c>
      <c r="E26" s="477">
        <f t="shared" si="5"/>
        <v>40.061133867818874</v>
      </c>
      <c r="F26" s="477">
        <f t="shared" si="6"/>
        <v>145.49119738639806</v>
      </c>
      <c r="G26" s="477">
        <f t="shared" si="7"/>
        <v>0</v>
      </c>
      <c r="H26" s="477">
        <f t="shared" si="8"/>
        <v>0</v>
      </c>
      <c r="I26" s="477">
        <f t="shared" si="9"/>
        <v>0</v>
      </c>
      <c r="J26" s="477">
        <f t="shared" si="10"/>
        <v>0.40440186775799991</v>
      </c>
      <c r="K26" s="477">
        <f t="shared" si="11"/>
        <v>0</v>
      </c>
      <c r="L26" s="477">
        <f t="shared" si="12"/>
        <v>0</v>
      </c>
      <c r="M26" s="477">
        <f t="shared" si="13"/>
        <v>0</v>
      </c>
      <c r="N26" s="477">
        <f t="shared" si="14"/>
        <v>0</v>
      </c>
      <c r="O26" s="477">
        <f t="shared" si="15"/>
        <v>0</v>
      </c>
      <c r="P26" s="478">
        <f t="shared" si="16"/>
        <v>0</v>
      </c>
      <c r="Q26" s="476">
        <f t="shared" ca="1" si="17"/>
        <v>938.54624466166695</v>
      </c>
    </row>
    <row r="27" spans="1:17" s="482" customFormat="1">
      <c r="A27" s="480" t="s">
        <v>561</v>
      </c>
      <c r="B27" s="780">
        <f t="shared" ca="1" si="2"/>
        <v>16.14928830798992</v>
      </c>
      <c r="C27" s="481">
        <f t="shared" ca="1" si="3"/>
        <v>0</v>
      </c>
      <c r="D27" s="481">
        <f t="shared" si="4"/>
        <v>48.904184392778589</v>
      </c>
      <c r="E27" s="481">
        <f t="shared" si="5"/>
        <v>86.755569090447665</v>
      </c>
      <c r="F27" s="481">
        <f t="shared" si="6"/>
        <v>0</v>
      </c>
      <c r="G27" s="481">
        <f t="shared" si="7"/>
        <v>35251.220625033566</v>
      </c>
      <c r="H27" s="481">
        <f t="shared" si="8"/>
        <v>7028.610358822647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42431.64002564743</v>
      </c>
    </row>
    <row r="28" spans="1:17">
      <c r="A28" s="476" t="s">
        <v>551</v>
      </c>
      <c r="B28" s="477">
        <f t="shared" ca="1" si="2"/>
        <v>0</v>
      </c>
      <c r="C28" s="477">
        <f t="shared" ca="1" si="3"/>
        <v>0</v>
      </c>
      <c r="D28" s="477">
        <f t="shared" si="4"/>
        <v>0</v>
      </c>
      <c r="E28" s="477">
        <f t="shared" si="5"/>
        <v>0</v>
      </c>
      <c r="F28" s="477">
        <f t="shared" si="6"/>
        <v>0</v>
      </c>
      <c r="G28" s="477">
        <f t="shared" si="7"/>
        <v>431.43387226607103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431.43387226607103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292.8477802044153</v>
      </c>
      <c r="C32" s="477">
        <f t="shared" ca="1" si="3"/>
        <v>0</v>
      </c>
      <c r="D32" s="477">
        <f t="shared" si="4"/>
        <v>783.53188571961653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1076.3796659240318</v>
      </c>
    </row>
    <row r="33" spans="1:17" s="486" customFormat="1">
      <c r="A33" s="1039" t="s">
        <v>555</v>
      </c>
      <c r="B33" s="987">
        <f ca="1">SUM(B22:B32)</f>
        <v>10253.752216072255</v>
      </c>
      <c r="C33" s="987">
        <f t="shared" ref="C33:Q33" ca="1" si="18">SUM(C22:C32)</f>
        <v>0</v>
      </c>
      <c r="D33" s="987">
        <f t="shared" ca="1" si="18"/>
        <v>23708.052186507841</v>
      </c>
      <c r="E33" s="987">
        <f t="shared" si="18"/>
        <v>443.08429747370235</v>
      </c>
      <c r="F33" s="987">
        <f t="shared" ca="1" si="18"/>
        <v>3192.3006814532246</v>
      </c>
      <c r="G33" s="987">
        <f t="shared" si="18"/>
        <v>35682.654497299634</v>
      </c>
      <c r="H33" s="987">
        <f t="shared" si="18"/>
        <v>7028.610358822647</v>
      </c>
      <c r="I33" s="987">
        <f t="shared" si="18"/>
        <v>0</v>
      </c>
      <c r="J33" s="987">
        <f t="shared" si="18"/>
        <v>8.7024477203846935</v>
      </c>
      <c r="K33" s="987">
        <f t="shared" si="18"/>
        <v>0</v>
      </c>
      <c r="L33" s="987">
        <f t="shared" ca="1" si="18"/>
        <v>0</v>
      </c>
      <c r="M33" s="987">
        <f t="shared" si="18"/>
        <v>0</v>
      </c>
      <c r="N33" s="987">
        <f t="shared" ca="1" si="18"/>
        <v>0</v>
      </c>
      <c r="O33" s="987">
        <f t="shared" si="18"/>
        <v>0</v>
      </c>
      <c r="P33" s="987">
        <f t="shared" si="18"/>
        <v>0</v>
      </c>
      <c r="Q33" s="987">
        <f t="shared" ca="1" si="18"/>
        <v>80317.156685349692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746.14168217175813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746.14168217175813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0.21750220445542395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0.21750220445542395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2019-06-29T17:03:01Z</dcterms:modified>
</cp:coreProperties>
</file>