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E89" i="14" s="1"/>
  <c r="E19" i="59" s="1"/>
  <c r="C19" i="18"/>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E77" i="14" s="1"/>
  <c r="E9" i="59" s="1"/>
  <c r="C9" i="18"/>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78" l="1"/>
  <c r="O9" i="59"/>
  <c r="O10" s="1"/>
  <c r="O19"/>
  <c r="O20" s="1"/>
  <c r="O90" i="14"/>
  <c r="N19" i="59"/>
  <c r="N90" i="14"/>
  <c r="L18" i="59"/>
  <c r="L20" s="1"/>
  <c r="L90" i="14"/>
  <c r="H90"/>
  <c r="H18" i="59"/>
  <c r="H20" s="1"/>
  <c r="H78" i="14"/>
  <c r="H8" i="59"/>
  <c r="K10"/>
  <c r="C98" i="18"/>
  <c r="B101" s="1"/>
  <c r="C8" s="1"/>
  <c r="B10"/>
  <c r="L10"/>
  <c r="E20" i="59"/>
  <c r="O29" i="48"/>
  <c r="P31"/>
  <c r="D20" i="18"/>
  <c r="E10" i="59"/>
  <c r="K20"/>
  <c r="P32" i="48"/>
  <c r="R25" i="14"/>
  <c r="D10" i="18"/>
  <c r="F13" i="15"/>
  <c r="L78" i="14"/>
  <c r="L8" i="59"/>
  <c r="L10" s="1"/>
  <c r="H10"/>
  <c r="P29" i="48"/>
  <c r="K90" i="14"/>
  <c r="K10" i="18"/>
  <c r="N20" i="59"/>
  <c r="B17" i="18"/>
  <c r="B20" s="1"/>
  <c r="G78" i="14"/>
  <c r="N10" i="59"/>
  <c r="B8" i="18"/>
  <c r="O19"/>
  <c r="L13" i="15"/>
  <c r="N13"/>
  <c r="Q77" i="14"/>
  <c r="P9" i="59" s="1"/>
  <c r="O9" i="18"/>
  <c r="O18"/>
  <c r="B89" i="14"/>
  <c r="B19" i="59" s="1"/>
  <c r="G88" i="14"/>
  <c r="F89"/>
  <c r="I101" i="18"/>
  <c r="H8" s="1"/>
  <c r="E101"/>
  <c r="E8" s="1"/>
  <c r="H101"/>
  <c r="D101"/>
  <c r="G101"/>
  <c r="C101"/>
  <c r="F10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90" l="1"/>
  <c r="G18" i="59"/>
  <c r="G20" s="1"/>
  <c r="C89" i="14"/>
  <c r="C19" i="59" s="1"/>
  <c r="F19"/>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9" i="48" l="1"/>
  <c r="G32"/>
  <c r="G25"/>
  <c r="G26"/>
  <c r="G30"/>
  <c r="G24"/>
  <c r="G22"/>
  <c r="G23"/>
  <c r="F32"/>
  <c r="F28"/>
  <c r="F27"/>
  <c r="F31"/>
  <c r="F30"/>
  <c r="F24"/>
  <c r="F29"/>
  <c r="J32"/>
  <c r="J31"/>
  <c r="J29"/>
  <c r="J28"/>
  <c r="J27"/>
  <c r="J30"/>
  <c r="J24"/>
  <c r="P4"/>
  <c r="Q11" i="14"/>
  <c r="O4" i="48"/>
  <c r="P11" i="14"/>
  <c r="I27" i="48"/>
  <c r="I32"/>
  <c r="I31"/>
  <c r="I25"/>
  <c r="I29"/>
  <c r="I26"/>
  <c r="I28"/>
  <c r="I24"/>
  <c r="I22"/>
  <c r="I30"/>
  <c r="D4"/>
  <c r="D22" s="1"/>
  <c r="E11" i="14"/>
  <c r="H32" i="48"/>
  <c r="H25"/>
  <c r="H26"/>
  <c r="H28"/>
  <c r="H29"/>
  <c r="H24"/>
  <c r="H22"/>
  <c r="H30"/>
  <c r="H23"/>
  <c r="N46" i="14"/>
  <c r="C4" i="48"/>
  <c r="D11" i="14"/>
  <c r="B4" i="48"/>
  <c r="C11" i="14"/>
  <c r="N32" i="48"/>
  <c r="N28"/>
  <c r="N27"/>
  <c r="N30"/>
  <c r="N24"/>
  <c r="N31"/>
  <c r="N29"/>
  <c r="B10"/>
  <c r="C19" i="14"/>
  <c r="E28" i="48"/>
  <c r="E32"/>
  <c r="E31"/>
  <c r="E24"/>
  <c r="E30"/>
  <c r="E29"/>
  <c r="M32"/>
  <c r="M24"/>
  <c r="M26"/>
  <c r="M22"/>
  <c r="M30"/>
  <c r="M29"/>
  <c r="M25"/>
  <c r="M23"/>
  <c r="L10" i="14"/>
  <c r="L16" s="1"/>
  <c r="L27" s="1"/>
  <c r="K5" i="48"/>
  <c r="D28"/>
  <c r="D32"/>
  <c r="D30"/>
  <c r="D31"/>
  <c r="D24"/>
  <c r="D29"/>
  <c r="L27"/>
  <c r="L32"/>
  <c r="L28"/>
  <c r="L29"/>
  <c r="L22"/>
  <c r="L24"/>
  <c r="L31"/>
  <c r="L30"/>
  <c r="P5"/>
  <c r="P23" s="1"/>
  <c r="Q10" i="14"/>
  <c r="K32" i="48"/>
  <c r="K31"/>
  <c r="K25"/>
  <c r="K28"/>
  <c r="K27"/>
  <c r="K29"/>
  <c r="K24"/>
  <c r="K30"/>
  <c r="K26"/>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J46" s="1"/>
  <c r="J61"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J63" s="1"/>
  <c r="O22" i="48"/>
  <c r="M12" i="22"/>
  <c r="M13" i="48"/>
  <c r="M31" s="1"/>
  <c r="N18" i="14"/>
  <c r="H18"/>
  <c r="G13" i="48"/>
  <c r="H13"/>
  <c r="H31" s="1"/>
  <c r="I18" i="14"/>
  <c r="F4" i="48"/>
  <c r="F22" s="1"/>
  <c r="G11" i="14"/>
  <c r="Q13"/>
  <c r="P8" i="48"/>
  <c r="P26" s="1"/>
  <c r="F20" i="14"/>
  <c r="F22" s="1"/>
  <c r="E9" i="48"/>
  <c r="E27" s="1"/>
  <c r="E20" i="14"/>
  <c r="E22" s="1"/>
  <c r="D9" i="48"/>
  <c r="D27" s="1"/>
  <c r="O5"/>
  <c r="O23" s="1"/>
  <c r="P10" i="14"/>
  <c r="K24"/>
  <c r="K26" s="1"/>
  <c r="J7" i="48"/>
  <c r="J25" s="1"/>
  <c r="K23"/>
  <c r="K33" s="1"/>
  <c r="K15"/>
  <c r="P15"/>
  <c r="P22"/>
  <c r="P33" s="1"/>
  <c r="C20" i="14"/>
  <c r="B9" i="48"/>
  <c r="Q16" i="14"/>
  <c r="Q27" s="1"/>
  <c r="Q63"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G9"/>
  <c r="H20" i="14"/>
  <c r="I20"/>
  <c r="I22" s="1"/>
  <c r="I27" s="1"/>
  <c r="H9" i="48"/>
  <c r="M10"/>
  <c r="M28" s="1"/>
  <c r="N19" i="14"/>
  <c r="G31" i="48"/>
  <c r="Q13"/>
  <c r="I23"/>
  <c r="I33" s="1"/>
  <c r="I15"/>
  <c r="N4"/>
  <c r="N22" s="1"/>
  <c r="O11" i="14"/>
  <c r="J4" i="48"/>
  <c r="K11" i="14"/>
  <c r="E7" i="48"/>
  <c r="E25" s="1"/>
  <c r="F24" i="14"/>
  <c r="F26" s="1"/>
  <c r="O22" i="16"/>
  <c r="P43" i="14" s="1"/>
  <c r="O8" i="48"/>
  <c r="O26" s="1"/>
  <c r="O33" s="1"/>
  <c r="P13" i="14"/>
  <c r="P16" s="1"/>
  <c r="P27" s="1"/>
  <c r="P46"/>
  <c r="P61" s="1"/>
  <c r="M14" i="22"/>
  <c r="C22" i="14"/>
  <c r="G10" i="48"/>
  <c r="H19" i="14"/>
  <c r="R1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52" l="1"/>
  <c r="N61" s="1"/>
  <c r="N63" s="1"/>
  <c r="R20"/>
  <c r="I63"/>
  <c r="H52"/>
  <c r="H61" s="1"/>
  <c r="E22" i="48"/>
  <c r="Q4"/>
  <c r="G28"/>
  <c r="Q10"/>
  <c r="G27"/>
  <c r="G33" s="1"/>
  <c r="G15"/>
  <c r="P63" i="14"/>
  <c r="R11"/>
  <c r="J5" i="48"/>
  <c r="J23" s="1"/>
  <c r="K10" i="14"/>
  <c r="N20"/>
  <c r="N22" s="1"/>
  <c r="N27" s="1"/>
  <c r="M9" i="48"/>
  <c r="H27"/>
  <c r="H33" s="1"/>
  <c r="H15"/>
  <c r="E5"/>
  <c r="E23" s="1"/>
  <c r="F10" i="14"/>
  <c r="J22" i="48"/>
  <c r="R24" i="14"/>
  <c r="R26" s="1"/>
  <c r="R19"/>
  <c r="R22" s="1"/>
  <c r="M18" i="22"/>
  <c r="N50" i="14" s="1"/>
  <c r="H22"/>
  <c r="H27" s="1"/>
  <c r="J20" i="15"/>
  <c r="K40" i="14" s="1"/>
  <c r="O15" i="48"/>
  <c r="Q7"/>
  <c r="E20" i="15"/>
  <c r="F40" i="14" s="1"/>
  <c r="J18" i="16"/>
  <c r="E18"/>
  <c r="F18"/>
  <c r="F22" s="1"/>
  <c r="G43" i="14" s="1"/>
  <c r="N18" i="16"/>
  <c r="G18" i="22"/>
  <c r="H50" i="14" s="1"/>
  <c r="H18" i="22"/>
  <c r="I50" i="14" s="1"/>
  <c r="I52" s="1"/>
  <c r="I61" s="1"/>
  <c r="K46" l="1"/>
  <c r="K61" s="1"/>
  <c r="H63"/>
  <c r="M27" i="48"/>
  <c r="M33" s="1"/>
  <c r="M15"/>
  <c r="J22" i="16"/>
  <c r="K43" i="14" s="1"/>
  <c r="J8" i="48"/>
  <c r="K13" i="14"/>
  <c r="E8" i="48"/>
  <c r="E26" s="1"/>
  <c r="F13" i="14"/>
  <c r="F16" s="1"/>
  <c r="F27" s="1"/>
  <c r="F46"/>
  <c r="F61" s="1"/>
  <c r="E33" i="48"/>
  <c r="Q9"/>
  <c r="E15"/>
  <c r="E22" i="16"/>
  <c r="F43" i="14" s="1"/>
  <c r="K16"/>
  <c r="K27" s="1"/>
  <c r="N8" i="48"/>
  <c r="N26" s="1"/>
  <c r="O13" i="14"/>
  <c r="N22" i="16"/>
  <c r="O43" i="14" s="1"/>
  <c r="G13"/>
  <c r="F8" i="48"/>
  <c r="J26" l="1"/>
  <c r="J33" s="1"/>
  <c r="J15"/>
  <c r="K63" i="14"/>
  <c r="F63"/>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<sst xmlns="http://schemas.openxmlformats.org/spreadsheetml/2006/main" count="2389" uniqueCount="887">
  <si>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</si>
  <si>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</si>
  <si>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</si>
  <si>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</si>
  <si>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</si>
  <si>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</si>
  <si>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</si>
  <si>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</si>
  <si>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</si>
  <si>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</si>
  <si>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</si>
  <si>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</si>
  <si>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</si>
  <si>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</si>
  <si>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</si>
  <si>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</si>
  <si>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</si>
  <si>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</si>
  <si>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</si>
  <si>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</si>
  <si>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</si>
  <si>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</si>
  <si>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</si>
  <si>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</si>
  <si>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</si>
  <si>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</si>
  <si>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</si>
  <si>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</si>
  <si>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</si>
  <si>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</si>
  <si>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</si>
  <si>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</si>
  <si>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</si>
  <si>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</si>
  <si>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</si>
  <si>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</si>
  <si>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</si>
  <si>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</si>
  <si>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</si>
  <si>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</si>
  <si>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</si>
  <si>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</si>
  <si>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</si>
  <si>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</si>
  <si>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</si>
  <si>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</si>
  <si>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</si>
  <si>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</si>
  <si>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</si>
  <si>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</si>
  <si>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</si>
  <si>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</si>
  <si>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</si>
  <si>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</si>
  <si>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</si>
  <si>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</si>
  <si>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</si>
  <si>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</si>
  <si>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</si>
  <si>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</si>
  <si>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</si>
  <si>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</si>
  <si>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</si>
  <si>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</si>
  <si>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</si>
  <si>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</si>
  <si>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</si>
  <si>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</si>
  <si>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</si>
  <si>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</si>
  <si>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</si>
  <si>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</si>
  <si>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</si>
  <si>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</si>
  <si>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</si>
  <si>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</si>
  <si>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</si>
  <si>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</si>
  <si>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</si>
  <si>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</si>
  <si>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</si>
  <si>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</si>
  <si>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</si>
  <si>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</si>
  <si>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</si>
  <si>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</si>
  <si>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</si>
  <si>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</si>
  <si>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</si>
  <si>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</si>
  <si>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</si>
  <si>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</si>
  <si>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</si>
  <si>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</si>
  <si>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</si>
  <si>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</si>
  <si>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</si>
  <si>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</si>
  <si>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</si>
  <si>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</si>
  <si>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</si>
  <si>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</si>
  <si>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</si>
  <si>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</si>
  <si>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</si>
  <si>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</si>
  <si>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</si>
  <si>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</si>
  <si>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</si>
  <si>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</si>
  <si>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</si>
  <si>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</si>
  <si>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</si>
  <si>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</si>
  <si>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</si>
  <si>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</si>
  <si>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</si>
  <si>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</si>
  <si>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</si>
  <si>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</si>
  <si>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</si>
  <si>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</si>
  <si>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</si>
  <si>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</si>
  <si>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</si>
  <si>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</si>
  <si>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</si>
  <si>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</si>
  <si>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</si>
  <si>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</si>
  <si>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</si>
  <si>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</si>
  <si>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</si>
  <si>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</si>
  <si>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</si>
  <si>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</si>
  <si>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</si>
  <si>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</si>
  <si>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</si>
  <si>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</si>
  <si>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</si>
  <si>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</si>
  <si>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</si>
  <si>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</si>
  <si>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</si>
  <si>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</si>
  <si>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</si>
  <si>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</si>
  <si>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</si>
  <si>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</si>
  <si>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</si>
  <si>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</si>
  <si>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</si>
  <si>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</si>
  <si>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</si>
  <si>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</si>
  <si>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</si>
  <si>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</si>
  <si>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</si>
  <si>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</si>
  <si>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</si>
  <si>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</si>
  <si>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</si>
  <si>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</si>
  <si>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</si>
  <si>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</si>
  <si>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</si>
  <si>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</si>
  <si>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</si>
  <si>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</si>
  <si>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</si>
  <si>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</si>
  <si>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</si>
  <si>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</si>
  <si>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</si>
  <si>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</si>
  <si>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</si>
  <si>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</si>
  <si>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</si>
  <si>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</si>
  <si>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</si>
  <si>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</si>
  <si>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</si>
  <si>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</si>
  <si>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</si>
  <si>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</si>
  <si>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</si>
  <si>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</si>
  <si>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</si>
  <si>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</si>
  <si>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</si>
  <si>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</si>
  <si>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</si>
  <si>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</si>
  <si>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</si>
  <si>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</si>
  <si>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</si>
  <si>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</si>
  <si>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</si>
  <si>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</si>
  <si>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</si>
  <si>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</si>
  <si>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</si>
  <si>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</si>
  <si>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</si>
  <si>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</si>
  <si>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</si>
  <si>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</si>
  <si>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</si>
  <si>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</si>
  <si>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</si>
  <si>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</si>
  <si>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</si>
  <si>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</si>
  <si>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</si>
  <si>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</si>
  <si>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</si>
  <si>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</si>
  <si>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</si>
  <si>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</si>
  <si>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</si>
  <si>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</si>
  <si>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</si>
  <si>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</si>
  <si>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</si>
  <si>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</si>
  <si>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</si>
  <si>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</si>
  <si>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</si>
  <si>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</si>
  <si>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</si>
  <si>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</si>
  <si>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</si>
  <si>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</si>
  <si>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</si>
  <si>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</si>
  <si>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</si>
  <si>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</si>
  <si>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</si>
  <si>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</si>
  <si>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</si>
  <si>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</si>
  <si>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</si>
  <si>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</si>
  <si>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</si>
  <si>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</si>
  <si>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</si>
  <si>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</si>
  <si>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</si>
  <si>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</si>
  <si>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</si>
  <si>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</si>
  <si>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</si>
  <si>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</si>
  <si>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</si>
  <si>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</si>
  <si>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</si>
  <si>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</si>
  <si>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</si>
  <si>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</si>
  <si>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</si>
  <si>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</si>
  <si>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</si>
  <si>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</si>
  <si>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</si>
  <si>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</si>
  <si>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</si>
  <si>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</si>
  <si>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</si>
  <si>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</si>
  <si>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</si>
  <si>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</si>
  <si>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</si>
  <si>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</si>
  <si>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</si>
  <si>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</si>
  <si>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</si>
  <si>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</si>
  <si>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</si>
  <si>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</si>
  <si>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</si>
  <si>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</si>
  <si>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</si>
  <si>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</si>
  <si>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</si>
  <si>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</si>
  <si>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</si>
  <si>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</si>
  <si>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</si>
  <si>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</si>
  <si>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</si>
  <si>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</si>
  <si>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</si>
  <si>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</si>
  <si>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</si>
  <si>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</si>
  <si>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</si>
  <si>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</si>
  <si>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</si>
  <si>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</si>
  <si>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</si>
  <si>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</si>
  <si>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</si>
  <si>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</si>
  <si>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</si>
  <si>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</si>
  <si>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</si>
  <si>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</si>
  <si>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</si>
  <si>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</si>
  <si>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</si>
  <si>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</si>
  <si>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</si>
  <si>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</si>
  <si>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</si>
  <si>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</si>
  <si>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</si>
  <si>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</si>
  <si>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</si>
  <si>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</si>
  <si>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</si>
  <si>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</si>
  <si>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</si>
  <si>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</si>
  <si>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</si>
  <si>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</si>
  <si>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</si>
  <si>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</si>
  <si>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</si>
  <si>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</si>
  <si>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</si>
  <si>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</si>
  <si>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</si>
  <si>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</si>
  <si>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</si>
  <si>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</si>
  <si>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</si>
  <si>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</si>
  <si>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</si>
  <si>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</si>
  <si>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</si>
  <si>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</si>
  <si>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</si>
  <si>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</si>
  <si>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</si>
  <si>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</si>
  <si>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</si>
  <si>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</si>
  <si>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</si>
  <si>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</si>
  <si>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</si>
  <si>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</si>
  <si>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</si>
  <si>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</si>
  <si>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</si>
  <si>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</si>
  <si>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</si>
  <si>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</si>
  <si>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</si>
  <si>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</si>
  <si>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</si>
  <si>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</si>
  <si>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</si>
  <si>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</si>
  <si>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</si>
  <si>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</si>
  <si>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</si>
  <si>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</si>
  <si>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</si>
  <si>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</si>
  <si>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</si>
  <si>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</si>
  <si>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</si>
  <si>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</si>
  <si>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</si>
  <si>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</si>
  <si>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</si>
  <si>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</si>
  <si>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</si>
  <si>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</si>
  <si>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</si>
  <si>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</si>
  <si>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</si>
  <si>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</si>
  <si>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</si>
  <si>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</si>
  <si>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</si>
  <si>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</si>
  <si>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</si>
  <si>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</si>
  <si>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</si>
  <si>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</si>
  <si>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</si>
  <si>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</si>
  <si>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</si>
  <si>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</si>
  <si>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</si>
  <si>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</si>
  <si>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</si>
  <si>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</si>
  <si>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</si>
  <si>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</si>
  <si>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</si>
  <si>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</si>
  <si>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</si>
  <si>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</si>
  <si>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</si>
  <si>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</si>
  <si>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</si>
  <si>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</si>
  <si>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</si>
  <si>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</si>
  <si>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</si>
  <si>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</si>
  <si>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</si>
  <si>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</si>
  <si>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</si>
  <si>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</si>
  <si>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</si>
  <si>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</si>
  <si>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</si>
  <si>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</si>
  <si>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</si>
  <si>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</si>
  <si>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</si>
  <si>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</si>
  <si>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</si>
  <si>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</si>
  <si>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</si>
  <si>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</si>
  <si>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</si>
  <si>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</si>
  <si>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</si>
  <si>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</si>
  <si>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</si>
  <si>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</si>
  <si>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</si>
  <si>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</si>
  <si>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</si>
  <si>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</si>
  <si>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</si>
  <si>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</si>
  <si>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</si>
  <si>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</si>
  <si>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</si>
  <si>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</si>
  <si>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</si>
  <si>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</si>
  <si>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</si>
  <si>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</si>
  <si>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</si>
  <si>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</si>
  <si>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</si>
  <si>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</si>
  <si>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</si>
  <si>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</si>
  <si>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</si>
  <si>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</si>
  <si>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</si>
  <si>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</si>
  <si>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</si>
  <si>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</si>
  <si>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</si>
  <si>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</si>
  <si>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</si>
  <si>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</si>
  <si>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</si>
  <si>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</si>
  <si>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</si>
  <si>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</si>
  <si>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</si>
  <si>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</si>
  <si>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</si>
  <si>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</si>
  <si>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</si>
  <si>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</si>
  <si>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</si>
  <si>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</si>
  <si>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</si>
  <si>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</si>
  <si>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</si>
  <si>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</si>
  <si>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</si>
  <si>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</si>
  <si>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</si>
  <si>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</si>
  <si>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</si>
  <si>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</si>
  <si>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</si>
  <si>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</si>
  <si>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</si>
  <si>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</si>
  <si>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</si>
  <si>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</si>
  <si>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</si>
  <si>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</si>
  <si>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</si>
  <si>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</si>
  <si>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</si>
  <si>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</si>
  <si>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</si>
  <si>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</si>
  <si>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</si>
  <si>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</si>
  <si>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</si>
  <si>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</si>
  <si>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</si>
  <si>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</si>
  <si>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</si>
  <si>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</si>
  <si>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</si>
  <si>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</si>
  <si>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</si>
  <si>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</si>
  <si>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</si>
  <si>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</si>
  <si>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</si>
  <si>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</si>
  <si>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</si>
  <si>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</si>
  <si>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</si>
  <si>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</si>
  <si>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</si>
  <si>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</si>
  <si>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</si>
  <si>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</si>
  <si>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</si>
  <si>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</si>
  <si>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</si>
  <si>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</si>
  <si>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</si>
  <si>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</si>
  <si>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</si>
  <si>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</si>
  <si>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</si>
  <si>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</si>
  <si>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</si>
  <si>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</si>
  <si>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</si>
  <si>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</si>
  <si>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</si>
  <si>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</si>
  <si>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</si>
  <si>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</si>
  <si>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</si>
  <si>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</si>
  <si>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</si>
  <si>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</si>
  <si>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</si>
  <si>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</si>
  <si>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</si>
  <si>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</si>
  <si>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</si>
  <si>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</si>
  <si>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</si>
  <si>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</si>
  <si>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</si>
  <si>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</si>
  <si>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</si>
  <si>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</si>
  <si>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</si>
  <si>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</si>
  <si>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</si>
  <si>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</si>
  <si>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</si>
  <si>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</si>
  <si>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</si>
  <si>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</si>
  <si>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</si>
  <si>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</si>
  <si>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</si>
  <si>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</si>
  <si>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</si>
  <si>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</si>
  <si>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</si>
  <si>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</si>
  <si>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</si>
  <si>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</si>
  <si>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</si>
  <si>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</si>
  <si>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</si>
  <si>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</si>
  <si>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</si>
  <si>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</si>
  <si>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</si>
  <si>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</si>
  <si>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</si>
  <si>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</si>
  <si>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</si>
  <si>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</si>
  <si>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</si>
  <si>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</si>
  <si>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</si>
  <si>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</si>
  <si>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</si>
  <si>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</si>
  <si>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</si>
  <si>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</si>
  <si>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</si>
  <si>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</si>
  <si>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</si>
  <si>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</si>
  <si>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</si>
  <si>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</si>
  <si>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</si>
  <si>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</si>
  <si>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</si>
  <si>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</si>
  <si>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</si>
  <si>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</si>
  <si>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</si>
  <si>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</si>
  <si>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</si>
  <si>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</si>
  <si>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</si>
  <si>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</si>
  <si>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</si>
  <si>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</si>
  <si>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</si>
  <si>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</si>
  <si>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</si>
  <si>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</si>
  <si>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</si>
  <si>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</si>
  <si>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</si>
  <si>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</si>
  <si>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</si>
  <si>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</si>
  <si>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</si>
  <si>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</si>
  <si>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</si>
  <si>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</si>
  <si>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</si>
  <si>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</si>
  <si>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</si>
  <si>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</si>
  <si>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</si>
  <si>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</si>
  <si>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</si>
  <si>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</si>
  <si>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</si>
  <si>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</si>
  <si>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</si>
  <si>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</si>
  <si>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</si>
  <si>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</si>
  <si>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</si>
  <si>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</si>
  <si>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</si>
  <si>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</si>
  <si>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</si>
  <si>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</si>
  <si>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</si>
  <si>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</si>
  <si>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</si>
  <si>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</si>
  <si>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</si>
  <si>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</si>
  <si>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</si>
  <si>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</si>
  <si>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</si>
  <si>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</si>
  <si>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</si>
  <si>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</si>
  <si>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</si>
  <si>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</si>
  <si>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</si>
  <si>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</si>
  <si>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</si>
  <si>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</si>
  <si>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</si>
  <si>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</si>
  <si>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</si>
  <si>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</si>
  <si>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</si>
  <si>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</si>
  <si>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</si>
  <si>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</si>
  <si>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</si>
  <si>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</si>
  <si>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</si>
  <si>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</si>
  <si>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</si>
  <si>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</si>
  <si>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</si>
  <si>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</si>
  <si>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</si>
  <si>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</si>
  <si>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</si>
  <si>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</si>
  <si>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</si>
  <si>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</si>
  <si>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</si>
  <si>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</si>
  <si>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</si>
  <si>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</si>
  <si>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</si>
  <si>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</si>
  <si>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</si>
  <si>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</si>
  <si>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</si>
  <si>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</si>
  <si>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</si>
  <si>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</si>
  <si>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</si>
  <si>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</si>
  <si>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</si>
  <si>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</si>
  <si>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</si>
  <si>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</si>
  <si>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</si>
  <si>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</si>
  <si>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</si>
  <si>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</si>
  <si>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</si>
  <si>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</si>
  <si>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</si>
  <si>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</si>
  <si>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</si>
  <si>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</si>
  <si>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</si>
  <si>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</si>
  <si>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</si>
  <si>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</si>
  <si>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</si>
  <si>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</si>
  <si>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</si>
  <si>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</si>
  <si>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</si>
  <si>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</si>
  <si>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</si>
  <si>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</si>
  <si>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</si>
  <si>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</si>
  <si>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</si>
  <si>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</si>
  <si>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</si>
  <si>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</si>
  <si>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</si>
  <si>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</si>
  <si>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</si>
  <si>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</si>
  <si>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</si>
  <si>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</si>
  <si>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</si>
  <si>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</si>
  <si>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</si>
  <si>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</si>
  <si>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</si>
  <si>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</si>
  <si>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</si>
  <si>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</si>
  <si>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</si>
  <si>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</si>
  <si>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</si>
  <si>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</si>
  <si>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</si>
  <si>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</si>
  <si>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</si>
  <si>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</si>
  <si>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</si>
  <si>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</si>
  <si>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</si>
  <si>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</si>
  <si>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</si>
  <si>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</si>
  <si>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</si>
  <si>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</si>
  <si>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</si>
  <si>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</si>
  <si>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</si>
  <si>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</si>
  <si>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</si>
  <si>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</si>
  <si>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</si>
  <si>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</si>
  <si>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</si>
  <si>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</si>
  <si>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</si>
  <si>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</si>
  <si>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</si>
  <si>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</si>
  <si>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</si>
  <si>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</si>
  <si>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</si>
  <si>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</si>
  <si>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</si>
  <si>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</si>
  <si>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</si>
  <si>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</si>
  <si>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</si>
  <si>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</si>
  <si>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</si>
  <si>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</si>
  <si>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</si>
  <si>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</si>
  <si>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</si>
  <si>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</si>
  <si>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</si>
  <si>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</si>
  <si>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</si>
  <si>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</si>
  <si>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</si>
  <si>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</si>
  <si>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</si>
  <si>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</si>
  <si>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</si>
  <si>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</si>
  <si>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</si>
  <si>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</si>
  <si>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</si>
  <si>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</si>
  <si>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</si>
  <si>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</si>
  <si>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</si>
  <si>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</si>
  <si>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</si>
  <si>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</si>
  <si>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</si>
  <si>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</si>
  <si>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</si>
  <si>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</si>
  <si>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</si>
  <si>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</si>
  <si>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</si>
  <si>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</si>
  <si>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</si>
  <si>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</si>
  <si>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</si>
  <si>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</si>
  <si>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</si>
  <si>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</si>
  <si>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</si>
  <si>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</si>
  <si>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</si>
  <si>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</si>
  <si>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</si>
  <si>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</si>
  <si>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</si>
  <si>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</si>
  <si>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</si>
  <si>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</si>
  <si>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</si>
  <si>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</si>
  <si>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</si>
  <si>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</si>
  <si>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</si>
  <si>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</si>
  <si>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</si>
  <si>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</si>
  <si>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</si>
  <si>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</si>
  <si>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</si>
  <si>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</si>
  <si>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</si>
  <si>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</si>
  <si>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</si>
  <si>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</si>
  <si>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</si>
  <si>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</si>
  <si>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</si>
  <si>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</si>
  <si>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</si>
  <si>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</si>
  <si>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</si>
  <si>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</si>
  <si>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</si>
  <si>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</si>
  <si>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</si>
  <si>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</si>
  <si>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</si>
  <si>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</si>
  <si>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</si>
  <si>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</si>
  <si>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</si>
  <si>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</si>
  <si>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</si>
  <si>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</si>
  <si>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</si>
  <si>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73028</t>
  </si>
  <si>
    <t>HERSTAPPE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</si>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</sst>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841.22779985427042</c:v>
                </c:pt>
                <c:pt idx="1">
                  <c:v>165.12152120732816</c:v>
                </c:pt>
                <c:pt idx="2">
                  <c:v>10.807</c:v>
                </c:pt>
                <c:pt idx="3">
                  <c:v>295.84120818445621</c:v>
                </c:pt>
                <c:pt idx="4">
                  <c:v>24.99482192657107</c:v>
                </c:pt>
                <c:pt idx="5">
                  <c:v>2807.080859364969</c:v>
                </c:pt>
                <c:pt idx="6">
                  <c:v>15.824001943739789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1342592"/>
        <c:axId val="181344128"/>
      </c:barChart>
      <c:catAx>
        <c:axId val="181342592"/>
        <c:scaling>
          <c:orientation val="minMax"/>
        </c:scaling>
        <c:axPos val="b"/>
        <c:numFmt formatCode="General" sourceLinked="0"/>
        <c:tickLblPos val="nextTo"/>
        <c:crossAx val="181344128"/>
        <c:crosses val="autoZero"/>
        <c:auto val="1"/>
        <c:lblAlgn val="ctr"/>
        <c:lblOffset val="100"/>
      </c:catAx>
      <c:valAx>
        <c:axId val="181344128"/>
        <c:scaling>
          <c:orientation val="minMax"/>
        </c:scaling>
        <c:axPos val="l"/>
        <c:majorGridlines/>
        <c:numFmt formatCode="#,##0" sourceLinked="1"/>
        <c:tickLblPos val="nextTo"/>
        <c:crossAx val="181342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841.22779985427042</c:v>
                </c:pt>
                <c:pt idx="1">
                  <c:v>165.12152120732816</c:v>
                </c:pt>
                <c:pt idx="2">
                  <c:v>10.807</c:v>
                </c:pt>
                <c:pt idx="3">
                  <c:v>295.84120818445621</c:v>
                </c:pt>
                <c:pt idx="4">
                  <c:v>24.99482192657107</c:v>
                </c:pt>
                <c:pt idx="5">
                  <c:v>2807.080859364969</c:v>
                </c:pt>
                <c:pt idx="6">
                  <c:v>15.824001943739789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202.98079819052637</c:v>
                </c:pt>
                <c:pt idx="2">
                  <c:v>33.25841708772878</c:v>
                </c:pt>
                <c:pt idx="3">
                  <c:v>2.1577338088942399</c:v>
                </c:pt>
                <c:pt idx="4">
                  <c:v>73.263477843850453</c:v>
                </c:pt>
                <c:pt idx="5">
                  <c:v>4.6059839098434905</c:v>
                </c:pt>
                <c:pt idx="6">
                  <c:v>717.20745895739537</c:v>
                </c:pt>
                <c:pt idx="7">
                  <c:v>4.0979008037950777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1812224"/>
        <c:axId val="181834496"/>
      </c:barChart>
      <c:catAx>
        <c:axId val="181812224"/>
        <c:scaling>
          <c:orientation val="minMax"/>
        </c:scaling>
        <c:axPos val="b"/>
        <c:numFmt formatCode="General" sourceLinked="0"/>
        <c:tickLblPos val="nextTo"/>
        <c:crossAx val="181834496"/>
        <c:crosses val="autoZero"/>
        <c:auto val="1"/>
        <c:lblAlgn val="ctr"/>
        <c:lblOffset val="100"/>
      </c:catAx>
      <c:valAx>
        <c:axId val="181834496"/>
        <c:scaling>
          <c:orientation val="minMax"/>
        </c:scaling>
        <c:axPos val="l"/>
        <c:majorGridlines/>
        <c:numFmt formatCode="#,##0" sourceLinked="1"/>
        <c:tickLblPos val="nextTo"/>
        <c:crossAx val="181812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202.98079819052637</c:v>
                </c:pt>
                <c:pt idx="2">
                  <c:v>33.25841708772878</c:v>
                </c:pt>
                <c:pt idx="3">
                  <c:v>2.1577338088942399</c:v>
                </c:pt>
                <c:pt idx="4">
                  <c:v>73.263477843850453</c:v>
                </c:pt>
                <c:pt idx="5">
                  <c:v>4.6059839098434905</c:v>
                </c:pt>
                <c:pt idx="6">
                  <c:v>717.20745895739537</c:v>
                </c:pt>
                <c:pt idx="7">
                  <c:v>4.0979008037950777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73028</v>
      </c>
      <c r="B6" s="415"/>
      <c r="C6" s="416"/>
    </row>
    <row r="7" spans="1:7" s="413" customFormat="1" ht="15.75" customHeight="1">
      <c r="A7" s="417" t="str">
        <f>txtMunicipality</f>
        <v>HERSTAPPE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0.19966075773982048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0.19966075773982048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73028</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34</v>
      </c>
      <c r="C9" s="342">
        <v>34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122.01</v>
      </c>
    </row>
    <row r="15" spans="1:6">
      <c r="A15" s="348" t="s">
        <v>184</v>
      </c>
      <c r="B15" s="334">
        <v>0</v>
      </c>
    </row>
    <row r="16" spans="1:6">
      <c r="A16" s="348" t="s">
        <v>6</v>
      </c>
      <c r="B16" s="334">
        <v>0</v>
      </c>
    </row>
    <row r="17" spans="1:6">
      <c r="A17" s="348" t="s">
        <v>7</v>
      </c>
      <c r="B17" s="334">
        <v>3</v>
      </c>
    </row>
    <row r="18" spans="1:6">
      <c r="A18" s="348" t="s">
        <v>8</v>
      </c>
      <c r="B18" s="334">
        <v>2</v>
      </c>
    </row>
    <row r="19" spans="1:6">
      <c r="A19" s="348" t="s">
        <v>9</v>
      </c>
      <c r="B19" s="334">
        <v>1</v>
      </c>
    </row>
    <row r="20" spans="1:6">
      <c r="A20" s="348" t="s">
        <v>10</v>
      </c>
      <c r="B20" s="334">
        <v>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881</v>
      </c>
      <c r="B29" s="355">
        <v>7</v>
      </c>
      <c r="C29" s="356"/>
      <c r="D29" s="356"/>
      <c r="E29" s="356"/>
      <c r="F29" s="356"/>
    </row>
    <row r="30" spans="1:6">
      <c r="A30" s="355" t="s">
        <v>882</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v>
      </c>
      <c r="D39" s="334">
        <v>266514</v>
      </c>
      <c r="E39" s="334">
        <v>32</v>
      </c>
      <c r="F39" s="334">
        <v>143473</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16869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5</v>
      </c>
      <c r="F51" s="334">
        <v>52385</v>
      </c>
    </row>
    <row r="52" spans="1:6">
      <c r="A52" s="348" t="s">
        <v>42</v>
      </c>
      <c r="B52" s="348" t="s">
        <v>29</v>
      </c>
      <c r="C52" s="334">
        <v>0</v>
      </c>
      <c r="D52" s="334">
        <v>47768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10807</v>
      </c>
    </row>
    <row r="56" spans="1:6">
      <c r="A56" s="348" t="s">
        <v>48</v>
      </c>
      <c r="B56" s="348" t="s">
        <v>29</v>
      </c>
      <c r="C56" s="334">
        <v>0</v>
      </c>
      <c r="D56" s="334">
        <v>10864</v>
      </c>
      <c r="E56" s="334">
        <v>0</v>
      </c>
      <c r="F56" s="334">
        <v>0</v>
      </c>
    </row>
    <row r="57" spans="1:6">
      <c r="A57" s="348" t="s">
        <v>49</v>
      </c>
      <c r="B57" s="348" t="s">
        <v>50</v>
      </c>
      <c r="C57" s="334">
        <v>0</v>
      </c>
      <c r="D57" s="334">
        <v>0</v>
      </c>
      <c r="E57" s="334">
        <v>0</v>
      </c>
      <c r="F57" s="334">
        <v>0</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0</v>
      </c>
      <c r="F61" s="334">
        <v>0</v>
      </c>
    </row>
    <row r="62" spans="1:6">
      <c r="A62" s="348" t="s">
        <v>49</v>
      </c>
      <c r="B62" s="348" t="s">
        <v>55</v>
      </c>
      <c r="C62" s="334">
        <v>0</v>
      </c>
      <c r="D62" s="334">
        <v>0</v>
      </c>
      <c r="E62" s="334">
        <v>0</v>
      </c>
      <c r="F62" s="334">
        <v>0</v>
      </c>
    </row>
    <row r="63" spans="1:6">
      <c r="A63" s="348" t="s">
        <v>49</v>
      </c>
      <c r="B63" s="348" t="s">
        <v>29</v>
      </c>
      <c r="C63" s="334">
        <v>4</v>
      </c>
      <c r="D63" s="334">
        <v>134265</v>
      </c>
      <c r="E63" s="334">
        <v>4</v>
      </c>
      <c r="F63" s="334">
        <v>32281</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3047389</v>
      </c>
      <c r="E73" s="475">
        <v>3131831.7077630996</v>
      </c>
    </row>
    <row r="74" spans="1:6">
      <c r="A74" s="348" t="s">
        <v>64</v>
      </c>
      <c r="B74" s="348" t="s">
        <v>667</v>
      </c>
      <c r="C74" s="1294" t="s">
        <v>669</v>
      </c>
      <c r="D74" s="475">
        <v>174058.94440396066</v>
      </c>
      <c r="E74" s="475">
        <v>178508.64880544622</v>
      </c>
    </row>
    <row r="75" spans="1:6">
      <c r="A75" s="348" t="s">
        <v>65</v>
      </c>
      <c r="B75" s="348" t="s">
        <v>666</v>
      </c>
      <c r="C75" s="1294" t="s">
        <v>670</v>
      </c>
      <c r="D75" s="475">
        <v>586599</v>
      </c>
      <c r="E75" s="475">
        <v>602854.802153436</v>
      </c>
    </row>
    <row r="76" spans="1:6">
      <c r="A76" s="348" t="s">
        <v>65</v>
      </c>
      <c r="B76" s="348" t="s">
        <v>667</v>
      </c>
      <c r="C76" s="1294" t="s">
        <v>671</v>
      </c>
      <c r="D76" s="475">
        <v>5664.9444039606497</v>
      </c>
      <c r="E76" s="475">
        <v>5847.0225592570805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4250.1111920787007</v>
      </c>
      <c r="C83" s="475">
        <v>4250.1111920787007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27.431881008942703</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v>
      </c>
    </row>
    <row r="98" spans="1:6">
      <c r="A98" s="348" t="s">
        <v>72</v>
      </c>
      <c r="B98" s="334">
        <v>1</v>
      </c>
    </row>
    <row r="99" spans="1:6">
      <c r="A99" s="348" t="s">
        <v>73</v>
      </c>
      <c r="B99" s="334">
        <v>0</v>
      </c>
    </row>
    <row r="100" spans="1:6">
      <c r="A100" s="348" t="s">
        <v>74</v>
      </c>
      <c r="B100" s="334">
        <v>3</v>
      </c>
    </row>
    <row r="101" spans="1:6">
      <c r="A101" s="348" t="s">
        <v>75</v>
      </c>
      <c r="B101" s="334">
        <v>0</v>
      </c>
    </row>
    <row r="102" spans="1:6">
      <c r="A102" s="348" t="s">
        <v>76</v>
      </c>
      <c r="B102" s="334">
        <v>1</v>
      </c>
    </row>
    <row r="103" spans="1:6">
      <c r="A103" s="348" t="s">
        <v>77</v>
      </c>
      <c r="B103" s="334">
        <v>3</v>
      </c>
    </row>
    <row r="104" spans="1:6">
      <c r="A104" s="348" t="s">
        <v>78</v>
      </c>
      <c r="B104" s="334">
        <v>22</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1</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284.09845246891763</v>
      </c>
      <c r="C3" s="43" t="s">
        <v>170</v>
      </c>
      <c r="D3" s="43"/>
      <c r="E3" s="154"/>
      <c r="F3" s="43"/>
      <c r="G3" s="43"/>
      <c r="H3" s="43"/>
      <c r="I3" s="43"/>
      <c r="J3" s="43"/>
      <c r="K3" s="96"/>
    </row>
    <row r="4" spans="1:11">
      <c r="A4" s="383" t="s">
        <v>171</v>
      </c>
      <c r="B4" s="49">
        <f>IF(ISERROR('SEAP template'!B78),0,'SEAP template'!B78)</f>
        <v>27.431881008942703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0.19966075773982048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10.807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0.19966075773982048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2.1577338088942399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143.47300000000001</v>
      </c>
      <c r="C5" s="17">
        <f>IF(ISERROR('Eigen informatie GS &amp; warmtenet'!B57),0,'Eigen informatie GS &amp; warmtenet'!B57)</f>
        <v>0</v>
      </c>
      <c r="D5" s="30">
        <f>(SUM(HH_hh_gas_kWh,HH_rest_gas_kWh)/1000)*0.902</f>
        <v>240.39562800000002</v>
      </c>
      <c r="E5" s="17">
        <f>B46*B57</f>
        <v>0</v>
      </c>
      <c r="F5" s="17">
        <f>B51*B62</f>
        <v>360.26388124596554</v>
      </c>
      <c r="G5" s="18"/>
      <c r="H5" s="17"/>
      <c r="I5" s="17"/>
      <c r="J5" s="17">
        <f>B50*B61+C50*C61</f>
        <v>68.100076266028779</v>
      </c>
      <c r="K5" s="17"/>
      <c r="L5" s="17"/>
      <c r="M5" s="17"/>
      <c r="N5" s="17">
        <f>B48*B59+C48*C59</f>
        <v>0</v>
      </c>
      <c r="O5" s="17">
        <f>B69*B70*B71</f>
        <v>1.5633333333333335</v>
      </c>
      <c r="P5" s="17">
        <f>B77*B78*B79/1000-B77*B78*B79/1000/B80</f>
        <v>0</v>
      </c>
    </row>
    <row r="6" spans="1:16">
      <c r="A6" s="16" t="s">
        <v>624</v>
      </c>
      <c r="B6" s="788">
        <f>kWh_PV_kleiner_dan_10kW</f>
        <v>27.431881008942703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170.90488100894271</v>
      </c>
      <c r="C8" s="21">
        <f>C5</f>
        <v>0</v>
      </c>
      <c r="D8" s="21">
        <f>D5</f>
        <v>240.39562800000002</v>
      </c>
      <c r="E8" s="21">
        <f>E5</f>
        <v>0</v>
      </c>
      <c r="F8" s="21">
        <f>F5</f>
        <v>360.26388124596554</v>
      </c>
      <c r="G8" s="21"/>
      <c r="H8" s="21"/>
      <c r="I8" s="21"/>
      <c r="J8" s="21">
        <f>J5</f>
        <v>68.100076266028779</v>
      </c>
      <c r="K8" s="21"/>
      <c r="L8" s="21">
        <f>L5</f>
        <v>0</v>
      </c>
      <c r="M8" s="21">
        <f>M5</f>
        <v>0</v>
      </c>
      <c r="N8" s="21">
        <f>N5</f>
        <v>0</v>
      </c>
      <c r="O8" s="21">
        <f>O5</f>
        <v>1.5633333333333335</v>
      </c>
      <c r="P8" s="21">
        <f>P5</f>
        <v>0</v>
      </c>
    </row>
    <row r="9" spans="1:16">
      <c r="B9" s="19"/>
      <c r="C9" s="19"/>
      <c r="D9" s="258"/>
      <c r="E9" s="19"/>
      <c r="F9" s="19"/>
      <c r="G9" s="19"/>
      <c r="H9" s="19"/>
      <c r="I9" s="19"/>
      <c r="J9" s="19"/>
      <c r="K9" s="19"/>
      <c r="L9" s="19"/>
      <c r="M9" s="19"/>
      <c r="N9" s="19"/>
      <c r="O9" s="19"/>
      <c r="P9" s="19"/>
    </row>
    <row r="10" spans="1:16">
      <c r="A10" s="24" t="s">
        <v>214</v>
      </c>
      <c r="B10" s="25">
        <f ca="1">'EF ele_warmte'!B12</f>
        <v>0.19966075773982048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34.122998043679353</v>
      </c>
      <c r="C12" s="23">
        <f ca="1">C10*C8</f>
        <v>0</v>
      </c>
      <c r="D12" s="23">
        <f>D8*D10</f>
        <v>48.559916856000008</v>
      </c>
      <c r="E12" s="23">
        <f>E10*E8</f>
        <v>0</v>
      </c>
      <c r="F12" s="23">
        <f>F10*F8</f>
        <v>96.190456292672806</v>
      </c>
      <c r="G12" s="23"/>
      <c r="H12" s="23"/>
      <c r="I12" s="23"/>
      <c r="J12" s="23">
        <f>J10*J8</f>
        <v>24.107426998174187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v>
      </c>
      <c r="C18" s="166" t="s">
        <v>111</v>
      </c>
      <c r="D18" s="228"/>
      <c r="E18" s="15"/>
    </row>
    <row r="19" spans="1:7">
      <c r="A19" s="171" t="s">
        <v>72</v>
      </c>
      <c r="B19" s="37">
        <f>aantalw2001_ander</f>
        <v>1</v>
      </c>
      <c r="C19" s="166" t="s">
        <v>111</v>
      </c>
      <c r="D19" s="229"/>
      <c r="E19" s="15"/>
    </row>
    <row r="20" spans="1:7">
      <c r="A20" s="171" t="s">
        <v>73</v>
      </c>
      <c r="B20" s="37">
        <f>aantalw2001_propaan</f>
        <v>0</v>
      </c>
      <c r="C20" s="167">
        <f>IF(ISERROR(B20/SUM($B$20,$B$21,$B$22)*100),0,B20/SUM($B$20,$B$21,$B$22)*100)</f>
        <v>0</v>
      </c>
      <c r="D20" s="229"/>
      <c r="E20" s="15"/>
    </row>
    <row r="21" spans="1:7">
      <c r="A21" s="171" t="s">
        <v>74</v>
      </c>
      <c r="B21" s="37">
        <f>aantalw2001_elektriciteit</f>
        <v>3</v>
      </c>
      <c r="C21" s="167">
        <f>IF(ISERROR(B21/SUM($B$20,$B$21,$B$22)*100),0,B21/SUM($B$20,$B$21,$B$22)*100)</f>
        <v>100</v>
      </c>
      <c r="D21" s="229"/>
      <c r="E21" s="15"/>
    </row>
    <row r="22" spans="1:7">
      <c r="A22" s="171" t="s">
        <v>75</v>
      </c>
      <c r="B22" s="37">
        <f>aantalw2001_hout</f>
        <v>0</v>
      </c>
      <c r="C22" s="167">
        <f>IF(ISERROR(B22/SUM($B$20,$B$21,$B$22)*100),0,B22/SUM($B$20,$B$21,$B$22)*100)</f>
        <v>0</v>
      </c>
      <c r="D22" s="229"/>
      <c r="E22" s="15"/>
    </row>
    <row r="23" spans="1:7">
      <c r="A23" s="171" t="s">
        <v>76</v>
      </c>
      <c r="B23" s="37">
        <f>aantalw2001_niet_gespec</f>
        <v>1</v>
      </c>
      <c r="C23" s="166" t="s">
        <v>111</v>
      </c>
      <c r="D23" s="228"/>
      <c r="E23" s="15"/>
    </row>
    <row r="24" spans="1:7">
      <c r="A24" s="171" t="s">
        <v>77</v>
      </c>
      <c r="B24" s="37">
        <f>aantalw2001_steenkool</f>
        <v>3</v>
      </c>
      <c r="C24" s="166" t="s">
        <v>111</v>
      </c>
      <c r="D24" s="229"/>
      <c r="E24" s="15"/>
    </row>
    <row r="25" spans="1:7">
      <c r="A25" s="171" t="s">
        <v>78</v>
      </c>
      <c r="B25" s="37">
        <f>aantalw2001_stookolie</f>
        <v>22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34</v>
      </c>
      <c r="C28" s="36"/>
      <c r="D28" s="228"/>
    </row>
    <row r="29" spans="1:7" s="15" customFormat="1">
      <c r="A29" s="230" t="s">
        <v>699</v>
      </c>
      <c r="B29" s="37">
        <f>SUM(HH_hh_gas_aantal,HH_rest_gas_aantal)</f>
        <v>12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12</v>
      </c>
      <c r="C32" s="167">
        <f>IF(ISERROR(B32/SUM($B$32,$B$34,$B$35,$B$36,$B$38,$B$39)*100),0,B32/SUM($B$32,$B$34,$B$35,$B$36,$B$38,$B$39)*100)</f>
        <v>35.294117647058826</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4.9999999999999991</v>
      </c>
      <c r="C35" s="167">
        <f>IF(ISERROR(B35/SUM($B$32,$B$34,$B$35,$B$36,$B$38,$B$39)*100),0,B35/SUM($B$32,$B$34,$B$35,$B$36,$B$38,$B$39)*100)</f>
        <v>14.705882352941174</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2.2000000000000002</v>
      </c>
      <c r="C38" s="167">
        <f>IF(ISERROR(B38/SUM($B$32,$B$34,$B$35,$B$36,$B$38,$B$39)*100),0,B38/SUM($B$32,$B$34,$B$35,$B$36,$B$38,$B$39)*100)</f>
        <v>6.4705882352941186</v>
      </c>
      <c r="D38" s="234"/>
      <c r="G38" s="15"/>
    </row>
    <row r="39" spans="1:7">
      <c r="A39" s="171" t="s">
        <v>78</v>
      </c>
      <c r="B39" s="33">
        <f>IF((B25-(B29-B18))&lt;0,0,B25-(B29-B18)*0.9)</f>
        <v>14.8</v>
      </c>
      <c r="C39" s="167">
        <f>IF(ISERROR(B39/SUM($B$32,$B$34,$B$35,$B$36,$B$38,$B$39)*100),0,B39/SUM($B$32,$B$34,$B$35,$B$36,$B$38,$B$39)*100)</f>
        <v>43.529411764705884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4.9999999999999991</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2.2000000000000002</v>
      </c>
      <c r="C50" s="33">
        <f>B50*2</f>
        <v>4.4000000000000004</v>
      </c>
      <c r="D50" s="234"/>
    </row>
    <row r="51" spans="1:6">
      <c r="A51" s="171" t="s">
        <v>78</v>
      </c>
      <c r="B51" s="33">
        <f t="shared" si="0"/>
        <v>14.8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32.280999999999999</v>
      </c>
      <c r="C5" s="17">
        <f>IF(ISERROR('Eigen informatie GS &amp; warmtenet'!B58),0,'Eigen informatie GS &amp; warmtenet'!B58)</f>
        <v>0</v>
      </c>
      <c r="D5" s="30">
        <f>SUM(D6:D12)</f>
        <v>121.10702999999999</v>
      </c>
      <c r="E5" s="17">
        <f>SUM(E6:E12)</f>
        <v>0.56835580121541862</v>
      </c>
      <c r="F5" s="17">
        <f>SUM(F6:F12)</f>
        <v>8.3165967799765284</v>
      </c>
      <c r="G5" s="18"/>
      <c r="H5" s="17"/>
      <c r="I5" s="17"/>
      <c r="J5" s="17">
        <f>SUM(J6:J12)</f>
        <v>0</v>
      </c>
      <c r="K5" s="17"/>
      <c r="L5" s="17"/>
      <c r="M5" s="17"/>
      <c r="N5" s="17">
        <f>SUM(N6:N12)</f>
        <v>2.8485386261362224</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32.280999999999999</v>
      </c>
      <c r="C12" s="33"/>
      <c r="D12" s="37">
        <f>IF(ISERROR(TER_rest_gas_kWh/1000),0,TER_rest_gas_kWh/1000)*0.902</f>
        <v>121.10702999999999</v>
      </c>
      <c r="E12" s="33">
        <f>$C$32*'E Balans VL '!I8/100/3.6*1000000</f>
        <v>0.56835580121541862</v>
      </c>
      <c r="F12" s="33">
        <f>$C$32*('E Balans VL '!L8+'E Balans VL '!N8)/100/3.6*1000000</f>
        <v>8.3165967799765284</v>
      </c>
      <c r="G12" s="34"/>
      <c r="H12" s="33"/>
      <c r="I12" s="33"/>
      <c r="J12" s="33">
        <f>$C$32*('E Balans VL '!D8+'E Balans VL '!E8)/100/3.6*1000000</f>
        <v>0</v>
      </c>
      <c r="K12" s="33"/>
      <c r="L12" s="33"/>
      <c r="M12" s="33"/>
      <c r="N12" s="33">
        <f>$C$32*'E Balans VL '!Y8/100/3.6*1000000</f>
        <v>2.8485386261362224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32.280999999999999</v>
      </c>
      <c r="C16" s="21">
        <f t="shared" ca="1" si="1"/>
        <v>0</v>
      </c>
      <c r="D16" s="21">
        <f t="shared" ca="1" si="1"/>
        <v>121.10702999999999</v>
      </c>
      <c r="E16" s="21">
        <f t="shared" si="1"/>
        <v>0.56835580121541862</v>
      </c>
      <c r="F16" s="21">
        <f t="shared" ca="1" si="1"/>
        <v>8.3165967799765284</v>
      </c>
      <c r="G16" s="21">
        <f t="shared" si="1"/>
        <v>0</v>
      </c>
      <c r="H16" s="21">
        <f t="shared" si="1"/>
        <v>0</v>
      </c>
      <c r="I16" s="21">
        <f t="shared" si="1"/>
        <v>0</v>
      </c>
      <c r="J16" s="21">
        <f t="shared" si="1"/>
        <v>0</v>
      </c>
      <c r="K16" s="21">
        <f t="shared" si="1"/>
        <v>0</v>
      </c>
      <c r="L16" s="21">
        <f t="shared" ca="1" si="1"/>
        <v>0</v>
      </c>
      <c r="M16" s="21">
        <f t="shared" si="1"/>
        <v>0</v>
      </c>
      <c r="N16" s="21">
        <f t="shared" ca="1" si="1"/>
        <v>2.8485386261362224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0.19966075773982048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6.4452489205991448</v>
      </c>
      <c r="C20" s="23">
        <f t="shared" ref="C20:P20" ca="1" si="2">C16*C18</f>
        <v>0</v>
      </c>
      <c r="D20" s="23">
        <f t="shared" ca="1" si="2"/>
        <v>24.46362006</v>
      </c>
      <c r="E20" s="23">
        <f t="shared" si="2"/>
        <v>0.12901676687590002</v>
      </c>
      <c r="F20" s="23">
        <f t="shared" ca="1" si="2"/>
        <v>2.220531340253733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0</v>
      </c>
      <c r="C26" s="39">
        <f>IF(ISERROR(B26*3.6/1000000/'E Balans VL '!Z12*100),0,B26*3.6/1000000/'E Balans VL '!Z12*100)</f>
        <v>0</v>
      </c>
      <c r="D26" s="237" t="s">
        <v>660</v>
      </c>
      <c r="F26" s="6"/>
    </row>
    <row r="27" spans="1:18">
      <c r="A27" s="231" t="s">
        <v>53</v>
      </c>
      <c r="B27" s="33">
        <f>IF(ISERROR(TER_horeca_ele_kWh/1000),0,TER_horeca_ele_kWh/1000)</f>
        <v>0</v>
      </c>
      <c r="C27" s="39">
        <f>IF(ISERROR(B27*3.6/1000000/'E Balans VL '!Z9*100),0,B27*3.6/1000000/'E Balans VL '!Z9*100)</f>
        <v>0</v>
      </c>
      <c r="D27" s="237" t="s">
        <v>660</v>
      </c>
      <c r="F27" s="6"/>
    </row>
    <row r="28" spans="1:18">
      <c r="A28" s="171" t="s">
        <v>52</v>
      </c>
      <c r="B28" s="33">
        <f>IF(ISERROR(TER_handel_ele_kWh/1000),0,TER_handel_ele_kWh/1000)</f>
        <v>0</v>
      </c>
      <c r="C28" s="39">
        <f>IF(ISERROR(B28*3.6/1000000/'E Balans VL '!Z13*100),0,B28*3.6/1000000/'E Balans VL '!Z13*100)</f>
        <v>0</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0</v>
      </c>
      <c r="C30" s="39">
        <f>IF(ISERROR(B30*3.6/1000000/'E Balans VL '!Z14*100),0,B30*3.6/1000000/'E Balans VL '!Z14*100)</f>
        <v>0</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32.280999999999999</v>
      </c>
      <c r="C32" s="39">
        <f>IF(ISERROR(B32*3.6/1000000/'E Balans VL '!Z8*100),0,B32*3.6/1000000/'E Balans VL '!Z8*100)</f>
        <v>2.676544409682183E-4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16.869</v>
      </c>
      <c r="C5" s="17">
        <f>IF(ISERROR('Eigen informatie GS &amp; warmtenet'!B59),0,'Eigen informatie GS &amp; warmtenet'!B59)</f>
        <v>0</v>
      </c>
      <c r="D5" s="30">
        <f>SUM(D6:D15)</f>
        <v>0</v>
      </c>
      <c r="E5" s="17">
        <f>SUM(E6:E15)</f>
        <v>0.9155293807998518</v>
      </c>
      <c r="F5" s="17">
        <f>SUM(F6:F15)</f>
        <v>3.6766620077873173</v>
      </c>
      <c r="G5" s="18"/>
      <c r="H5" s="17"/>
      <c r="I5" s="17"/>
      <c r="J5" s="17">
        <f>SUM(J6:J15)</f>
        <v>0.13675893223073179</v>
      </c>
      <c r="K5" s="17"/>
      <c r="L5" s="17"/>
      <c r="M5" s="17"/>
      <c r="N5" s="17">
        <f>SUM(N6:N15)</f>
        <v>3.3968716057531694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16.869</v>
      </c>
      <c r="C15" s="33"/>
      <c r="D15" s="37">
        <f>IF( ISERROR(IND_rest_gas_kWh/1000),0,IND_rest_gas_kWh/1000)*0.902</f>
        <v>0</v>
      </c>
      <c r="E15" s="33">
        <f>C37*'E Balans VL '!I15/100/3.6*1000000</f>
        <v>0.9155293807998518</v>
      </c>
      <c r="F15" s="33">
        <f>C37*'E Balans VL '!L15/100/3.6*1000000+C37*'E Balans VL '!N15/100/3.6*1000000</f>
        <v>3.6766620077873173</v>
      </c>
      <c r="G15" s="34"/>
      <c r="H15" s="33"/>
      <c r="I15" s="33"/>
      <c r="J15" s="40">
        <f>C37*'E Balans VL '!D15/100/3.6*1000000+C37*'E Balans VL '!E15/100/3.6*1000000</f>
        <v>0.13675893223073179</v>
      </c>
      <c r="K15" s="33"/>
      <c r="L15" s="33"/>
      <c r="M15" s="33"/>
      <c r="N15" s="33">
        <f>C37*'E Balans VL '!Y15/100/3.6*1000000</f>
        <v>3.3968716057531694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16.869</v>
      </c>
      <c r="C18" s="21">
        <f>C5+C16</f>
        <v>0</v>
      </c>
      <c r="D18" s="21">
        <f>MAX((D5+D16),0)</f>
        <v>0</v>
      </c>
      <c r="E18" s="21">
        <f>MAX((E5+E16),0)</f>
        <v>0.9155293807998518</v>
      </c>
      <c r="F18" s="21">
        <f>MAX((F5+F16),0)</f>
        <v>3.6766620077873173</v>
      </c>
      <c r="G18" s="21"/>
      <c r="H18" s="21"/>
      <c r="I18" s="21"/>
      <c r="J18" s="21">
        <f>MAX((J5+J16),0)</f>
        <v>0.13675893223073179</v>
      </c>
      <c r="K18" s="21"/>
      <c r="L18" s="21">
        <f>MAX((L5+L16),0)</f>
        <v>0</v>
      </c>
      <c r="M18" s="21"/>
      <c r="N18" s="21">
        <f>MAX((N5+N16),0)</f>
        <v>3.3968716057531694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0.19966075773982048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3.3680773223130314</v>
      </c>
      <c r="C22" s="23">
        <f ca="1">C18*C20</f>
        <v>0</v>
      </c>
      <c r="D22" s="23">
        <f>D18*D20</f>
        <v>0</v>
      </c>
      <c r="E22" s="23">
        <f>E18*E20</f>
        <v>0.20782516944156637</v>
      </c>
      <c r="F22" s="23">
        <f>F18*F20</f>
        <v>0.98166875607921378</v>
      </c>
      <c r="G22" s="23"/>
      <c r="H22" s="23"/>
      <c r="I22" s="23"/>
      <c r="J22" s="23">
        <f>J18*J20</f>
        <v>4.8412662009679051E-2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0</v>
      </c>
      <c r="C31" s="39">
        <f>IF(ISERROR(B31*3.6/1000000/'E Balans VL '!Z19*100),0,B31*3.6/1000000/'E Balans VL '!Z19*100)</f>
        <v>0</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16.869</v>
      </c>
      <c r="C37" s="39">
        <f>IF(ISERROR(B37*3.6/1000000/'E Balans VL '!Z15*100),0,B37*3.6/1000000/'E Balans VL '!Z15*100)</f>
        <v>1.3618996897618493E-4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52.384999999999998</v>
      </c>
      <c r="C5" s="17">
        <f>'Eigen informatie GS &amp; warmtenet'!B60</f>
        <v>0</v>
      </c>
      <c r="D5" s="30">
        <f>IF(ISERROR(SUM(LB_lb_gas_kWh,LB_rest_gas_kWh)/1000),0,SUM(LB_lb_gas_kWh,LB_rest_gas_kWh)/1000)*0.902</f>
        <v>43.086736000000002</v>
      </c>
      <c r="E5" s="17">
        <f>B17*'E Balans VL '!I25/3.6*1000000/100</f>
        <v>1.350808014854191</v>
      </c>
      <c r="F5" s="17">
        <f>B17*('E Balans VL '!L25/3.6*1000000+'E Balans VL '!N25/3.6*1000000)/100</f>
        <v>191.47715123863284</v>
      </c>
      <c r="G5" s="18"/>
      <c r="H5" s="17"/>
      <c r="I5" s="17"/>
      <c r="J5" s="17">
        <f>('E Balans VL '!D25+'E Balans VL '!E25)/3.6*1000000*landbouw!B17/100</f>
        <v>7.5415129309691737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52.384999999999998</v>
      </c>
      <c r="C8" s="21">
        <f>C5+C6</f>
        <v>0</v>
      </c>
      <c r="D8" s="21">
        <f>MAX((D5+D6),0)</f>
        <v>43.086736000000002</v>
      </c>
      <c r="E8" s="21">
        <f>MAX((E5+E6),0)</f>
        <v>1.350808014854191</v>
      </c>
      <c r="F8" s="21">
        <f>MAX((F5+F6),0)</f>
        <v>191.47715123863284</v>
      </c>
      <c r="G8" s="21"/>
      <c r="H8" s="21"/>
      <c r="I8" s="21"/>
      <c r="J8" s="21">
        <f>MAX((J5+J6),0)</f>
        <v>7.5415129309691737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0.19966075773982048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10.459228794200495</v>
      </c>
      <c r="C12" s="23">
        <f ca="1">C8*C10</f>
        <v>0</v>
      </c>
      <c r="D12" s="23">
        <f>D8*D10</f>
        <v>8.7035206720000016</v>
      </c>
      <c r="E12" s="23">
        <f>E8*E10</f>
        <v>0.30663341937190136</v>
      </c>
      <c r="F12" s="23">
        <f>F8*F10</f>
        <v>51.124399380714969</v>
      </c>
      <c r="G12" s="23"/>
      <c r="H12" s="23"/>
      <c r="I12" s="23"/>
      <c r="J12" s="23">
        <f>J8*J10</f>
        <v>2.6696955775630875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7.3866319904594769E-3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0.56747039856509907</v>
      </c>
      <c r="C26" s="247">
        <f>B26*'GWP N2O_CH4'!B5</f>
        <v>11.91687836986708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3.0213526175994942E-2</v>
      </c>
      <c r="C27" s="247">
        <f>B27*'GWP N2O_CH4'!B5</f>
        <v>0.63448404969589378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6.9447937261542872E-3</v>
      </c>
      <c r="C28" s="247">
        <f>B28*'GWP N2O_CH4'!B4</f>
        <v>2.152886055107829</v>
      </c>
      <c r="D28" s="50"/>
    </row>
    <row r="29" spans="1:4">
      <c r="A29" s="41" t="s">
        <v>277</v>
      </c>
      <c r="B29" s="247">
        <f>B34*'ha_N2O bodem landbouw'!B4</f>
        <v>0.80490980594214534</v>
      </c>
      <c r="C29" s="247">
        <f>B29*'GWP N2O_CH4'!B4</f>
        <v>249.52203984206506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1.811484464082098E-4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3.065657255909786E-6</v>
      </c>
      <c r="C5" s="463" t="s">
        <v>211</v>
      </c>
      <c r="D5" s="448">
        <f>SUM(D6:D11)</f>
        <v>6.8492751818732489E-6</v>
      </c>
      <c r="E5" s="448">
        <f>SUM(E6:E11)</f>
        <v>2.6439267327442035E-5</v>
      </c>
      <c r="F5" s="461" t="s">
        <v>211</v>
      </c>
      <c r="G5" s="448">
        <f>SUM(G6:G11)</f>
        <v>7.9237817765583588E-3</v>
      </c>
      <c r="H5" s="448">
        <f>SUM(H6:H11)</f>
        <v>1.8405612818666191E-3</v>
      </c>
      <c r="I5" s="463" t="s">
        <v>211</v>
      </c>
      <c r="J5" s="463" t="s">
        <v>211</v>
      </c>
      <c r="K5" s="463" t="s">
        <v>211</v>
      </c>
      <c r="L5" s="463" t="s">
        <v>211</v>
      </c>
      <c r="M5" s="448">
        <f>SUM(M6:M11)</f>
        <v>3.04793835523685E-4</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2.5707983073773679E-6</v>
      </c>
      <c r="C6" s="449"/>
      <c r="D6" s="892">
        <f>vkm_2011_GW_PW*SUMIFS(TableVerdeelsleutelVkm[CNG],TableVerdeelsleutelVkm[Voertuigtype],"Lichte voertuigen")*SUMIFS(TableECFTransport[EnergieConsumptieFactor (PJ per km)],TableECFTransport[Index],CONCATENATE($A6,"_CNG_CNG"))</f>
        <v>5.108221268235975E-6</v>
      </c>
      <c r="E6" s="892">
        <f>vkm_2011_GW_PW*SUMIFS(TableVerdeelsleutelVkm[LPG],TableVerdeelsleutelVkm[Voertuigtype],"Lichte voertuigen")*SUMIFS(TableECFTransport[EnergieConsumptieFactor (PJ per km)],TableECFTransport[Index],CONCATENATE($A6,"_LPG_LPG"))</f>
        <v>2.0102681850561288E-5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4.7797279808279164E-3</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1.3829491747508488E-3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1.9203471086712417E-4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1.6678672140540752E-3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5.3879235059869413E-7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5.2551943951138668E-5</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4.9485894853241799E-7</v>
      </c>
      <c r="C8" s="449"/>
      <c r="D8" s="451">
        <f>vkm_2011_NGW_PW*SUMIFS(TableVerdeelsleutelVkm[CNG],TableVerdeelsleutelVkm[Voertuigtype],"Lichte voertuigen")*SUMIFS(TableECFTransport[EnergieConsumptieFactor (PJ per km)],TableECFTransport[Index],CONCATENATE($A8,"_CNG_CNG"))</f>
        <v>1.7410539136372739E-6</v>
      </c>
      <c r="E8" s="451">
        <f>vkm_2011_NGW_PW*SUMIFS(TableVerdeelsleutelVkm[LPG],TableVerdeelsleutelVkm[Voertuigtype],"Lichte voertuigen")*SUMIFS(TableECFTransport[EnergieConsumptieFactor (PJ per km)],TableECFTransport[Index],CONCATENATE($A8,"_LPG_LPG"))</f>
        <v>6.3365854768807481E-6</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1.4069001037705169E-3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4.5705214715868389E-4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5.8024106238520679E-5</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6.9286477905850514E-5</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2.1167606487582967E-8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2.1830744669014479E-6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0.85157145997494055</v>
      </c>
      <c r="C14" s="21"/>
      <c r="D14" s="21">
        <f t="shared" ref="D14:M14" si="0">((D5)*10^9/3600)+D12</f>
        <v>1.9025764394092357</v>
      </c>
      <c r="E14" s="21">
        <f t="shared" si="0"/>
        <v>7.344240924289454</v>
      </c>
      <c r="F14" s="21"/>
      <c r="G14" s="21">
        <f t="shared" si="0"/>
        <v>2201.0504934884329</v>
      </c>
      <c r="H14" s="21">
        <f t="shared" si="0"/>
        <v>511.26702274072755</v>
      </c>
      <c r="I14" s="21"/>
      <c r="J14" s="21"/>
      <c r="K14" s="21"/>
      <c r="L14" s="21"/>
      <c r="M14" s="21">
        <f t="shared" si="0"/>
        <v>84.664954312134711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0.19966075773982048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0.17002540296820184</v>
      </c>
      <c r="C18" s="23"/>
      <c r="D18" s="23">
        <f t="shared" ref="D18:M18" si="1">D14*D16</f>
        <v>0.38432044076066563</v>
      </c>
      <c r="E18" s="23">
        <f t="shared" si="1"/>
        <v>1.6671426898137061</v>
      </c>
      <c r="F18" s="23"/>
      <c r="G18" s="23">
        <f t="shared" si="1"/>
        <v>587.68048176141167</v>
      </c>
      <c r="H18" s="23">
        <f t="shared" si="1"/>
        <v>127.30548866244116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5.5252595107349364E-5</v>
      </c>
      <c r="H50" s="321">
        <f t="shared" si="2"/>
        <v>0</v>
      </c>
      <c r="I50" s="321">
        <f t="shared" si="2"/>
        <v>0</v>
      </c>
      <c r="J50" s="321">
        <f t="shared" si="2"/>
        <v>0</v>
      </c>
      <c r="K50" s="321">
        <f t="shared" si="2"/>
        <v>0</v>
      </c>
      <c r="L50" s="321">
        <f t="shared" si="2"/>
        <v>0</v>
      </c>
      <c r="M50" s="321">
        <f t="shared" si="2"/>
        <v>1.7138118901138801E-6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5.5252595107349364E-5</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1.7138118901138801E-6</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15.347943085374823</v>
      </c>
      <c r="H54" s="21">
        <f t="shared" si="3"/>
        <v>0</v>
      </c>
      <c r="I54" s="21">
        <f t="shared" si="3"/>
        <v>0</v>
      </c>
      <c r="J54" s="21">
        <f t="shared" si="3"/>
        <v>0</v>
      </c>
      <c r="K54" s="21">
        <f t="shared" si="3"/>
        <v>0</v>
      </c>
      <c r="L54" s="21">
        <f t="shared" si="3"/>
        <v>0</v>
      </c>
      <c r="M54" s="21">
        <f t="shared" si="3"/>
        <v>0.4760588583649667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0.19966075773982048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4.0979008037950777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43.088000000000001</v>
      </c>
      <c r="D10" s="1012">
        <f ca="1">tertiair!C16</f>
        <v>0</v>
      </c>
      <c r="E10" s="1012">
        <f ca="1">tertiair!D16</f>
        <v>121.10702999999999</v>
      </c>
      <c r="F10" s="1012">
        <f>tertiair!E16</f>
        <v>0.56835580121541862</v>
      </c>
      <c r="G10" s="1012">
        <f ca="1">tertiair!F16</f>
        <v>8.3165967799765284</v>
      </c>
      <c r="H10" s="1012">
        <f>tertiair!G16</f>
        <v>0</v>
      </c>
      <c r="I10" s="1012">
        <f>tertiair!H16</f>
        <v>0</v>
      </c>
      <c r="J10" s="1012">
        <f>tertiair!I16</f>
        <v>0</v>
      </c>
      <c r="K10" s="1012">
        <f>tertiair!J16</f>
        <v>0</v>
      </c>
      <c r="L10" s="1012">
        <f>tertiair!K16</f>
        <v>0</v>
      </c>
      <c r="M10" s="1012">
        <f ca="1">tertiair!L16</f>
        <v>0</v>
      </c>
      <c r="N10" s="1012">
        <f>tertiair!M16</f>
        <v>0</v>
      </c>
      <c r="O10" s="1012">
        <f ca="1">tertiair!N16</f>
        <v>2.8485386261362224</v>
      </c>
      <c r="P10" s="1012">
        <f>tertiair!O16</f>
        <v>0</v>
      </c>
      <c r="Q10" s="1013">
        <f>tertiair!P16</f>
        <v>0</v>
      </c>
      <c r="R10" s="700">
        <f ca="1">SUM(C10:Q10)</f>
        <v>175.92852120732817</v>
      </c>
      <c r="S10" s="67"/>
    </row>
    <row r="11" spans="1:19" s="473" customFormat="1">
      <c r="A11" s="809" t="s">
        <v>225</v>
      </c>
      <c r="B11" s="814"/>
      <c r="C11" s="1012">
        <f>huishoudens!B8</f>
        <v>170.90488100894271</v>
      </c>
      <c r="D11" s="1012">
        <f>huishoudens!C8</f>
        <v>0</v>
      </c>
      <c r="E11" s="1012">
        <f>huishoudens!D8</f>
        <v>240.39562800000002</v>
      </c>
      <c r="F11" s="1012">
        <f>huishoudens!E8</f>
        <v>0</v>
      </c>
      <c r="G11" s="1012">
        <f>huishoudens!F8</f>
        <v>360.26388124596554</v>
      </c>
      <c r="H11" s="1012">
        <f>huishoudens!G8</f>
        <v>0</v>
      </c>
      <c r="I11" s="1012">
        <f>huishoudens!H8</f>
        <v>0</v>
      </c>
      <c r="J11" s="1012">
        <f>huishoudens!I8</f>
        <v>0</v>
      </c>
      <c r="K11" s="1012">
        <f>huishoudens!J8</f>
        <v>68.100076266028779</v>
      </c>
      <c r="L11" s="1012">
        <f>huishoudens!K8</f>
        <v>0</v>
      </c>
      <c r="M11" s="1012">
        <f>huishoudens!L8</f>
        <v>0</v>
      </c>
      <c r="N11" s="1012">
        <f>huishoudens!M8</f>
        <v>0</v>
      </c>
      <c r="O11" s="1012">
        <f>huishoudens!N8</f>
        <v>0</v>
      </c>
      <c r="P11" s="1012">
        <f>huishoudens!O8</f>
        <v>1.5633333333333335</v>
      </c>
      <c r="Q11" s="1013">
        <f>huishoudens!P8</f>
        <v>0</v>
      </c>
      <c r="R11" s="700">
        <f>SUM(C11:Q11)</f>
        <v>841.22779985427042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16.869</v>
      </c>
      <c r="D13" s="1012">
        <f>industrie!C18</f>
        <v>0</v>
      </c>
      <c r="E13" s="1012">
        <f>industrie!D18</f>
        <v>0</v>
      </c>
      <c r="F13" s="1012">
        <f>industrie!E18</f>
        <v>0.9155293807998518</v>
      </c>
      <c r="G13" s="1012">
        <f>industrie!F18</f>
        <v>3.6766620077873173</v>
      </c>
      <c r="H13" s="1012">
        <f>industrie!G18</f>
        <v>0</v>
      </c>
      <c r="I13" s="1012">
        <f>industrie!H18</f>
        <v>0</v>
      </c>
      <c r="J13" s="1012">
        <f>industrie!I18</f>
        <v>0</v>
      </c>
      <c r="K13" s="1012">
        <f>industrie!J18</f>
        <v>0.13675893223073179</v>
      </c>
      <c r="L13" s="1012">
        <f>industrie!K18</f>
        <v>0</v>
      </c>
      <c r="M13" s="1012">
        <f>industrie!L18</f>
        <v>0</v>
      </c>
      <c r="N13" s="1012">
        <f>industrie!M18</f>
        <v>0</v>
      </c>
      <c r="O13" s="1012">
        <f>industrie!N18</f>
        <v>3.3968716057531694</v>
      </c>
      <c r="P13" s="1012">
        <f>industrie!O18</f>
        <v>0</v>
      </c>
      <c r="Q13" s="1013">
        <f>industrie!P18</f>
        <v>0</v>
      </c>
      <c r="R13" s="700">
        <f>SUM(C13:Q13)</f>
        <v>24.99482192657107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230.8618810089427</v>
      </c>
      <c r="D16" s="732">
        <f t="shared" ref="D16:R16" ca="1" si="0">SUM(D9:D15)</f>
        <v>0</v>
      </c>
      <c r="E16" s="732">
        <f t="shared" ca="1" si="0"/>
        <v>361.502658</v>
      </c>
      <c r="F16" s="732">
        <f t="shared" si="0"/>
        <v>1.4838851820152703</v>
      </c>
      <c r="G16" s="732">
        <f t="shared" ca="1" si="0"/>
        <v>372.2571400337294</v>
      </c>
      <c r="H16" s="732">
        <f t="shared" si="0"/>
        <v>0</v>
      </c>
      <c r="I16" s="732">
        <f t="shared" si="0"/>
        <v>0</v>
      </c>
      <c r="J16" s="732">
        <f t="shared" si="0"/>
        <v>0</v>
      </c>
      <c r="K16" s="732">
        <f t="shared" si="0"/>
        <v>68.236835198259513</v>
      </c>
      <c r="L16" s="732">
        <f t="shared" si="0"/>
        <v>0</v>
      </c>
      <c r="M16" s="732">
        <f t="shared" ca="1" si="0"/>
        <v>0</v>
      </c>
      <c r="N16" s="732">
        <f t="shared" si="0"/>
        <v>0</v>
      </c>
      <c r="O16" s="732">
        <f t="shared" ca="1" si="0"/>
        <v>6.2454102318893918</v>
      </c>
      <c r="P16" s="732">
        <f t="shared" si="0"/>
        <v>1.5633333333333335</v>
      </c>
      <c r="Q16" s="732">
        <f t="shared" si="0"/>
        <v>0</v>
      </c>
      <c r="R16" s="732">
        <f t="shared" ca="1" si="0"/>
        <v>1042.1511429881698</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15.347943085374823</v>
      </c>
      <c r="I19" s="1012">
        <f>transport!H54</f>
        <v>0</v>
      </c>
      <c r="J19" s="1012">
        <f>transport!I54</f>
        <v>0</v>
      </c>
      <c r="K19" s="1012">
        <f>transport!J54</f>
        <v>0</v>
      </c>
      <c r="L19" s="1012">
        <f>transport!K54</f>
        <v>0</v>
      </c>
      <c r="M19" s="1012">
        <f>transport!L54</f>
        <v>0</v>
      </c>
      <c r="N19" s="1012">
        <f>transport!M54</f>
        <v>0.4760588583649667</v>
      </c>
      <c r="O19" s="1012">
        <f>transport!N54</f>
        <v>0</v>
      </c>
      <c r="P19" s="1012">
        <f>transport!O54</f>
        <v>0</v>
      </c>
      <c r="Q19" s="1013">
        <f>transport!P54</f>
        <v>0</v>
      </c>
      <c r="R19" s="700">
        <f>SUM(C19:Q19)</f>
        <v>15.824001943739789</v>
      </c>
      <c r="S19" s="67"/>
    </row>
    <row r="20" spans="1:19" s="473" customFormat="1">
      <c r="A20" s="809" t="s">
        <v>307</v>
      </c>
      <c r="B20" s="814"/>
      <c r="C20" s="1012">
        <f>transport!B14</f>
        <v>0.85157145997494055</v>
      </c>
      <c r="D20" s="1012">
        <f>transport!C14</f>
        <v>0</v>
      </c>
      <c r="E20" s="1012">
        <f>transport!D14</f>
        <v>1.9025764394092357</v>
      </c>
      <c r="F20" s="1012">
        <f>transport!E14</f>
        <v>7.344240924289454</v>
      </c>
      <c r="G20" s="1012">
        <f>transport!F14</f>
        <v>0</v>
      </c>
      <c r="H20" s="1012">
        <f>transport!G14</f>
        <v>2201.0504934884329</v>
      </c>
      <c r="I20" s="1012">
        <f>transport!H14</f>
        <v>511.26702274072755</v>
      </c>
      <c r="J20" s="1012">
        <f>transport!I14</f>
        <v>0</v>
      </c>
      <c r="K20" s="1012">
        <f>transport!J14</f>
        <v>0</v>
      </c>
      <c r="L20" s="1012">
        <f>transport!K14</f>
        <v>0</v>
      </c>
      <c r="M20" s="1012">
        <f>transport!L14</f>
        <v>0</v>
      </c>
      <c r="N20" s="1012">
        <f>transport!M14</f>
        <v>84.664954312134711</v>
      </c>
      <c r="O20" s="1012">
        <f>transport!N14</f>
        <v>0</v>
      </c>
      <c r="P20" s="1012">
        <f>transport!O14</f>
        <v>0</v>
      </c>
      <c r="Q20" s="1013">
        <f>transport!P14</f>
        <v>0</v>
      </c>
      <c r="R20" s="700">
        <f>SUM(C20:Q20)</f>
        <v>2807.080859364969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0.85157145997494055</v>
      </c>
      <c r="D22" s="812">
        <f t="shared" ref="D22:R22" si="1">SUM(D18:D21)</f>
        <v>0</v>
      </c>
      <c r="E22" s="812">
        <f t="shared" si="1"/>
        <v>1.9025764394092357</v>
      </c>
      <c r="F22" s="812">
        <f t="shared" si="1"/>
        <v>7.344240924289454</v>
      </c>
      <c r="G22" s="812">
        <f t="shared" si="1"/>
        <v>0</v>
      </c>
      <c r="H22" s="812">
        <f t="shared" si="1"/>
        <v>2216.3984365738079</v>
      </c>
      <c r="I22" s="812">
        <f t="shared" si="1"/>
        <v>511.26702274072755</v>
      </c>
      <c r="J22" s="812">
        <f t="shared" si="1"/>
        <v>0</v>
      </c>
      <c r="K22" s="812">
        <f t="shared" si="1"/>
        <v>0</v>
      </c>
      <c r="L22" s="812">
        <f t="shared" si="1"/>
        <v>0</v>
      </c>
      <c r="M22" s="812">
        <f t="shared" si="1"/>
        <v>0</v>
      </c>
      <c r="N22" s="812">
        <f t="shared" si="1"/>
        <v>85.141013170499676</v>
      </c>
      <c r="O22" s="812">
        <f t="shared" si="1"/>
        <v>0</v>
      </c>
      <c r="P22" s="812">
        <f t="shared" si="1"/>
        <v>0</v>
      </c>
      <c r="Q22" s="812">
        <f t="shared" si="1"/>
        <v>0</v>
      </c>
      <c r="R22" s="812">
        <f t="shared" si="1"/>
        <v>2822.9048613087089</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52.384999999999998</v>
      </c>
      <c r="D24" s="1012">
        <f>+landbouw!C8</f>
        <v>0</v>
      </c>
      <c r="E24" s="1012">
        <f>+landbouw!D8</f>
        <v>43.086736000000002</v>
      </c>
      <c r="F24" s="1012">
        <f>+landbouw!E8</f>
        <v>1.350808014854191</v>
      </c>
      <c r="G24" s="1012">
        <f>+landbouw!F8</f>
        <v>191.47715123863284</v>
      </c>
      <c r="H24" s="1012">
        <f>+landbouw!G8</f>
        <v>0</v>
      </c>
      <c r="I24" s="1012">
        <f>+landbouw!H8</f>
        <v>0</v>
      </c>
      <c r="J24" s="1012">
        <f>+landbouw!I8</f>
        <v>0</v>
      </c>
      <c r="K24" s="1012">
        <f>+landbouw!J8</f>
        <v>7.5415129309691737</v>
      </c>
      <c r="L24" s="1012">
        <f>+landbouw!K8</f>
        <v>0</v>
      </c>
      <c r="M24" s="1012">
        <f>+landbouw!L8</f>
        <v>0</v>
      </c>
      <c r="N24" s="1012">
        <f>+landbouw!M8</f>
        <v>0</v>
      </c>
      <c r="O24" s="1012">
        <f>+landbouw!N8</f>
        <v>0</v>
      </c>
      <c r="P24" s="1012">
        <f>+landbouw!O8</f>
        <v>0</v>
      </c>
      <c r="Q24" s="1013">
        <f>+landbouw!P8</f>
        <v>0</v>
      </c>
      <c r="R24" s="700">
        <f>SUM(C24:Q24)</f>
        <v>295.84120818445621</v>
      </c>
      <c r="S24" s="67"/>
    </row>
    <row r="25" spans="1:19" s="473" customFormat="1" ht="15" thickBot="1">
      <c r="A25" s="831" t="s">
        <v>848</v>
      </c>
      <c r="B25" s="1015"/>
      <c r="C25" s="1016">
        <f>IF(Onbekend_ele_kWh="---",0,Onbekend_ele_kWh)/1000+IF(REST_rest_ele_kWh="---",0,REST_rest_ele_kWh)/1000</f>
        <v>0</v>
      </c>
      <c r="D25" s="1016"/>
      <c r="E25" s="1016">
        <f>IF(onbekend_gas_kWh="---",0,onbekend_gas_kWh)/1000+IF(REST_rest_gas_kWh="---",0,REST_rest_gas_kWh)/1000</f>
        <v>10.864000000000001</v>
      </c>
      <c r="F25" s="1016"/>
      <c r="G25" s="1016"/>
      <c r="H25" s="1016"/>
      <c r="I25" s="1016"/>
      <c r="J25" s="1016"/>
      <c r="K25" s="1016"/>
      <c r="L25" s="1016"/>
      <c r="M25" s="1016"/>
      <c r="N25" s="1016"/>
      <c r="O25" s="1016"/>
      <c r="P25" s="1016"/>
      <c r="Q25" s="1017"/>
      <c r="R25" s="700">
        <f>SUM(C25:Q25)</f>
        <v>10.864000000000001</v>
      </c>
      <c r="S25" s="67"/>
    </row>
    <row r="26" spans="1:19" s="473" customFormat="1" ht="15.75" thickBot="1">
      <c r="A26" s="705" t="s">
        <v>849</v>
      </c>
      <c r="B26" s="817"/>
      <c r="C26" s="812">
        <f>SUM(C24:C25)</f>
        <v>52.384999999999998</v>
      </c>
      <c r="D26" s="812">
        <f t="shared" ref="D26:R26" si="2">SUM(D24:D25)</f>
        <v>0</v>
      </c>
      <c r="E26" s="812">
        <f t="shared" si="2"/>
        <v>53.950736000000006</v>
      </c>
      <c r="F26" s="812">
        <f t="shared" si="2"/>
        <v>1.350808014854191</v>
      </c>
      <c r="G26" s="812">
        <f t="shared" si="2"/>
        <v>191.47715123863284</v>
      </c>
      <c r="H26" s="812">
        <f t="shared" si="2"/>
        <v>0</v>
      </c>
      <c r="I26" s="812">
        <f t="shared" si="2"/>
        <v>0</v>
      </c>
      <c r="J26" s="812">
        <f t="shared" si="2"/>
        <v>0</v>
      </c>
      <c r="K26" s="812">
        <f t="shared" si="2"/>
        <v>7.5415129309691737</v>
      </c>
      <c r="L26" s="812">
        <f t="shared" si="2"/>
        <v>0</v>
      </c>
      <c r="M26" s="812">
        <f t="shared" si="2"/>
        <v>0</v>
      </c>
      <c r="N26" s="812">
        <f t="shared" si="2"/>
        <v>0</v>
      </c>
      <c r="O26" s="812">
        <f t="shared" si="2"/>
        <v>0</v>
      </c>
      <c r="P26" s="812">
        <f t="shared" si="2"/>
        <v>0</v>
      </c>
      <c r="Q26" s="812">
        <f t="shared" si="2"/>
        <v>0</v>
      </c>
      <c r="R26" s="812">
        <f t="shared" si="2"/>
        <v>306.70520818445618</v>
      </c>
      <c r="S26" s="67"/>
    </row>
    <row r="27" spans="1:19" s="473" customFormat="1" ht="17.25" thickTop="1" thickBot="1">
      <c r="A27" s="706" t="s">
        <v>116</v>
      </c>
      <c r="B27" s="805"/>
      <c r="C27" s="707">
        <f ca="1">C22+C16+C26</f>
        <v>284.09845246891763</v>
      </c>
      <c r="D27" s="707">
        <f t="shared" ref="D27:R27" ca="1" si="3">D22+D16+D26</f>
        <v>0</v>
      </c>
      <c r="E27" s="707">
        <f t="shared" ca="1" si="3"/>
        <v>417.35597043940925</v>
      </c>
      <c r="F27" s="707">
        <f t="shared" si="3"/>
        <v>10.178934121158916</v>
      </c>
      <c r="G27" s="707">
        <f t="shared" ca="1" si="3"/>
        <v>563.73429127236227</v>
      </c>
      <c r="H27" s="707">
        <f t="shared" si="3"/>
        <v>2216.3984365738079</v>
      </c>
      <c r="I27" s="707">
        <f t="shared" si="3"/>
        <v>511.26702274072755</v>
      </c>
      <c r="J27" s="707">
        <f t="shared" si="3"/>
        <v>0</v>
      </c>
      <c r="K27" s="707">
        <f t="shared" si="3"/>
        <v>75.778348129228689</v>
      </c>
      <c r="L27" s="707">
        <f t="shared" si="3"/>
        <v>0</v>
      </c>
      <c r="M27" s="707">
        <f t="shared" ca="1" si="3"/>
        <v>0</v>
      </c>
      <c r="N27" s="707">
        <f t="shared" si="3"/>
        <v>85.141013170499676</v>
      </c>
      <c r="O27" s="707">
        <f t="shared" ca="1" si="3"/>
        <v>6.2454102318893918</v>
      </c>
      <c r="P27" s="707">
        <f t="shared" si="3"/>
        <v>1.5633333333333335</v>
      </c>
      <c r="Q27" s="707">
        <f t="shared" si="3"/>
        <v>0</v>
      </c>
      <c r="R27" s="707">
        <f t="shared" ca="1" si="3"/>
        <v>4171.761212481335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8.6029827294933838</v>
      </c>
      <c r="D40" s="1012">
        <f ca="1">tertiair!C20</f>
        <v>0</v>
      </c>
      <c r="E40" s="1012">
        <f ca="1">tertiair!D20</f>
        <v>24.46362006</v>
      </c>
      <c r="F40" s="1012">
        <f>tertiair!E20</f>
        <v>0.12901676687590002</v>
      </c>
      <c r="G40" s="1012">
        <f ca="1">tertiair!F20</f>
        <v>2.220531340253733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35.416150896623023</v>
      </c>
    </row>
    <row r="41" spans="1:18">
      <c r="A41" s="822" t="s">
        <v>225</v>
      </c>
      <c r="B41" s="829"/>
      <c r="C41" s="1012">
        <f ca="1">huishoudens!B12</f>
        <v>34.122998043679353</v>
      </c>
      <c r="D41" s="1012">
        <f ca="1">huishoudens!C12</f>
        <v>0</v>
      </c>
      <c r="E41" s="1012">
        <f>huishoudens!D12</f>
        <v>48.559916856000008</v>
      </c>
      <c r="F41" s="1012">
        <f>huishoudens!E12</f>
        <v>0</v>
      </c>
      <c r="G41" s="1012">
        <f>huishoudens!F12</f>
        <v>96.190456292672806</v>
      </c>
      <c r="H41" s="1012">
        <f>huishoudens!G12</f>
        <v>0</v>
      </c>
      <c r="I41" s="1012">
        <f>huishoudens!H12</f>
        <v>0</v>
      </c>
      <c r="J41" s="1012">
        <f>huishoudens!I12</f>
        <v>0</v>
      </c>
      <c r="K41" s="1012">
        <f>huishoudens!J12</f>
        <v>24.107426998174187</v>
      </c>
      <c r="L41" s="1012">
        <f>huishoudens!K12</f>
        <v>0</v>
      </c>
      <c r="M41" s="1012">
        <f>huishoudens!L12</f>
        <v>0</v>
      </c>
      <c r="N41" s="1012">
        <f>huishoudens!M12</f>
        <v>0</v>
      </c>
      <c r="O41" s="1012">
        <f>huishoudens!N12</f>
        <v>0</v>
      </c>
      <c r="P41" s="1012">
        <f>huishoudens!O12</f>
        <v>0</v>
      </c>
      <c r="Q41" s="774">
        <f>huishoudens!P12</f>
        <v>0</v>
      </c>
      <c r="R41" s="850">
        <f t="shared" ca="1" si="4"/>
        <v>202.98079819052637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3.3680773223130314</v>
      </c>
      <c r="D43" s="1012">
        <f ca="1">industrie!C22</f>
        <v>0</v>
      </c>
      <c r="E43" s="1012">
        <f>industrie!D22</f>
        <v>0</v>
      </c>
      <c r="F43" s="1012">
        <f>industrie!E22</f>
        <v>0.20782516944156637</v>
      </c>
      <c r="G43" s="1012">
        <f>industrie!F22</f>
        <v>0.98166875607921378</v>
      </c>
      <c r="H43" s="1012">
        <f>industrie!G22</f>
        <v>0</v>
      </c>
      <c r="I43" s="1012">
        <f>industrie!H22</f>
        <v>0</v>
      </c>
      <c r="J43" s="1012">
        <f>industrie!I22</f>
        <v>0</v>
      </c>
      <c r="K43" s="1012">
        <f>industrie!J22</f>
        <v>4.8412662009679051E-2</v>
      </c>
      <c r="L43" s="1012">
        <f>industrie!K22</f>
        <v>0</v>
      </c>
      <c r="M43" s="1012">
        <f>industrie!L22</f>
        <v>0</v>
      </c>
      <c r="N43" s="1012">
        <f>industrie!M22</f>
        <v>0</v>
      </c>
      <c r="O43" s="1012">
        <f>industrie!N22</f>
        <v>0</v>
      </c>
      <c r="P43" s="1012">
        <f>industrie!O22</f>
        <v>0</v>
      </c>
      <c r="Q43" s="774">
        <f>industrie!P22</f>
        <v>0</v>
      </c>
      <c r="R43" s="849">
        <f t="shared" ca="1" si="4"/>
        <v>4.6059839098434905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46.094058095485771</v>
      </c>
      <c r="D46" s="732">
        <f t="shared" ref="D46:Q46" ca="1" si="5">SUM(D39:D45)</f>
        <v>0</v>
      </c>
      <c r="E46" s="732">
        <f t="shared" ca="1" si="5"/>
        <v>73.023536916000012</v>
      </c>
      <c r="F46" s="732">
        <f t="shared" si="5"/>
        <v>0.33684193631746639</v>
      </c>
      <c r="G46" s="732">
        <f t="shared" ca="1" si="5"/>
        <v>99.392656389005751</v>
      </c>
      <c r="H46" s="732">
        <f t="shared" si="5"/>
        <v>0</v>
      </c>
      <c r="I46" s="732">
        <f t="shared" si="5"/>
        <v>0</v>
      </c>
      <c r="J46" s="732">
        <f t="shared" si="5"/>
        <v>0</v>
      </c>
      <c r="K46" s="732">
        <f t="shared" si="5"/>
        <v>24.155839660183865</v>
      </c>
      <c r="L46" s="732">
        <f t="shared" si="5"/>
        <v>0</v>
      </c>
      <c r="M46" s="732">
        <f t="shared" ca="1" si="5"/>
        <v>0</v>
      </c>
      <c r="N46" s="732">
        <f t="shared" si="5"/>
        <v>0</v>
      </c>
      <c r="O46" s="732">
        <f t="shared" ca="1" si="5"/>
        <v>0</v>
      </c>
      <c r="P46" s="732">
        <f t="shared" si="5"/>
        <v>0</v>
      </c>
      <c r="Q46" s="732">
        <f t="shared" si="5"/>
        <v>0</v>
      </c>
      <c r="R46" s="732">
        <f ca="1">SUM(R39:R45)</f>
        <v>243.00293299699288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4.0979008037950777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4.0979008037950777</v>
      </c>
    </row>
    <row r="50" spans="1:18">
      <c r="A50" s="825" t="s">
        <v>307</v>
      </c>
      <c r="B50" s="835"/>
      <c r="C50" s="703">
        <f ca="1">transport!B18</f>
        <v>0.17002540296820184</v>
      </c>
      <c r="D50" s="703">
        <f>transport!C18</f>
        <v>0</v>
      </c>
      <c r="E50" s="703">
        <f>transport!D18</f>
        <v>0.38432044076066563</v>
      </c>
      <c r="F50" s="703">
        <f>transport!E18</f>
        <v>1.6671426898137061</v>
      </c>
      <c r="G50" s="703">
        <f>transport!F18</f>
        <v>0</v>
      </c>
      <c r="H50" s="703">
        <f>transport!G18</f>
        <v>587.68048176141167</v>
      </c>
      <c r="I50" s="703">
        <f>transport!H18</f>
        <v>127.30548866244116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717.20745895739537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0.17002540296820184</v>
      </c>
      <c r="D52" s="732">
        <f t="shared" ref="D52:Q52" ca="1" si="6">SUM(D48:D51)</f>
        <v>0</v>
      </c>
      <c r="E52" s="732">
        <f t="shared" si="6"/>
        <v>0.38432044076066563</v>
      </c>
      <c r="F52" s="732">
        <f t="shared" si="6"/>
        <v>1.6671426898137061</v>
      </c>
      <c r="G52" s="732">
        <f t="shared" si="6"/>
        <v>0</v>
      </c>
      <c r="H52" s="732">
        <f t="shared" si="6"/>
        <v>591.7783825652067</v>
      </c>
      <c r="I52" s="732">
        <f t="shared" si="6"/>
        <v>127.30548866244116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721.3053597611904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10.459228794200495</v>
      </c>
      <c r="D54" s="703">
        <f ca="1">+landbouw!C12</f>
        <v>0</v>
      </c>
      <c r="E54" s="703">
        <f>+landbouw!D12</f>
        <v>8.7035206720000016</v>
      </c>
      <c r="F54" s="703">
        <f>+landbouw!E12</f>
        <v>0.30663341937190136</v>
      </c>
      <c r="G54" s="703">
        <f>+landbouw!F12</f>
        <v>51.124399380714969</v>
      </c>
      <c r="H54" s="703">
        <f>+landbouw!G12</f>
        <v>0</v>
      </c>
      <c r="I54" s="703">
        <f>+landbouw!H12</f>
        <v>0</v>
      </c>
      <c r="J54" s="703">
        <f>+landbouw!I12</f>
        <v>0</v>
      </c>
      <c r="K54" s="703">
        <f>+landbouw!J12</f>
        <v>2.6696955775630875</v>
      </c>
      <c r="L54" s="703">
        <f>+landbouw!K12</f>
        <v>0</v>
      </c>
      <c r="M54" s="703">
        <f>+landbouw!L12</f>
        <v>0</v>
      </c>
      <c r="N54" s="703">
        <f>+landbouw!M12</f>
        <v>0</v>
      </c>
      <c r="O54" s="703">
        <f>+landbouw!N12</f>
        <v>0</v>
      </c>
      <c r="P54" s="703">
        <f>+landbouw!O12</f>
        <v>0</v>
      </c>
      <c r="Q54" s="704">
        <f>+landbouw!P12</f>
        <v>0</v>
      </c>
      <c r="R54" s="731">
        <f ca="1">SUM(C54:Q54)</f>
        <v>73.263477843850453</v>
      </c>
    </row>
    <row r="55" spans="1:18" ht="15" thickBot="1">
      <c r="A55" s="825" t="s">
        <v>848</v>
      </c>
      <c r="B55" s="835"/>
      <c r="C55" s="703">
        <f ca="1">C25*'EF ele_warmte'!B12</f>
        <v>0</v>
      </c>
      <c r="D55" s="703"/>
      <c r="E55" s="703">
        <f>E25*EF_CO2_aardgas</f>
        <v>2.1945280000000005</v>
      </c>
      <c r="F55" s="703"/>
      <c r="G55" s="703"/>
      <c r="H55" s="703"/>
      <c r="I55" s="703"/>
      <c r="J55" s="703"/>
      <c r="K55" s="703"/>
      <c r="L55" s="703"/>
      <c r="M55" s="703"/>
      <c r="N55" s="703"/>
      <c r="O55" s="703"/>
      <c r="P55" s="703"/>
      <c r="Q55" s="704"/>
      <c r="R55" s="731">
        <f ca="1">SUM(C55:Q55)</f>
        <v>2.1945280000000005</v>
      </c>
    </row>
    <row r="56" spans="1:18" ht="15.75" thickBot="1">
      <c r="A56" s="823" t="s">
        <v>849</v>
      </c>
      <c r="B56" s="836"/>
      <c r="C56" s="732">
        <f ca="1">SUM(C54:C55)</f>
        <v>10.459228794200495</v>
      </c>
      <c r="D56" s="732">
        <f t="shared" ref="D56:Q56" ca="1" si="7">SUM(D54:D55)</f>
        <v>0</v>
      </c>
      <c r="E56" s="732">
        <f t="shared" si="7"/>
        <v>10.898048672000002</v>
      </c>
      <c r="F56" s="732">
        <f t="shared" si="7"/>
        <v>0.30663341937190136</v>
      </c>
      <c r="G56" s="732">
        <f t="shared" si="7"/>
        <v>51.124399380714969</v>
      </c>
      <c r="H56" s="732">
        <f t="shared" si="7"/>
        <v>0</v>
      </c>
      <c r="I56" s="732">
        <f t="shared" si="7"/>
        <v>0</v>
      </c>
      <c r="J56" s="732">
        <f t="shared" si="7"/>
        <v>0</v>
      </c>
      <c r="K56" s="732">
        <f t="shared" si="7"/>
        <v>2.6696955775630875</v>
      </c>
      <c r="L56" s="732">
        <f t="shared" si="7"/>
        <v>0</v>
      </c>
      <c r="M56" s="732">
        <f t="shared" si="7"/>
        <v>0</v>
      </c>
      <c r="N56" s="732">
        <f t="shared" si="7"/>
        <v>0</v>
      </c>
      <c r="O56" s="732">
        <f t="shared" si="7"/>
        <v>0</v>
      </c>
      <c r="P56" s="732">
        <f t="shared" si="7"/>
        <v>0</v>
      </c>
      <c r="Q56" s="733">
        <f t="shared" si="7"/>
        <v>0</v>
      </c>
      <c r="R56" s="734">
        <f ca="1">SUM(R54:R55)</f>
        <v>75.458005843850458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56.72331229265447</v>
      </c>
      <c r="D61" s="740">
        <f t="shared" ref="D61:Q61" ca="1" si="8">D46+D52+D56</f>
        <v>0</v>
      </c>
      <c r="E61" s="740">
        <f t="shared" ca="1" si="8"/>
        <v>84.305906028760674</v>
      </c>
      <c r="F61" s="740">
        <f t="shared" si="8"/>
        <v>2.310618045503074</v>
      </c>
      <c r="G61" s="740">
        <f t="shared" ca="1" si="8"/>
        <v>150.51705576972071</v>
      </c>
      <c r="H61" s="740">
        <f t="shared" si="8"/>
        <v>591.7783825652067</v>
      </c>
      <c r="I61" s="740">
        <f t="shared" si="8"/>
        <v>127.30548866244116</v>
      </c>
      <c r="J61" s="740">
        <f t="shared" si="8"/>
        <v>0</v>
      </c>
      <c r="K61" s="740">
        <f t="shared" si="8"/>
        <v>26.825535237746951</v>
      </c>
      <c r="L61" s="740">
        <f t="shared" si="8"/>
        <v>0</v>
      </c>
      <c r="M61" s="740">
        <f t="shared" ca="1" si="8"/>
        <v>0</v>
      </c>
      <c r="N61" s="740">
        <f t="shared" si="8"/>
        <v>0</v>
      </c>
      <c r="O61" s="740">
        <f t="shared" ca="1" si="8"/>
        <v>0</v>
      </c>
      <c r="P61" s="740">
        <f t="shared" si="8"/>
        <v>0</v>
      </c>
      <c r="Q61" s="740">
        <f t="shared" si="8"/>
        <v>0</v>
      </c>
      <c r="R61" s="740">
        <f ca="1">R46+R52+R56</f>
        <v>1039.7662986020337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0.1996607577398205</v>
      </c>
      <c r="D63" s="781">
        <f t="shared" ca="1" si="9"/>
        <v>0</v>
      </c>
      <c r="E63" s="1023">
        <f t="shared" ca="1" si="9"/>
        <v>0.20200000000000001</v>
      </c>
      <c r="F63" s="781">
        <f t="shared" si="9"/>
        <v>0.22700000000000001</v>
      </c>
      <c r="G63" s="781">
        <f t="shared" ca="1" si="9"/>
        <v>0.26699999999999996</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27.431881008942703</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27.431881008942703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27.431881008942703</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27.431881008942703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170.90488100894271</v>
      </c>
      <c r="C4" s="477">
        <f>huishoudens!C8</f>
        <v>0</v>
      </c>
      <c r="D4" s="477">
        <f>huishoudens!D8</f>
        <v>240.39562800000002</v>
      </c>
      <c r="E4" s="477">
        <f>huishoudens!E8</f>
        <v>0</v>
      </c>
      <c r="F4" s="477">
        <f>huishoudens!F8</f>
        <v>360.26388124596554</v>
      </c>
      <c r="G4" s="477">
        <f>huishoudens!G8</f>
        <v>0</v>
      </c>
      <c r="H4" s="477">
        <f>huishoudens!H8</f>
        <v>0</v>
      </c>
      <c r="I4" s="477">
        <f>huishoudens!I8</f>
        <v>0</v>
      </c>
      <c r="J4" s="477">
        <f>huishoudens!J8</f>
        <v>68.100076266028779</v>
      </c>
      <c r="K4" s="477">
        <f>huishoudens!K8</f>
        <v>0</v>
      </c>
      <c r="L4" s="477">
        <f>huishoudens!L8</f>
        <v>0</v>
      </c>
      <c r="M4" s="477">
        <f>huishoudens!M8</f>
        <v>0</v>
      </c>
      <c r="N4" s="477">
        <f>huishoudens!N8</f>
        <v>0</v>
      </c>
      <c r="O4" s="477">
        <f>huishoudens!O8</f>
        <v>1.5633333333333335</v>
      </c>
      <c r="P4" s="478">
        <f>huishoudens!P8</f>
        <v>0</v>
      </c>
      <c r="Q4" s="479">
        <f>SUM(B4:P4)</f>
        <v>841.22779985427042</v>
      </c>
    </row>
    <row r="5" spans="1:17">
      <c r="A5" s="476" t="s">
        <v>156</v>
      </c>
      <c r="B5" s="477">
        <f ca="1">tertiair!B16</f>
        <v>32.280999999999999</v>
      </c>
      <c r="C5" s="477">
        <f ca="1">tertiair!C16</f>
        <v>0</v>
      </c>
      <c r="D5" s="477">
        <f ca="1">tertiair!D16</f>
        <v>121.10702999999999</v>
      </c>
      <c r="E5" s="477">
        <f>tertiair!E16</f>
        <v>0.56835580121541862</v>
      </c>
      <c r="F5" s="477">
        <f ca="1">tertiair!F16</f>
        <v>8.3165967799765284</v>
      </c>
      <c r="G5" s="477">
        <f>tertiair!G16</f>
        <v>0</v>
      </c>
      <c r="H5" s="477">
        <f>tertiair!H16</f>
        <v>0</v>
      </c>
      <c r="I5" s="477">
        <f>tertiair!I16</f>
        <v>0</v>
      </c>
      <c r="J5" s="477">
        <f>tertiair!J16</f>
        <v>0</v>
      </c>
      <c r="K5" s="477">
        <f>tertiair!K16</f>
        <v>0</v>
      </c>
      <c r="L5" s="477">
        <f ca="1">tertiair!L16</f>
        <v>0</v>
      </c>
      <c r="M5" s="477">
        <f>tertiair!M16</f>
        <v>0</v>
      </c>
      <c r="N5" s="477">
        <f ca="1">tertiair!N16</f>
        <v>2.8485386261362224</v>
      </c>
      <c r="O5" s="477">
        <f>tertiair!O16</f>
        <v>0</v>
      </c>
      <c r="P5" s="478">
        <f>tertiair!P16</f>
        <v>0</v>
      </c>
      <c r="Q5" s="476">
        <f t="shared" ref="Q5:Q14" ca="1" si="0">SUM(B5:P5)</f>
        <v>165.12152120732816</v>
      </c>
    </row>
    <row r="6" spans="1:17">
      <c r="A6" s="476" t="s">
        <v>194</v>
      </c>
      <c r="B6" s="477">
        <f>'openbare verlichting'!B8</f>
        <v>10.807</v>
      </c>
      <c r="C6" s="477"/>
      <c r="D6" s="477"/>
      <c r="E6" s="477"/>
      <c r="F6" s="477"/>
      <c r="G6" s="477"/>
      <c r="H6" s="477"/>
      <c r="I6" s="477"/>
      <c r="J6" s="477"/>
      <c r="K6" s="477"/>
      <c r="L6" s="477"/>
      <c r="M6" s="477"/>
      <c r="N6" s="477"/>
      <c r="O6" s="477"/>
      <c r="P6" s="478"/>
      <c r="Q6" s="476">
        <f t="shared" si="0"/>
        <v>10.807</v>
      </c>
    </row>
    <row r="7" spans="1:17">
      <c r="A7" s="476" t="s">
        <v>112</v>
      </c>
      <c r="B7" s="477">
        <f>landbouw!B8</f>
        <v>52.384999999999998</v>
      </c>
      <c r="C7" s="477">
        <f>landbouw!C8</f>
        <v>0</v>
      </c>
      <c r="D7" s="477">
        <f>landbouw!D8</f>
        <v>43.086736000000002</v>
      </c>
      <c r="E7" s="477">
        <f>landbouw!E8</f>
        <v>1.350808014854191</v>
      </c>
      <c r="F7" s="477">
        <f>landbouw!F8</f>
        <v>191.47715123863284</v>
      </c>
      <c r="G7" s="477">
        <f>landbouw!G8</f>
        <v>0</v>
      </c>
      <c r="H7" s="477">
        <f>landbouw!H8</f>
        <v>0</v>
      </c>
      <c r="I7" s="477">
        <f>landbouw!I8</f>
        <v>0</v>
      </c>
      <c r="J7" s="477">
        <f>landbouw!J8</f>
        <v>7.5415129309691737</v>
      </c>
      <c r="K7" s="477">
        <f>landbouw!K8</f>
        <v>0</v>
      </c>
      <c r="L7" s="477">
        <f>landbouw!L8</f>
        <v>0</v>
      </c>
      <c r="M7" s="477">
        <f>landbouw!M8</f>
        <v>0</v>
      </c>
      <c r="N7" s="477">
        <f>landbouw!N8</f>
        <v>0</v>
      </c>
      <c r="O7" s="477">
        <f>landbouw!O8</f>
        <v>0</v>
      </c>
      <c r="P7" s="478">
        <f>landbouw!P8</f>
        <v>0</v>
      </c>
      <c r="Q7" s="476">
        <f t="shared" si="0"/>
        <v>295.84120818445621</v>
      </c>
    </row>
    <row r="8" spans="1:17">
      <c r="A8" s="476" t="s">
        <v>638</v>
      </c>
      <c r="B8" s="477">
        <f>industrie!B18</f>
        <v>16.869</v>
      </c>
      <c r="C8" s="477">
        <f>industrie!C18</f>
        <v>0</v>
      </c>
      <c r="D8" s="477">
        <f>industrie!D18</f>
        <v>0</v>
      </c>
      <c r="E8" s="477">
        <f>industrie!E18</f>
        <v>0.9155293807998518</v>
      </c>
      <c r="F8" s="477">
        <f>industrie!F18</f>
        <v>3.6766620077873173</v>
      </c>
      <c r="G8" s="477">
        <f>industrie!G18</f>
        <v>0</v>
      </c>
      <c r="H8" s="477">
        <f>industrie!H18</f>
        <v>0</v>
      </c>
      <c r="I8" s="477">
        <f>industrie!I18</f>
        <v>0</v>
      </c>
      <c r="J8" s="477">
        <f>industrie!J18</f>
        <v>0.13675893223073179</v>
      </c>
      <c r="K8" s="477">
        <f>industrie!K18</f>
        <v>0</v>
      </c>
      <c r="L8" s="477">
        <f>industrie!L18</f>
        <v>0</v>
      </c>
      <c r="M8" s="477">
        <f>industrie!M18</f>
        <v>0</v>
      </c>
      <c r="N8" s="477">
        <f>industrie!N18</f>
        <v>3.3968716057531694</v>
      </c>
      <c r="O8" s="477">
        <f>industrie!O18</f>
        <v>0</v>
      </c>
      <c r="P8" s="478">
        <f>industrie!P18</f>
        <v>0</v>
      </c>
      <c r="Q8" s="476">
        <f t="shared" si="0"/>
        <v>24.99482192657107</v>
      </c>
    </row>
    <row r="9" spans="1:17" s="482" customFormat="1">
      <c r="A9" s="480" t="s">
        <v>564</v>
      </c>
      <c r="B9" s="481">
        <f>transport!B14</f>
        <v>0.85157145997494055</v>
      </c>
      <c r="C9" s="481">
        <f>transport!C14</f>
        <v>0</v>
      </c>
      <c r="D9" s="481">
        <f>transport!D14</f>
        <v>1.9025764394092357</v>
      </c>
      <c r="E9" s="481">
        <f>transport!E14</f>
        <v>7.344240924289454</v>
      </c>
      <c r="F9" s="481">
        <f>transport!F14</f>
        <v>0</v>
      </c>
      <c r="G9" s="481">
        <f>transport!G14</f>
        <v>2201.0504934884329</v>
      </c>
      <c r="H9" s="481">
        <f>transport!H14</f>
        <v>511.26702274072755</v>
      </c>
      <c r="I9" s="481">
        <f>transport!I14</f>
        <v>0</v>
      </c>
      <c r="J9" s="481">
        <f>transport!J14</f>
        <v>0</v>
      </c>
      <c r="K9" s="481">
        <f>transport!K14</f>
        <v>0</v>
      </c>
      <c r="L9" s="481">
        <f>transport!L14</f>
        <v>0</v>
      </c>
      <c r="M9" s="481">
        <f>transport!M14</f>
        <v>84.664954312134711</v>
      </c>
      <c r="N9" s="481">
        <f>transport!N14</f>
        <v>0</v>
      </c>
      <c r="O9" s="481">
        <f>transport!O14</f>
        <v>0</v>
      </c>
      <c r="P9" s="481">
        <f>transport!P14</f>
        <v>0</v>
      </c>
      <c r="Q9" s="480">
        <f>SUM(B9:P9)</f>
        <v>2807.080859364969</v>
      </c>
    </row>
    <row r="10" spans="1:17">
      <c r="A10" s="476" t="s">
        <v>554</v>
      </c>
      <c r="B10" s="477">
        <f>transport!B54</f>
        <v>0</v>
      </c>
      <c r="C10" s="477">
        <f>transport!C54</f>
        <v>0</v>
      </c>
      <c r="D10" s="477">
        <f>transport!D54</f>
        <v>0</v>
      </c>
      <c r="E10" s="477">
        <f>transport!E54</f>
        <v>0</v>
      </c>
      <c r="F10" s="477">
        <f>transport!F54</f>
        <v>0</v>
      </c>
      <c r="G10" s="477">
        <f>transport!G54</f>
        <v>15.347943085374823</v>
      </c>
      <c r="H10" s="477">
        <f>transport!H54</f>
        <v>0</v>
      </c>
      <c r="I10" s="477">
        <f>transport!I54</f>
        <v>0</v>
      </c>
      <c r="J10" s="477">
        <f>transport!J54</f>
        <v>0</v>
      </c>
      <c r="K10" s="477">
        <f>transport!K54</f>
        <v>0</v>
      </c>
      <c r="L10" s="477">
        <f>transport!L54</f>
        <v>0</v>
      </c>
      <c r="M10" s="477">
        <f>transport!M54</f>
        <v>0.4760588583649667</v>
      </c>
      <c r="N10" s="477">
        <f>transport!N54</f>
        <v>0</v>
      </c>
      <c r="O10" s="477">
        <f>transport!O54</f>
        <v>0</v>
      </c>
      <c r="P10" s="478">
        <f>transport!P54</f>
        <v>0</v>
      </c>
      <c r="Q10" s="476">
        <f t="shared" si="0"/>
        <v>15.824001943739789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0</v>
      </c>
      <c r="C14" s="484"/>
      <c r="D14" s="484">
        <f>'SEAP template'!E25</f>
        <v>10.864000000000001</v>
      </c>
      <c r="E14" s="484"/>
      <c r="F14" s="484"/>
      <c r="G14" s="484"/>
      <c r="H14" s="484"/>
      <c r="I14" s="484"/>
      <c r="J14" s="484"/>
      <c r="K14" s="484"/>
      <c r="L14" s="484"/>
      <c r="M14" s="484"/>
      <c r="N14" s="484"/>
      <c r="O14" s="484"/>
      <c r="P14" s="485"/>
      <c r="Q14" s="476">
        <f t="shared" si="0"/>
        <v>10.864000000000001</v>
      </c>
    </row>
    <row r="15" spans="1:17" s="486" customFormat="1">
      <c r="A15" s="1038" t="s">
        <v>558</v>
      </c>
      <c r="B15" s="978">
        <f ca="1">SUM(B4:B14)</f>
        <v>284.09845246891769</v>
      </c>
      <c r="C15" s="978">
        <f t="shared" ref="C15:Q15" ca="1" si="1">SUM(C4:C14)</f>
        <v>0</v>
      </c>
      <c r="D15" s="978">
        <f t="shared" ca="1" si="1"/>
        <v>417.35597043940919</v>
      </c>
      <c r="E15" s="978">
        <f t="shared" si="1"/>
        <v>10.178934121158916</v>
      </c>
      <c r="F15" s="978">
        <f t="shared" ca="1" si="1"/>
        <v>563.73429127236216</v>
      </c>
      <c r="G15" s="978">
        <f t="shared" si="1"/>
        <v>2216.3984365738079</v>
      </c>
      <c r="H15" s="978">
        <f t="shared" si="1"/>
        <v>511.26702274072755</v>
      </c>
      <c r="I15" s="978">
        <f t="shared" si="1"/>
        <v>0</v>
      </c>
      <c r="J15" s="978">
        <f t="shared" si="1"/>
        <v>75.778348129228689</v>
      </c>
      <c r="K15" s="978">
        <f t="shared" si="1"/>
        <v>0</v>
      </c>
      <c r="L15" s="978">
        <f t="shared" ca="1" si="1"/>
        <v>0</v>
      </c>
      <c r="M15" s="978">
        <f t="shared" si="1"/>
        <v>85.141013170499676</v>
      </c>
      <c r="N15" s="978">
        <f t="shared" ca="1" si="1"/>
        <v>6.2454102318893918</v>
      </c>
      <c r="O15" s="978">
        <f t="shared" si="1"/>
        <v>1.5633333333333335</v>
      </c>
      <c r="P15" s="978">
        <f t="shared" si="1"/>
        <v>0</v>
      </c>
      <c r="Q15" s="978">
        <f t="shared" ca="1" si="1"/>
        <v>4171.761212481335</v>
      </c>
    </row>
    <row r="17" spans="1:17">
      <c r="A17" s="487" t="s">
        <v>559</v>
      </c>
      <c r="B17" s="786">
        <f ca="1">huishoudens!B10</f>
        <v>0.19966075773982048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34.122998043679353</v>
      </c>
      <c r="C22" s="477">
        <f t="shared" ref="C22:C32" ca="1" si="3">C4*$C$17</f>
        <v>0</v>
      </c>
      <c r="D22" s="477">
        <f t="shared" ref="D22:D32" si="4">D4*$D$17</f>
        <v>48.559916856000008</v>
      </c>
      <c r="E22" s="477">
        <f t="shared" ref="E22:E32" si="5">E4*$E$17</f>
        <v>0</v>
      </c>
      <c r="F22" s="477">
        <f t="shared" ref="F22:F32" si="6">F4*$F$17</f>
        <v>96.190456292672806</v>
      </c>
      <c r="G22" s="477">
        <f t="shared" ref="G22:G32" si="7">G4*$G$17</f>
        <v>0</v>
      </c>
      <c r="H22" s="477">
        <f t="shared" ref="H22:H32" si="8">H4*$H$17</f>
        <v>0</v>
      </c>
      <c r="I22" s="477">
        <f t="shared" ref="I22:I32" si="9">I4*$I$17</f>
        <v>0</v>
      </c>
      <c r="J22" s="477">
        <f t="shared" ref="J22:J32" si="10">J4*$J$17</f>
        <v>24.107426998174187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202.98079819052637</v>
      </c>
    </row>
    <row r="23" spans="1:17">
      <c r="A23" s="476" t="s">
        <v>156</v>
      </c>
      <c r="B23" s="477">
        <f t="shared" ca="1" si="2"/>
        <v>6.4452489205991448</v>
      </c>
      <c r="C23" s="477">
        <f t="shared" ca="1" si="3"/>
        <v>0</v>
      </c>
      <c r="D23" s="477">
        <f t="shared" ca="1" si="4"/>
        <v>24.46362006</v>
      </c>
      <c r="E23" s="477">
        <f t="shared" si="5"/>
        <v>0.12901676687590002</v>
      </c>
      <c r="F23" s="477">
        <f t="shared" ca="1" si="6"/>
        <v>2.220531340253733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33.25841708772878</v>
      </c>
    </row>
    <row r="24" spans="1:17">
      <c r="A24" s="476" t="s">
        <v>194</v>
      </c>
      <c r="B24" s="477">
        <f t="shared" ca="1" si="2"/>
        <v>2.1577338088942399</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2.1577338088942399</v>
      </c>
    </row>
    <row r="25" spans="1:17">
      <c r="A25" s="476" t="s">
        <v>112</v>
      </c>
      <c r="B25" s="477">
        <f t="shared" ca="1" si="2"/>
        <v>10.459228794200495</v>
      </c>
      <c r="C25" s="477">
        <f t="shared" ca="1" si="3"/>
        <v>0</v>
      </c>
      <c r="D25" s="477">
        <f t="shared" si="4"/>
        <v>8.7035206720000016</v>
      </c>
      <c r="E25" s="477">
        <f t="shared" si="5"/>
        <v>0.30663341937190136</v>
      </c>
      <c r="F25" s="477">
        <f t="shared" si="6"/>
        <v>51.124399380714969</v>
      </c>
      <c r="G25" s="477">
        <f t="shared" si="7"/>
        <v>0</v>
      </c>
      <c r="H25" s="477">
        <f t="shared" si="8"/>
        <v>0</v>
      </c>
      <c r="I25" s="477">
        <f t="shared" si="9"/>
        <v>0</v>
      </c>
      <c r="J25" s="477">
        <f t="shared" si="10"/>
        <v>2.6696955775630875</v>
      </c>
      <c r="K25" s="477">
        <f t="shared" si="11"/>
        <v>0</v>
      </c>
      <c r="L25" s="477">
        <f t="shared" si="12"/>
        <v>0</v>
      </c>
      <c r="M25" s="477">
        <f t="shared" si="13"/>
        <v>0</v>
      </c>
      <c r="N25" s="477">
        <f t="shared" si="14"/>
        <v>0</v>
      </c>
      <c r="O25" s="477">
        <f t="shared" si="15"/>
        <v>0</v>
      </c>
      <c r="P25" s="478">
        <f t="shared" si="16"/>
        <v>0</v>
      </c>
      <c r="Q25" s="476">
        <f t="shared" ca="1" si="17"/>
        <v>73.263477843850453</v>
      </c>
    </row>
    <row r="26" spans="1:17">
      <c r="A26" s="476" t="s">
        <v>638</v>
      </c>
      <c r="B26" s="477">
        <f t="shared" ca="1" si="2"/>
        <v>3.3680773223130314</v>
      </c>
      <c r="C26" s="477">
        <f t="shared" ca="1" si="3"/>
        <v>0</v>
      </c>
      <c r="D26" s="477">
        <f t="shared" si="4"/>
        <v>0</v>
      </c>
      <c r="E26" s="477">
        <f t="shared" si="5"/>
        <v>0.20782516944156637</v>
      </c>
      <c r="F26" s="477">
        <f t="shared" si="6"/>
        <v>0.98166875607921378</v>
      </c>
      <c r="G26" s="477">
        <f t="shared" si="7"/>
        <v>0</v>
      </c>
      <c r="H26" s="477">
        <f t="shared" si="8"/>
        <v>0</v>
      </c>
      <c r="I26" s="477">
        <f t="shared" si="9"/>
        <v>0</v>
      </c>
      <c r="J26" s="477">
        <f t="shared" si="10"/>
        <v>4.8412662009679051E-2</v>
      </c>
      <c r="K26" s="477">
        <f t="shared" si="11"/>
        <v>0</v>
      </c>
      <c r="L26" s="477">
        <f t="shared" si="12"/>
        <v>0</v>
      </c>
      <c r="M26" s="477">
        <f t="shared" si="13"/>
        <v>0</v>
      </c>
      <c r="N26" s="477">
        <f t="shared" si="14"/>
        <v>0</v>
      </c>
      <c r="O26" s="477">
        <f t="shared" si="15"/>
        <v>0</v>
      </c>
      <c r="P26" s="478">
        <f t="shared" si="16"/>
        <v>0</v>
      </c>
      <c r="Q26" s="476">
        <f t="shared" ca="1" si="17"/>
        <v>4.6059839098434905</v>
      </c>
    </row>
    <row r="27" spans="1:17" s="482" customFormat="1">
      <c r="A27" s="480" t="s">
        <v>564</v>
      </c>
      <c r="B27" s="780">
        <f t="shared" ca="1" si="2"/>
        <v>0.17002540296820184</v>
      </c>
      <c r="C27" s="481">
        <f t="shared" ca="1" si="3"/>
        <v>0</v>
      </c>
      <c r="D27" s="481">
        <f t="shared" si="4"/>
        <v>0.38432044076066563</v>
      </c>
      <c r="E27" s="481">
        <f t="shared" si="5"/>
        <v>1.6671426898137061</v>
      </c>
      <c r="F27" s="481">
        <f t="shared" si="6"/>
        <v>0</v>
      </c>
      <c r="G27" s="481">
        <f t="shared" si="7"/>
        <v>587.68048176141167</v>
      </c>
      <c r="H27" s="481">
        <f t="shared" si="8"/>
        <v>127.30548866244116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717.20745895739537</v>
      </c>
    </row>
    <row r="28" spans="1:17">
      <c r="A28" s="476" t="s">
        <v>554</v>
      </c>
      <c r="B28" s="477">
        <f t="shared" ca="1" si="2"/>
        <v>0</v>
      </c>
      <c r="C28" s="477">
        <f t="shared" ca="1" si="3"/>
        <v>0</v>
      </c>
      <c r="D28" s="477">
        <f t="shared" si="4"/>
        <v>0</v>
      </c>
      <c r="E28" s="477">
        <f t="shared" si="5"/>
        <v>0</v>
      </c>
      <c r="F28" s="477">
        <f t="shared" si="6"/>
        <v>0</v>
      </c>
      <c r="G28" s="477">
        <f t="shared" si="7"/>
        <v>4.0979008037950777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4.0979008037950777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0</v>
      </c>
      <c r="C32" s="477">
        <f t="shared" ca="1" si="3"/>
        <v>0</v>
      </c>
      <c r="D32" s="477">
        <f t="shared" si="4"/>
        <v>2.1945280000000005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2.1945280000000005</v>
      </c>
    </row>
    <row r="33" spans="1:17" s="486" customFormat="1">
      <c r="A33" s="1038" t="s">
        <v>558</v>
      </c>
      <c r="B33" s="978">
        <f ca="1">SUM(B22:B32)</f>
        <v>56.72331229265447</v>
      </c>
      <c r="C33" s="978">
        <f t="shared" ref="C33:Q33" ca="1" si="18">SUM(C22:C32)</f>
        <v>0</v>
      </c>
      <c r="D33" s="978">
        <f t="shared" ca="1" si="18"/>
        <v>84.305906028760674</v>
      </c>
      <c r="E33" s="978">
        <f t="shared" si="18"/>
        <v>2.310618045503074</v>
      </c>
      <c r="F33" s="978">
        <f t="shared" ca="1" si="18"/>
        <v>150.51705576972071</v>
      </c>
      <c r="G33" s="978">
        <f t="shared" si="18"/>
        <v>591.7783825652067</v>
      </c>
      <c r="H33" s="978">
        <f t="shared" si="18"/>
        <v>127.30548866244116</v>
      </c>
      <c r="I33" s="978">
        <f t="shared" si="18"/>
        <v>0</v>
      </c>
      <c r="J33" s="978">
        <f t="shared" si="18"/>
        <v>26.825535237746951</v>
      </c>
      <c r="K33" s="978">
        <f t="shared" si="18"/>
        <v>0</v>
      </c>
      <c r="L33" s="978">
        <f t="shared" ca="1" si="18"/>
        <v>0</v>
      </c>
      <c r="M33" s="978">
        <f t="shared" si="18"/>
        <v>0</v>
      </c>
      <c r="N33" s="978">
        <f t="shared" ca="1" si="18"/>
        <v>0</v>
      </c>
      <c r="O33" s="978">
        <f t="shared" si="18"/>
        <v>0</v>
      </c>
      <c r="P33" s="978">
        <f t="shared" si="18"/>
        <v>0</v>
      </c>
      <c r="Q33" s="978">
        <f t="shared" ca="1" si="18"/>
        <v>1039.7662986020337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27.431881008942703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27.431881008942703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0.19966075773982048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872</v>
      </c>
      <c r="B22" s="786" t="s">
        <v>866</v>
      </c>
      <c r="C22" s="786">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0.19966075773982048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2019-06-29T16:58:52Z</dcterms:modified>
</cp:coreProperties>
</file>