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E89" i="14" s="1"/>
  <c r="E19" i="59" s="1"/>
  <c r="C19" i="18"/>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E77" i="14" s="1"/>
  <c r="E9" i="59" s="1"/>
  <c r="C9" i="18"/>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25"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O78" l="1"/>
  <c r="O9" i="59"/>
  <c r="O10" s="1"/>
  <c r="O19"/>
  <c r="O20" s="1"/>
  <c r="O90" i="14"/>
  <c r="N19" i="59"/>
  <c r="N90" i="14"/>
  <c r="L18" i="59"/>
  <c r="L20" s="1"/>
  <c r="L90" i="14"/>
  <c r="H90"/>
  <c r="H18" i="59"/>
  <c r="H20" s="1"/>
  <c r="H78" i="14"/>
  <c r="H8" i="59"/>
  <c r="K10"/>
  <c r="C98" i="18"/>
  <c r="B101" s="1"/>
  <c r="C8" s="1"/>
  <c r="B10"/>
  <c r="L10"/>
  <c r="E20" i="59"/>
  <c r="O29" i="48"/>
  <c r="P31"/>
  <c r="D20" i="18"/>
  <c r="E10" i="59"/>
  <c r="K20"/>
  <c r="P32" i="48"/>
  <c r="R25" i="14"/>
  <c r="D10" i="18"/>
  <c r="F13" i="15"/>
  <c r="L78" i="14"/>
  <c r="L8" i="59"/>
  <c r="L10" s="1"/>
  <c r="H10"/>
  <c r="P29" i="48"/>
  <c r="K90" i="14"/>
  <c r="K10" i="18"/>
  <c r="N20" i="59"/>
  <c r="B17" i="18"/>
  <c r="B20" s="1"/>
  <c r="G78" i="14"/>
  <c r="N10" i="59"/>
  <c r="B8" i="18"/>
  <c r="O19"/>
  <c r="L13" i="15"/>
  <c r="N13"/>
  <c r="Q77" i="14"/>
  <c r="P9" i="59" s="1"/>
  <c r="O9" i="18"/>
  <c r="O18"/>
  <c r="B89" i="14"/>
  <c r="B19" i="59" s="1"/>
  <c r="G88" i="14"/>
  <c r="F89"/>
  <c r="I101" i="18"/>
  <c r="H8" s="1"/>
  <c r="E101"/>
  <c r="E8" s="1"/>
  <c r="H101"/>
  <c r="D101"/>
  <c r="G101"/>
  <c r="C101"/>
  <c r="F10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G90" l="1"/>
  <c r="G18" i="59"/>
  <c r="G20" s="1"/>
  <c r="C89" i="14"/>
  <c r="C19" i="59" s="1"/>
  <c r="F19"/>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H5" i="48" l="1"/>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29" i="48" l="1"/>
  <c r="G32"/>
  <c r="G25"/>
  <c r="G26"/>
  <c r="G30"/>
  <c r="G24"/>
  <c r="G22"/>
  <c r="G23"/>
  <c r="F32"/>
  <c r="F28"/>
  <c r="F27"/>
  <c r="F31"/>
  <c r="F30"/>
  <c r="F24"/>
  <c r="F29"/>
  <c r="J32"/>
  <c r="J31"/>
  <c r="J29"/>
  <c r="J28"/>
  <c r="J27"/>
  <c r="J30"/>
  <c r="J24"/>
  <c r="P4"/>
  <c r="Q11" i="14"/>
  <c r="O4" i="48"/>
  <c r="P11" i="14"/>
  <c r="I27" i="48"/>
  <c r="I32"/>
  <c r="I31"/>
  <c r="I25"/>
  <c r="I29"/>
  <c r="I26"/>
  <c r="I28"/>
  <c r="I24"/>
  <c r="I22"/>
  <c r="I30"/>
  <c r="D4"/>
  <c r="D22" s="1"/>
  <c r="E11" i="14"/>
  <c r="H32" i="48"/>
  <c r="H25"/>
  <c r="H26"/>
  <c r="H28"/>
  <c r="H29"/>
  <c r="H24"/>
  <c r="H22"/>
  <c r="H30"/>
  <c r="H23"/>
  <c r="N46" i="14"/>
  <c r="C4" i="48"/>
  <c r="D11" i="14"/>
  <c r="B4" i="48"/>
  <c r="C11" i="14"/>
  <c r="N32" i="48"/>
  <c r="N28"/>
  <c r="N27"/>
  <c r="N30"/>
  <c r="N24"/>
  <c r="N31"/>
  <c r="N29"/>
  <c r="B10"/>
  <c r="C19" i="14"/>
  <c r="E28" i="48"/>
  <c r="E32"/>
  <c r="E31"/>
  <c r="E24"/>
  <c r="E30"/>
  <c r="E29"/>
  <c r="M32"/>
  <c r="M24"/>
  <c r="M26"/>
  <c r="M22"/>
  <c r="M30"/>
  <c r="M29"/>
  <c r="M25"/>
  <c r="M23"/>
  <c r="L10" i="14"/>
  <c r="L16" s="1"/>
  <c r="L27" s="1"/>
  <c r="K5" i="48"/>
  <c r="D28"/>
  <c r="D32"/>
  <c r="D30"/>
  <c r="D31"/>
  <c r="D24"/>
  <c r="D29"/>
  <c r="L27"/>
  <c r="L32"/>
  <c r="L28"/>
  <c r="L29"/>
  <c r="L22"/>
  <c r="L24"/>
  <c r="L31"/>
  <c r="L30"/>
  <c r="P5"/>
  <c r="P23" s="1"/>
  <c r="Q10" i="14"/>
  <c r="K32" i="48"/>
  <c r="K31"/>
  <c r="K25"/>
  <c r="K28"/>
  <c r="K27"/>
  <c r="K29"/>
  <c r="K24"/>
  <c r="K30"/>
  <c r="K26"/>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J46" s="1"/>
  <c r="J61"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J63" s="1"/>
  <c r="O22" i="48"/>
  <c r="M12" i="22"/>
  <c r="M13" i="48"/>
  <c r="M31" s="1"/>
  <c r="N18" i="14"/>
  <c r="H18"/>
  <c r="G13" i="48"/>
  <c r="H13"/>
  <c r="H31" s="1"/>
  <c r="I18" i="14"/>
  <c r="F4" i="48"/>
  <c r="F22" s="1"/>
  <c r="G11" i="14"/>
  <c r="Q13"/>
  <c r="P8" i="48"/>
  <c r="P26" s="1"/>
  <c r="F20" i="14"/>
  <c r="F22" s="1"/>
  <c r="E9" i="48"/>
  <c r="E27" s="1"/>
  <c r="E20" i="14"/>
  <c r="E22" s="1"/>
  <c r="D9" i="48"/>
  <c r="D27" s="1"/>
  <c r="O5"/>
  <c r="O23" s="1"/>
  <c r="P10" i="14"/>
  <c r="K24"/>
  <c r="K26" s="1"/>
  <c r="J7" i="48"/>
  <c r="J25" s="1"/>
  <c r="K23"/>
  <c r="K33" s="1"/>
  <c r="K15"/>
  <c r="P15"/>
  <c r="P22"/>
  <c r="P33" s="1"/>
  <c r="C20" i="14"/>
  <c r="B9" i="48"/>
  <c r="Q16" i="14"/>
  <c r="Q27" s="1"/>
  <c r="Q63"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47" s="1"/>
  <c r="B36"/>
  <c r="D18" i="16"/>
  <c r="G31" i="20"/>
  <c r="H48" i="14" s="1"/>
  <c r="G12" i="22"/>
  <c r="D16" i="15"/>
  <c r="D5" i="48" s="1"/>
  <c r="N8" i="17"/>
  <c r="L8"/>
  <c r="M50" i="22"/>
  <c r="M54" s="1"/>
  <c r="G51"/>
  <c r="G50" s="1"/>
  <c r="G54" s="1"/>
  <c r="F12" i="17"/>
  <c r="G54" i="14" s="1"/>
  <c r="G56" s="1"/>
  <c r="M31" i="20"/>
  <c r="N48" i="14" s="1"/>
  <c r="H31" i="20"/>
  <c r="I48" i="14" s="1"/>
  <c r="M5" i="22"/>
  <c r="G5"/>
  <c r="G14" s="1"/>
  <c r="H5"/>
  <c r="H14" s="1"/>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G9"/>
  <c r="H20" i="14"/>
  <c r="I20"/>
  <c r="I22" s="1"/>
  <c r="I27" s="1"/>
  <c r="H9" i="48"/>
  <c r="M10"/>
  <c r="M28" s="1"/>
  <c r="N19" i="14"/>
  <c r="G31" i="48"/>
  <c r="Q13"/>
  <c r="I23"/>
  <c r="I33" s="1"/>
  <c r="I15"/>
  <c r="N4"/>
  <c r="N22" s="1"/>
  <c r="O11" i="14"/>
  <c r="J4" i="48"/>
  <c r="K11" i="14"/>
  <c r="E7" i="48"/>
  <c r="E25" s="1"/>
  <c r="F24" i="14"/>
  <c r="F26" s="1"/>
  <c r="O22" i="16"/>
  <c r="P43" i="14" s="1"/>
  <c r="O8" i="48"/>
  <c r="O26" s="1"/>
  <c r="O33" s="1"/>
  <c r="P13" i="14"/>
  <c r="P16" s="1"/>
  <c r="P27" s="1"/>
  <c r="P46"/>
  <c r="P61" s="1"/>
  <c r="M14" i="22"/>
  <c r="C22" i="14"/>
  <c r="G10" i="48"/>
  <c r="H19" i="14"/>
  <c r="R1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N52" l="1"/>
  <c r="N61" s="1"/>
  <c r="N63" s="1"/>
  <c r="R20"/>
  <c r="I63"/>
  <c r="H52"/>
  <c r="H61" s="1"/>
  <c r="E22" i="48"/>
  <c r="Q4"/>
  <c r="G28"/>
  <c r="Q10"/>
  <c r="G27"/>
  <c r="G33" s="1"/>
  <c r="G15"/>
  <c r="P63" i="14"/>
  <c r="R11"/>
  <c r="J5" i="48"/>
  <c r="J23" s="1"/>
  <c r="K10" i="14"/>
  <c r="N20"/>
  <c r="N22" s="1"/>
  <c r="N27" s="1"/>
  <c r="M9" i="48"/>
  <c r="H27"/>
  <c r="H33" s="1"/>
  <c r="H15"/>
  <c r="E5"/>
  <c r="E23" s="1"/>
  <c r="F10" i="14"/>
  <c r="J22" i="48"/>
  <c r="R24" i="14"/>
  <c r="R26" s="1"/>
  <c r="R19"/>
  <c r="R22" s="1"/>
  <c r="M18" i="22"/>
  <c r="N50" i="14" s="1"/>
  <c r="H22"/>
  <c r="H27" s="1"/>
  <c r="J20" i="15"/>
  <c r="K40" i="14" s="1"/>
  <c r="O15" i="48"/>
  <c r="Q7"/>
  <c r="E20" i="15"/>
  <c r="F40" i="14" s="1"/>
  <c r="J18" i="16"/>
  <c r="E18"/>
  <c r="F18"/>
  <c r="F22" s="1"/>
  <c r="G43" i="14" s="1"/>
  <c r="N18" i="16"/>
  <c r="G18" i="22"/>
  <c r="H50" i="14" s="1"/>
  <c r="H18" i="22"/>
  <c r="I50" i="14" s="1"/>
  <c r="I52" s="1"/>
  <c r="I61" s="1"/>
  <c r="K46" l="1"/>
  <c r="K61" s="1"/>
  <c r="H63"/>
  <c r="M27" i="48"/>
  <c r="M33" s="1"/>
  <c r="M15"/>
  <c r="J22" i="16"/>
  <c r="K43" i="14" s="1"/>
  <c r="J8" i="48"/>
  <c r="K13" i="14"/>
  <c r="E8" i="48"/>
  <c r="E26" s="1"/>
  <c r="F13" i="14"/>
  <c r="F16" s="1"/>
  <c r="F27" s="1"/>
  <c r="F46"/>
  <c r="F61" s="1"/>
  <c r="E33" i="48"/>
  <c r="Q9"/>
  <c r="E15"/>
  <c r="E22" i="16"/>
  <c r="F43" i="14" s="1"/>
  <c r="K16"/>
  <c r="K27" s="1"/>
  <c r="N8" i="48"/>
  <c r="N26" s="1"/>
  <c r="O13" i="14"/>
  <c r="N22" i="16"/>
  <c r="O43" i="14" s="1"/>
  <c r="G13"/>
  <c r="F8" i="48"/>
  <c r="J26" l="1"/>
  <c r="J33" s="1"/>
  <c r="J15"/>
  <c r="K63" i="14"/>
  <c r="F63"/>
  <c r="R1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<sst xmlns="http://schemas.openxmlformats.org/spreadsheetml/2006/main" count="2389" uniqueCount="887">
  <si>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</si>
  <si>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</si>
  <si>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</si>
  <si>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</si>
  <si>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</si>
  <si>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</si>
  <si>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</si>
  <si>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</si>
  <si>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</si>
  <si>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</si>
  <si>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</si>
  <si>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</si>
  <si>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</si>
  <si>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</si>
  <si>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</si>
  <si>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</si>
  <si>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</si>
  <si>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</si>
  <si>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</si>
  <si>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</si>
  <si>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</si>
  <si>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</si>
  <si>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</si>
  <si>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</si>
  <si>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</si>
  <si>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</si>
  <si>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</si>
  <si>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</si>
  <si>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</si>
  <si>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</si>
  <si>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</si>
  <si>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</si>
  <si>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</si>
  <si>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</si>
  <si>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</si>
  <si>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</si>
  <si>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</si>
  <si>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</si>
  <si>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</si>
  <si>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</si>
  <si>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</si>
  <si>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</si>
  <si>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</si>
  <si>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</si>
  <si>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</si>
  <si>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</si>
  <si>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</si>
  <si>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</si>
  <si>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</si>
  <si>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</si>
  <si>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</si>
  <si>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</si>
  <si>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</si>
  <si>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</si>
  <si>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</si>
  <si>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</si>
  <si>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</si>
  <si>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</si>
  <si>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</si>
  <si>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</si>
  <si>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</si>
  <si>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</si>
  <si>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</si>
  <si>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</si>
  <si>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</si>
  <si>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</si>
  <si>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</si>
  <si>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</si>
  <si>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</si>
  <si>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</si>
  <si>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</si>
  <si>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</si>
  <si>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</si>
  <si>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</si>
  <si>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</si>
  <si>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</si>
  <si>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</si>
  <si>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</si>
  <si>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</si>
  <si>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</si>
  <si>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</si>
  <si>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</si>
  <si>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</si>
  <si>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</si>
  <si>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</si>
  <si>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</si>
  <si>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</si>
  <si>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</si>
  <si>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</si>
  <si>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</si>
  <si>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</si>
  <si>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</si>
  <si>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</si>
  <si>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</si>
  <si>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</si>
  <si>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</si>
  <si>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</si>
  <si>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</si>
  <si>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</si>
  <si>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</si>
  <si>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</si>
  <si>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</si>
  <si>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</si>
  <si>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</si>
  <si>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</si>
  <si>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</si>
  <si>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</si>
  <si>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</si>
  <si>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</si>
  <si>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</si>
  <si>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</si>
  <si>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</si>
  <si>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</si>
  <si>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</si>
  <si>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</si>
  <si>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</si>
  <si>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</si>
  <si>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</si>
  <si>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</si>
  <si>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</si>
  <si>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</si>
  <si>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</si>
  <si>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</si>
  <si>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</si>
  <si>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</si>
  <si>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</si>
  <si>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</si>
  <si>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</si>
  <si>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</si>
  <si>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</si>
  <si>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</si>
  <si>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</si>
  <si>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</si>
  <si>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</si>
  <si>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</si>
  <si>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</si>
  <si>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</si>
  <si>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</si>
  <si>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</si>
  <si>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</si>
  <si>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</si>
  <si>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</si>
  <si>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</si>
  <si>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</si>
  <si>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</si>
  <si>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</si>
  <si>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</si>
  <si>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</si>
  <si>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</si>
  <si>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</si>
  <si>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</si>
  <si>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</si>
  <si>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</si>
  <si>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</si>
  <si>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</si>
  <si>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</si>
  <si>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</si>
  <si>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</si>
  <si>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</si>
  <si>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</si>
  <si>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</si>
  <si>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</si>
  <si>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</si>
  <si>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</si>
  <si>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</si>
  <si>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</si>
  <si>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</si>
  <si>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</si>
  <si>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</si>
  <si>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</si>
  <si>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</si>
  <si>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</si>
  <si>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</si>
  <si>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</si>
  <si>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</si>
  <si>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</si>
  <si>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</si>
  <si>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</si>
  <si>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</si>
  <si>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</si>
  <si>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</si>
  <si>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</si>
  <si>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</si>
  <si>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</si>
  <si>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</si>
  <si>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</si>
  <si>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</si>
  <si>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</si>
  <si>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</si>
  <si>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</si>
  <si>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</si>
  <si>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</si>
  <si>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</si>
  <si>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</si>
  <si>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</si>
  <si>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</si>
  <si>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</si>
  <si>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</si>
  <si>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</si>
  <si>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</si>
  <si>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</si>
  <si>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</si>
  <si>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</si>
  <si>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</si>
  <si>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</si>
  <si>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</si>
  <si>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</si>
  <si>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</si>
  <si>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</si>
  <si>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</si>
  <si>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</si>
  <si>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</si>
  <si>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</si>
  <si>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</si>
  <si>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</si>
  <si>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</si>
  <si>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</si>
  <si>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</si>
  <si>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</si>
  <si>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</si>
  <si>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</si>
  <si>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</si>
  <si>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</si>
  <si>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</si>
  <si>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</si>
  <si>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</si>
  <si>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</si>
  <si>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</si>
  <si>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</si>
  <si>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</si>
  <si>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</si>
  <si>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</si>
  <si>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</si>
  <si>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</si>
  <si>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</si>
  <si>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</si>
  <si>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</si>
  <si>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</si>
  <si>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</si>
  <si>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</si>
  <si>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</si>
  <si>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</si>
  <si>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</si>
  <si>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</si>
  <si>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</si>
  <si>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</si>
  <si>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</si>
  <si>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</si>
  <si>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</si>
  <si>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</si>
  <si>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</si>
  <si>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</si>
  <si>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</si>
  <si>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</si>
  <si>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</si>
  <si>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</si>
  <si>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</si>
  <si>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</si>
  <si>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</si>
  <si>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</si>
  <si>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</si>
  <si>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</si>
  <si>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</si>
  <si>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</si>
  <si>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</si>
  <si>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</si>
  <si>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</si>
  <si>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</si>
  <si>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</si>
  <si>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</si>
  <si>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</si>
  <si>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</si>
  <si>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</si>
  <si>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</si>
  <si>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</si>
  <si>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</si>
  <si>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</si>
  <si>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</si>
  <si>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</si>
  <si>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</si>
  <si>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</si>
  <si>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</si>
  <si>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</si>
  <si>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</si>
  <si>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</si>
  <si>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</si>
  <si>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</si>
  <si>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</si>
  <si>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</si>
  <si>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</si>
  <si>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</si>
  <si>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</si>
  <si>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</si>
  <si>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</si>
  <si>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</si>
  <si>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</si>
  <si>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</si>
  <si>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</si>
  <si>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</si>
  <si>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</si>
  <si>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</si>
  <si>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</si>
  <si>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</si>
  <si>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</si>
  <si>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</si>
  <si>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</si>
  <si>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</si>
  <si>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</si>
  <si>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</si>
  <si>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</si>
  <si>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</si>
  <si>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</si>
  <si>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</si>
  <si>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</si>
  <si>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</si>
  <si>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</si>
  <si>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</si>
  <si>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</si>
  <si>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</si>
  <si>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</si>
  <si>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</si>
  <si>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</si>
  <si>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</si>
  <si>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</si>
  <si>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</si>
  <si>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</si>
  <si>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</si>
  <si>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</si>
  <si>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</si>
  <si>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</si>
  <si>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</si>
  <si>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</si>
  <si>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</si>
  <si>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</si>
  <si>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</si>
  <si>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</si>
  <si>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</si>
  <si>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</si>
  <si>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</si>
  <si>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</si>
  <si>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</si>
  <si>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</si>
  <si>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</si>
  <si>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</si>
  <si>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</si>
  <si>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</si>
  <si>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</si>
  <si>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</si>
  <si>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</si>
  <si>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</si>
  <si>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</si>
  <si>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</si>
  <si>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</si>
  <si>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</si>
  <si>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</si>
  <si>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</si>
  <si>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</si>
  <si>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</si>
  <si>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</si>
  <si>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</si>
  <si>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</si>
  <si>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</si>
  <si>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</si>
  <si>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</si>
  <si>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</si>
  <si>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</si>
  <si>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</si>
  <si>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</si>
  <si>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</si>
  <si>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</si>
  <si>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</si>
  <si>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</si>
  <si>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</si>
  <si>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</si>
  <si>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</si>
  <si>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</si>
  <si>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</si>
  <si>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</si>
  <si>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</si>
  <si>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</si>
  <si>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</si>
  <si>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</si>
  <si>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</si>
  <si>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</si>
  <si>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</si>
  <si>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</si>
  <si>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</si>
  <si>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</si>
  <si>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</si>
  <si>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</si>
  <si>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</si>
  <si>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</si>
  <si>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</si>
  <si>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</si>
  <si>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</si>
  <si>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</si>
  <si>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</si>
  <si>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</si>
  <si>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</si>
  <si>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</si>
  <si>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</si>
  <si>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</si>
  <si>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</si>
  <si>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</si>
  <si>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</si>
  <si>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</si>
  <si>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</si>
  <si>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</si>
  <si>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</si>
  <si>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</si>
  <si>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</si>
  <si>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</si>
  <si>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</si>
  <si>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</si>
  <si>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</si>
  <si>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</si>
  <si>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</si>
  <si>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</si>
  <si>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</si>
  <si>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</si>
  <si>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</si>
  <si>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</si>
  <si>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</si>
  <si>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</si>
  <si>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</si>
  <si>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</si>
  <si>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</si>
  <si>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</si>
  <si>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</si>
  <si>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</si>
  <si>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</si>
  <si>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</si>
  <si>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</si>
  <si>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</si>
  <si>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</si>
  <si>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</si>
  <si>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</si>
  <si>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</si>
  <si>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</si>
  <si>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</si>
  <si>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</si>
  <si>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</si>
  <si>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</si>
  <si>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</si>
  <si>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</si>
  <si>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</si>
  <si>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</si>
  <si>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</si>
  <si>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</si>
  <si>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</si>
  <si>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</si>
  <si>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</si>
  <si>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</si>
  <si>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</si>
  <si>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</si>
  <si>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</si>
  <si>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</si>
  <si>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</si>
  <si>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</si>
  <si>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</si>
  <si>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</si>
  <si>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</si>
  <si>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</si>
  <si>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</si>
  <si>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</si>
  <si>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</si>
  <si>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</si>
  <si>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</si>
  <si>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</si>
  <si>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</si>
  <si>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</si>
  <si>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</si>
  <si>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</si>
  <si>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</si>
  <si>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</si>
  <si>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</si>
  <si>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</si>
  <si>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</si>
  <si>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</si>
  <si>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</si>
  <si>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</si>
  <si>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</si>
  <si>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</si>
  <si>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</si>
  <si>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</si>
  <si>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</si>
  <si>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</si>
  <si>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</si>
  <si>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</si>
  <si>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</si>
  <si>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</si>
  <si>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</si>
  <si>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</si>
  <si>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</si>
  <si>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</si>
  <si>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</si>
  <si>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</si>
  <si>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</si>
  <si>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</si>
  <si>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</si>
  <si>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</si>
  <si>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</si>
  <si>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</si>
  <si>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</si>
  <si>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</si>
  <si>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</si>
  <si>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</si>
  <si>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</si>
  <si>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</si>
  <si>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</si>
  <si>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</si>
  <si>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</si>
  <si>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</si>
  <si>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</si>
  <si>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</si>
  <si>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</si>
  <si>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</si>
  <si>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</si>
  <si>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</si>
  <si>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</si>
  <si>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</si>
  <si>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</si>
  <si>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</si>
  <si>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</si>
  <si>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</si>
  <si>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</si>
  <si>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</si>
  <si>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</si>
  <si>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</si>
  <si>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</si>
  <si>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</si>
  <si>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</si>
  <si>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</si>
  <si>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</si>
  <si>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</si>
  <si>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</si>
  <si>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</si>
  <si>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</si>
  <si>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</si>
  <si>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</si>
  <si>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</si>
  <si>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</si>
  <si>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</si>
  <si>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</si>
  <si>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</si>
  <si>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</si>
  <si>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</si>
  <si>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</si>
  <si>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</si>
  <si>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</si>
  <si>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</si>
  <si>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</si>
  <si>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</si>
  <si>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</si>
  <si>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</si>
  <si>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</si>
  <si>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</si>
  <si>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</si>
  <si>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</si>
  <si>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</si>
  <si>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</si>
  <si>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</si>
  <si>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</si>
  <si>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</si>
  <si>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</si>
  <si>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</si>
  <si>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</si>
  <si>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</si>
  <si>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</si>
  <si>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</si>
  <si>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</si>
  <si>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</si>
  <si>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</si>
  <si>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</si>
  <si>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</si>
  <si>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</si>
  <si>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</si>
  <si>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</si>
  <si>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</si>
  <si>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</si>
  <si>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</si>
  <si>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</si>
  <si>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</si>
  <si>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</si>
  <si>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</si>
  <si>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</si>
  <si>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</si>
  <si>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</si>
  <si>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</si>
  <si>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</si>
  <si>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</si>
  <si>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</si>
  <si>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</si>
  <si>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</si>
  <si>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</si>
  <si>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</si>
  <si>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</si>
  <si>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</si>
  <si>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</si>
  <si>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</si>
  <si>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</si>
  <si>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</si>
  <si>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</si>
  <si>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</si>
  <si>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</si>
  <si>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</si>
  <si>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</si>
  <si>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</si>
  <si>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</si>
  <si>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</si>
  <si>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</si>
  <si>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</si>
  <si>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</si>
  <si>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</si>
  <si>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</si>
  <si>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</si>
  <si>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</si>
  <si>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</si>
  <si>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</si>
  <si>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</si>
  <si>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</si>
  <si>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</si>
  <si>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</si>
  <si>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</si>
  <si>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</si>
  <si>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</si>
  <si>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</si>
  <si>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</si>
  <si>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</si>
  <si>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</si>
  <si>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</si>
  <si>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</si>
  <si>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</si>
  <si>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</si>
  <si>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</si>
  <si>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</si>
  <si>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</si>
  <si>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</si>
  <si>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</si>
  <si>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</si>
  <si>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</si>
  <si>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</si>
  <si>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</si>
  <si>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</si>
  <si>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</si>
  <si>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</si>
  <si>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</si>
  <si>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</si>
  <si>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</si>
  <si>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</si>
  <si>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</si>
  <si>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</si>
  <si>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</si>
  <si>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</si>
  <si>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</si>
  <si>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</si>
  <si>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</si>
  <si>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</si>
  <si>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</si>
  <si>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</si>
  <si>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</si>
  <si>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</si>
  <si>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</si>
  <si>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</si>
  <si>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</si>
  <si>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</si>
  <si>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</si>
  <si>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</si>
  <si>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</si>
  <si>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</si>
  <si>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</si>
  <si>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</si>
  <si>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</si>
  <si>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</si>
  <si>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</si>
  <si>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</si>
  <si>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</si>
  <si>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</si>
  <si>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</si>
  <si>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</si>
  <si>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</si>
  <si>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</si>
  <si>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</si>
  <si>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</si>
  <si>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</si>
  <si>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</si>
  <si>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</si>
  <si>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</si>
  <si>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</si>
  <si>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</si>
  <si>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</si>
  <si>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</si>
  <si>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</si>
  <si>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</si>
  <si>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</si>
  <si>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</si>
  <si>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</si>
  <si>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</si>
  <si>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</si>
  <si>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</si>
  <si>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</si>
  <si>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</si>
  <si>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</si>
  <si>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</si>
  <si>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</si>
  <si>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</si>
  <si>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</si>
  <si>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</si>
  <si>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</si>
  <si>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</si>
  <si>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</si>
  <si>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</si>
  <si>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</si>
  <si>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</si>
  <si>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</si>
  <si>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</si>
  <si>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</si>
  <si>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</si>
  <si>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</si>
  <si>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</si>
  <si>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</si>
  <si>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</si>
  <si>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</si>
  <si>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</si>
  <si>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</si>
  <si>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</si>
  <si>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</si>
  <si>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</si>
  <si>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</si>
  <si>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</si>
  <si>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</si>
  <si>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</si>
  <si>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</si>
  <si>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</si>
  <si>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</si>
  <si>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</si>
  <si>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</si>
  <si>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</si>
  <si>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</si>
  <si>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</si>
  <si>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</si>
  <si>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</si>
  <si>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</si>
  <si>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</si>
  <si>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</si>
  <si>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</si>
  <si>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</si>
  <si>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</si>
  <si>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</si>
  <si>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</si>
  <si>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</si>
  <si>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</si>
  <si>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</si>
  <si>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</si>
  <si>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</si>
  <si>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</si>
  <si>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</si>
  <si>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</si>
  <si>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</si>
  <si>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</si>
  <si>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</si>
  <si>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</si>
  <si>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</si>
  <si>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</si>
  <si>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</si>
  <si>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</si>
  <si>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</si>
  <si>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</si>
  <si>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</si>
  <si>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</si>
  <si>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</si>
  <si>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</si>
  <si>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</si>
  <si>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</si>
  <si>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</si>
  <si>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</si>
  <si>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</si>
  <si>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</si>
  <si>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</si>
  <si>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</si>
  <si>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</si>
  <si>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</si>
  <si>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</si>
  <si>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</si>
  <si>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</si>
  <si>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</si>
  <si>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</si>
  <si>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</si>
  <si>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</si>
  <si>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</si>
  <si>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</si>
  <si>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</si>
  <si>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</si>
  <si>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</si>
  <si>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</si>
  <si>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</si>
  <si>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</si>
  <si>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</si>
  <si>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</si>
  <si>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</si>
  <si>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</si>
  <si>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</si>
  <si>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</si>
  <si>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</si>
  <si>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</si>
  <si>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</si>
  <si>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</si>
  <si>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</si>
  <si>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</si>
  <si>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</si>
  <si>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</si>
  <si>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</si>
  <si>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</si>
  <si>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</si>
  <si>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</si>
  <si>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</si>
  <si>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</si>
  <si>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</si>
  <si>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</si>
  <si>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</si>
  <si>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</si>
  <si>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</si>
  <si>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</si>
  <si>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</si>
  <si>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</si>
  <si>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</si>
  <si>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</si>
  <si>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</si>
  <si>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</si>
  <si>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</si>
  <si>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</si>
  <si>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</si>
  <si>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</si>
  <si>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</si>
  <si>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</si>
  <si>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</si>
  <si>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</si>
  <si>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</si>
  <si>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</si>
  <si>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</si>
  <si>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</si>
  <si>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</si>
  <si>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</si>
  <si>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</si>
  <si>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</si>
  <si>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</si>
  <si>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</si>
  <si>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</si>
  <si>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</si>
  <si>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</si>
  <si>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</si>
  <si>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</si>
  <si>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</si>
  <si>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</si>
  <si>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</si>
  <si>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</si>
  <si>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</si>
  <si>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versie: 2015_04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</si>
  <si>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</si>
  <si>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</si>
  <si>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</si>
  <si>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</si>
  <si>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</si>
  <si>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</si>
  <si>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</si>
  <si>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</si>
  <si>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</si>
  <si>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</si>
  <si>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</si>
  <si>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</si>
  <si>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</si>
  <si>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</si>
  <si>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</si>
  <si>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</si>
  <si>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</si>
  <si>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</si>
  <si>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</si>
  <si>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</si>
  <si>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</si>
  <si>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73028</t>
  </si>
  <si>
    <t>HERSTAPPE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</si>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</sst>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39" fillId="0" borderId="0" xfId="0"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841.22779985427042</c:v>
                </c:pt>
                <c:pt idx="1">
                  <c:v>165.12152120732816</c:v>
                </c:pt>
                <c:pt idx="2">
                  <c:v>10.807</c:v>
                </c:pt>
                <c:pt idx="3">
                  <c:v>295.84120818445621</c:v>
                </c:pt>
                <c:pt idx="4">
                  <c:v>24.99482192657107</c:v>
                </c:pt>
                <c:pt idx="5">
                  <c:v>2807.080859364969</c:v>
                </c:pt>
                <c:pt idx="6">
                  <c:v>15.824001943739789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1342592"/>
        <c:axId val="181344128"/>
      </c:barChart>
      <c:catAx>
        <c:axId val="181342592"/>
        <c:scaling>
          <c:orientation val="minMax"/>
        </c:scaling>
        <c:axPos val="b"/>
        <c:numFmt formatCode="General" sourceLinked="0"/>
        <c:tickLblPos val="nextTo"/>
        <c:crossAx val="181344128"/>
        <c:crosses val="autoZero"/>
        <c:auto val="1"/>
        <c:lblAlgn val="ctr"/>
        <c:lblOffset val="100"/>
      </c:catAx>
      <c:valAx>
        <c:axId val="181344128"/>
        <c:scaling>
          <c:orientation val="minMax"/>
        </c:scaling>
        <c:axPos val="l"/>
        <c:majorGridlines/>
        <c:numFmt formatCode="#,##0" sourceLinked="1"/>
        <c:tickLblPos val="nextTo"/>
        <c:crossAx val="1813425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841.22779985427042</c:v>
                </c:pt>
                <c:pt idx="1">
                  <c:v>165.12152120732816</c:v>
                </c:pt>
                <c:pt idx="2">
                  <c:v>10.807</c:v>
                </c:pt>
                <c:pt idx="3">
                  <c:v>295.84120818445621</c:v>
                </c:pt>
                <c:pt idx="4">
                  <c:v>24.99482192657107</c:v>
                </c:pt>
                <c:pt idx="5">
                  <c:v>2807.080859364969</c:v>
                </c:pt>
                <c:pt idx="6">
                  <c:v>15.824001943739789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202.98079819052637</c:v>
                </c:pt>
                <c:pt idx="2">
                  <c:v>33.25841708772878</c:v>
                </c:pt>
                <c:pt idx="3">
                  <c:v>2.1577338088942399</c:v>
                </c:pt>
                <c:pt idx="4">
                  <c:v>73.263477843850453</c:v>
                </c:pt>
                <c:pt idx="5">
                  <c:v>4.6059839098434905</c:v>
                </c:pt>
                <c:pt idx="6">
                  <c:v>717.20745895739537</c:v>
                </c:pt>
                <c:pt idx="7">
                  <c:v>4.0979008037950777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1812224"/>
        <c:axId val="181834496"/>
      </c:barChart>
      <c:catAx>
        <c:axId val="181812224"/>
        <c:scaling>
          <c:orientation val="minMax"/>
        </c:scaling>
        <c:axPos val="b"/>
        <c:numFmt formatCode="General" sourceLinked="0"/>
        <c:tickLblPos val="nextTo"/>
        <c:crossAx val="181834496"/>
        <c:crosses val="autoZero"/>
        <c:auto val="1"/>
        <c:lblAlgn val="ctr"/>
        <c:lblOffset val="100"/>
      </c:catAx>
      <c:valAx>
        <c:axId val="181834496"/>
        <c:scaling>
          <c:orientation val="minMax"/>
        </c:scaling>
        <c:axPos val="l"/>
        <c:majorGridlines/>
        <c:numFmt formatCode="#,##0" sourceLinked="1"/>
        <c:tickLblPos val="nextTo"/>
        <c:crossAx val="1818122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202.98079819052637</c:v>
                </c:pt>
                <c:pt idx="2">
                  <c:v>33.25841708772878</c:v>
                </c:pt>
                <c:pt idx="3">
                  <c:v>2.1577338088942399</c:v>
                </c:pt>
                <c:pt idx="4">
                  <c:v>73.263477843850453</c:v>
                </c:pt>
                <c:pt idx="5">
                  <c:v>4.6059839098434905</c:v>
                </c:pt>
                <c:pt idx="6">
                  <c:v>717.20745895739537</c:v>
                </c:pt>
                <c:pt idx="7">
                  <c:v>4.0979008037950777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857</v>
      </c>
      <c r="B4" s="106"/>
      <c r="C4" s="107"/>
    </row>
    <row r="5" spans="1:7" s="413" customFormat="1" ht="15.75" customHeight="1">
      <c r="A5" s="410" t="s">
        <v>0</v>
      </c>
      <c r="B5" s="411"/>
      <c r="C5" s="412"/>
    </row>
    <row r="6" spans="1:7" s="413" customFormat="1" ht="15" customHeight="1">
      <c r="A6" s="414" t="str">
        <f>txtNIS</f>
        <v>73028</v>
      </c>
      <c r="B6" s="415"/>
      <c r="C6" s="416"/>
    </row>
    <row r="7" spans="1:7" s="413" customFormat="1" ht="15.75" customHeight="1">
      <c r="A7" s="417" t="str">
        <f>txtMunicipality</f>
        <v>HERSTAPPE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079" t="s">
        <v>221</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72"/>
      <c r="B4" s="472"/>
      <c r="C4" s="63"/>
      <c r="D4" s="63"/>
      <c r="E4" s="63"/>
      <c r="F4" s="63"/>
      <c r="G4" s="63"/>
      <c r="H4" s="63"/>
      <c r="I4" s="63"/>
      <c r="J4" s="63"/>
      <c r="K4" s="63"/>
      <c r="L4" s="63"/>
      <c r="M4" s="63"/>
      <c r="N4" s="63"/>
      <c r="O4" s="63"/>
      <c r="P4" s="63"/>
      <c r="Q4" s="63"/>
      <c r="R4" s="63"/>
    </row>
    <row r="5" spans="1:19" ht="16.5" thickBot="1">
      <c r="A5" s="1081" t="s">
        <v>222</v>
      </c>
      <c r="B5" s="801"/>
      <c r="C5" s="1084" t="s">
        <v>343</v>
      </c>
      <c r="D5" s="1085"/>
      <c r="E5" s="1085"/>
      <c r="F5" s="1085"/>
      <c r="G5" s="1085"/>
      <c r="H5" s="1085"/>
      <c r="I5" s="1085"/>
      <c r="J5" s="1085"/>
      <c r="K5" s="1085"/>
      <c r="L5" s="1085"/>
      <c r="M5" s="1085"/>
      <c r="N5" s="1085"/>
      <c r="O5" s="1085"/>
      <c r="P5" s="1085"/>
      <c r="Q5" s="1085"/>
      <c r="R5" s="1086"/>
    </row>
    <row r="6" spans="1:19" ht="16.5" thickTop="1">
      <c r="A6" s="1082"/>
      <c r="B6" s="802"/>
      <c r="C6" s="1087" t="s">
        <v>21</v>
      </c>
      <c r="D6" s="1089" t="s">
        <v>196</v>
      </c>
      <c r="E6" s="1091" t="s">
        <v>197</v>
      </c>
      <c r="F6" s="1092"/>
      <c r="G6" s="1092"/>
      <c r="H6" s="1092"/>
      <c r="I6" s="1092"/>
      <c r="J6" s="1092"/>
      <c r="K6" s="1092"/>
      <c r="L6" s="1093"/>
      <c r="M6" s="1091" t="s">
        <v>198</v>
      </c>
      <c r="N6" s="1092"/>
      <c r="O6" s="1092"/>
      <c r="P6" s="1092"/>
      <c r="Q6" s="1092"/>
      <c r="R6" s="1094" t="s">
        <v>116</v>
      </c>
    </row>
    <row r="7" spans="1:19" ht="45.75" thickBot="1">
      <c r="A7" s="1083"/>
      <c r="B7" s="803"/>
      <c r="C7" s="1088"/>
      <c r="D7" s="1090"/>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095"/>
    </row>
    <row r="8" spans="1:19" ht="18.75" customHeight="1" thickTop="1">
      <c r="A8" s="808" t="s">
        <v>344</v>
      </c>
      <c r="B8" s="813"/>
      <c r="C8" s="1100"/>
      <c r="D8" s="1100"/>
      <c r="E8" s="1100"/>
      <c r="F8" s="1100"/>
      <c r="G8" s="1100"/>
      <c r="H8" s="1100"/>
      <c r="I8" s="1100"/>
      <c r="J8" s="1100"/>
      <c r="K8" s="1100"/>
      <c r="L8" s="1100"/>
      <c r="M8" s="1100"/>
      <c r="N8" s="1100"/>
      <c r="O8" s="1100"/>
      <c r="P8" s="1100"/>
      <c r="Q8" s="1100"/>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43.088000000000001</v>
      </c>
      <c r="D10" s="1012">
        <f ca="1">tertiair!C16</f>
        <v>0</v>
      </c>
      <c r="E10" s="1012">
        <f ca="1">tertiair!D16</f>
        <v>121.10702999999999</v>
      </c>
      <c r="F10" s="1012">
        <f>tertiair!E16</f>
        <v>0.56835580121541862</v>
      </c>
      <c r="G10" s="1012">
        <f ca="1">tertiair!F16</f>
        <v>8.3165967799765284</v>
      </c>
      <c r="H10" s="1012">
        <f>tertiair!G16</f>
        <v>0</v>
      </c>
      <c r="I10" s="1012">
        <f>tertiair!H16</f>
        <v>0</v>
      </c>
      <c r="J10" s="1012">
        <f>tertiair!I16</f>
        <v>0</v>
      </c>
      <c r="K10" s="1012">
        <f>tertiair!J16</f>
        <v>0</v>
      </c>
      <c r="L10" s="1012">
        <f>tertiair!K16</f>
        <v>0</v>
      </c>
      <c r="M10" s="1012">
        <f ca="1">tertiair!L16</f>
        <v>0</v>
      </c>
      <c r="N10" s="1012">
        <f>tertiair!M16</f>
        <v>0</v>
      </c>
      <c r="O10" s="1012">
        <f ca="1">tertiair!N16</f>
        <v>2.8485386261362224</v>
      </c>
      <c r="P10" s="1012">
        <f>tertiair!O16</f>
        <v>0</v>
      </c>
      <c r="Q10" s="1013">
        <f>tertiair!P16</f>
        <v>0</v>
      </c>
      <c r="R10" s="700">
        <f ca="1">SUM(C10:Q10)</f>
        <v>175.92852120732817</v>
      </c>
      <c r="S10" s="67"/>
    </row>
    <row r="11" spans="1:19" s="473" customFormat="1">
      <c r="A11" s="809" t="s">
        <v>225</v>
      </c>
      <c r="B11" s="814"/>
      <c r="C11" s="1012">
        <f>huishoudens!B8</f>
        <v>170.90488100894271</v>
      </c>
      <c r="D11" s="1012">
        <f>huishoudens!C8</f>
        <v>0</v>
      </c>
      <c r="E11" s="1012">
        <f>huishoudens!D8</f>
        <v>240.39562800000002</v>
      </c>
      <c r="F11" s="1012">
        <f>huishoudens!E8</f>
        <v>0</v>
      </c>
      <c r="G11" s="1012">
        <f>huishoudens!F8</f>
        <v>360.26388124596554</v>
      </c>
      <c r="H11" s="1012">
        <f>huishoudens!G8</f>
        <v>0</v>
      </c>
      <c r="I11" s="1012">
        <f>huishoudens!H8</f>
        <v>0</v>
      </c>
      <c r="J11" s="1012">
        <f>huishoudens!I8</f>
        <v>0</v>
      </c>
      <c r="K11" s="1012">
        <f>huishoudens!J8</f>
        <v>68.100076266028779</v>
      </c>
      <c r="L11" s="1012">
        <f>huishoudens!K8</f>
        <v>0</v>
      </c>
      <c r="M11" s="1012">
        <f>huishoudens!L8</f>
        <v>0</v>
      </c>
      <c r="N11" s="1012">
        <f>huishoudens!M8</f>
        <v>0</v>
      </c>
      <c r="O11" s="1012">
        <f>huishoudens!N8</f>
        <v>0</v>
      </c>
      <c r="P11" s="1012">
        <f>huishoudens!O8</f>
        <v>1.5633333333333335</v>
      </c>
      <c r="Q11" s="1013">
        <f>huishoudens!P8</f>
        <v>0</v>
      </c>
      <c r="R11" s="700">
        <f>SUM(C11:Q11)</f>
        <v>841.22779985427042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16.869</v>
      </c>
      <c r="D13" s="1012">
        <f>industrie!C18</f>
        <v>0</v>
      </c>
      <c r="E13" s="1012">
        <f>industrie!D18</f>
        <v>0</v>
      </c>
      <c r="F13" s="1012">
        <f>industrie!E18</f>
        <v>0.9155293807998518</v>
      </c>
      <c r="G13" s="1012">
        <f>industrie!F18</f>
        <v>3.6766620077873173</v>
      </c>
      <c r="H13" s="1012">
        <f>industrie!G18</f>
        <v>0</v>
      </c>
      <c r="I13" s="1012">
        <f>industrie!H18</f>
        <v>0</v>
      </c>
      <c r="J13" s="1012">
        <f>industrie!I18</f>
        <v>0</v>
      </c>
      <c r="K13" s="1012">
        <f>industrie!J18</f>
        <v>0.13675893223073179</v>
      </c>
      <c r="L13" s="1012">
        <f>industrie!K18</f>
        <v>0</v>
      </c>
      <c r="M13" s="1012">
        <f>industrie!L18</f>
        <v>0</v>
      </c>
      <c r="N13" s="1012">
        <f>industrie!M18</f>
        <v>0</v>
      </c>
      <c r="O13" s="1012">
        <f>industrie!N18</f>
        <v>3.3968716057531694</v>
      </c>
      <c r="P13" s="1012">
        <f>industrie!O18</f>
        <v>0</v>
      </c>
      <c r="Q13" s="1013">
        <f>industrie!P18</f>
        <v>0</v>
      </c>
      <c r="R13" s="700">
        <f>SUM(C13:Q13)</f>
        <v>24.99482192657107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230.8618810089427</v>
      </c>
      <c r="D16" s="732">
        <f t="shared" ref="D16:R16" ca="1" si="0">SUM(D9:D15)</f>
        <v>0</v>
      </c>
      <c r="E16" s="732">
        <f t="shared" ca="1" si="0"/>
        <v>361.502658</v>
      </c>
      <c r="F16" s="732">
        <f t="shared" si="0"/>
        <v>1.4838851820152703</v>
      </c>
      <c r="G16" s="732">
        <f t="shared" ca="1" si="0"/>
        <v>372.2571400337294</v>
      </c>
      <c r="H16" s="732">
        <f t="shared" si="0"/>
        <v>0</v>
      </c>
      <c r="I16" s="732">
        <f t="shared" si="0"/>
        <v>0</v>
      </c>
      <c r="J16" s="732">
        <f t="shared" si="0"/>
        <v>0</v>
      </c>
      <c r="K16" s="732">
        <f t="shared" si="0"/>
        <v>68.236835198259513</v>
      </c>
      <c r="L16" s="732">
        <f t="shared" si="0"/>
        <v>0</v>
      </c>
      <c r="M16" s="732">
        <f t="shared" ca="1" si="0"/>
        <v>0</v>
      </c>
      <c r="N16" s="732">
        <f t="shared" si="0"/>
        <v>0</v>
      </c>
      <c r="O16" s="732">
        <f t="shared" ca="1" si="0"/>
        <v>6.2454102318893918</v>
      </c>
      <c r="P16" s="732">
        <f t="shared" si="0"/>
        <v>1.5633333333333335</v>
      </c>
      <c r="Q16" s="732">
        <f t="shared" si="0"/>
        <v>0</v>
      </c>
      <c r="R16" s="732">
        <f t="shared" ca="1" si="0"/>
        <v>1042.1511429881698</v>
      </c>
      <c r="S16" s="67"/>
    </row>
    <row r="17" spans="1:19" s="473" customFormat="1" ht="15.75">
      <c r="A17" s="811" t="s">
        <v>227</v>
      </c>
      <c r="B17" s="736"/>
      <c r="C17" s="1101"/>
      <c r="D17" s="1101"/>
      <c r="E17" s="1101"/>
      <c r="F17" s="1101"/>
      <c r="G17" s="1101"/>
      <c r="H17" s="1101"/>
      <c r="I17" s="1101"/>
      <c r="J17" s="1101"/>
      <c r="K17" s="1101"/>
      <c r="L17" s="1101"/>
      <c r="M17" s="1101"/>
      <c r="N17" s="1101"/>
      <c r="O17" s="1101"/>
      <c r="P17" s="1101"/>
      <c r="Q17" s="1101"/>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15.347943085374823</v>
      </c>
      <c r="I19" s="1012">
        <f>transport!H54</f>
        <v>0</v>
      </c>
      <c r="J19" s="1012">
        <f>transport!I54</f>
        <v>0</v>
      </c>
      <c r="K19" s="1012">
        <f>transport!J54</f>
        <v>0</v>
      </c>
      <c r="L19" s="1012">
        <f>transport!K54</f>
        <v>0</v>
      </c>
      <c r="M19" s="1012">
        <f>transport!L54</f>
        <v>0</v>
      </c>
      <c r="N19" s="1012">
        <f>transport!M54</f>
        <v>0.4760588583649667</v>
      </c>
      <c r="O19" s="1012">
        <f>transport!N54</f>
        <v>0</v>
      </c>
      <c r="P19" s="1012">
        <f>transport!O54</f>
        <v>0</v>
      </c>
      <c r="Q19" s="1013">
        <f>transport!P54</f>
        <v>0</v>
      </c>
      <c r="R19" s="700">
        <f>SUM(C19:Q19)</f>
        <v>15.824001943739789</v>
      </c>
      <c r="S19" s="67"/>
    </row>
    <row r="20" spans="1:19" s="473" customFormat="1">
      <c r="A20" s="809" t="s">
        <v>307</v>
      </c>
      <c r="B20" s="814"/>
      <c r="C20" s="1012">
        <f>transport!B14</f>
        <v>0.85157145997494055</v>
      </c>
      <c r="D20" s="1012">
        <f>transport!C14</f>
        <v>0</v>
      </c>
      <c r="E20" s="1012">
        <f>transport!D14</f>
        <v>1.9025764394092357</v>
      </c>
      <c r="F20" s="1012">
        <f>transport!E14</f>
        <v>7.344240924289454</v>
      </c>
      <c r="G20" s="1012">
        <f>transport!F14</f>
        <v>0</v>
      </c>
      <c r="H20" s="1012">
        <f>transport!G14</f>
        <v>2201.0504934884329</v>
      </c>
      <c r="I20" s="1012">
        <f>transport!H14</f>
        <v>511.26702274072755</v>
      </c>
      <c r="J20" s="1012">
        <f>transport!I14</f>
        <v>0</v>
      </c>
      <c r="K20" s="1012">
        <f>transport!J14</f>
        <v>0</v>
      </c>
      <c r="L20" s="1012">
        <f>transport!K14</f>
        <v>0</v>
      </c>
      <c r="M20" s="1012">
        <f>transport!L14</f>
        <v>0</v>
      </c>
      <c r="N20" s="1012">
        <f>transport!M14</f>
        <v>84.664954312134711</v>
      </c>
      <c r="O20" s="1012">
        <f>transport!N14</f>
        <v>0</v>
      </c>
      <c r="P20" s="1012">
        <f>transport!O14</f>
        <v>0</v>
      </c>
      <c r="Q20" s="1013">
        <f>transport!P14</f>
        <v>0</v>
      </c>
      <c r="R20" s="700">
        <f>SUM(C20:Q20)</f>
        <v>2807.080859364969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0.85157145997494055</v>
      </c>
      <c r="D22" s="812">
        <f t="shared" ref="D22:R22" si="1">SUM(D18:D21)</f>
        <v>0</v>
      </c>
      <c r="E22" s="812">
        <f t="shared" si="1"/>
        <v>1.9025764394092357</v>
      </c>
      <c r="F22" s="812">
        <f t="shared" si="1"/>
        <v>7.344240924289454</v>
      </c>
      <c r="G22" s="812">
        <f t="shared" si="1"/>
        <v>0</v>
      </c>
      <c r="H22" s="812">
        <f t="shared" si="1"/>
        <v>2216.3984365738079</v>
      </c>
      <c r="I22" s="812">
        <f t="shared" si="1"/>
        <v>511.26702274072755</v>
      </c>
      <c r="J22" s="812">
        <f t="shared" si="1"/>
        <v>0</v>
      </c>
      <c r="K22" s="812">
        <f t="shared" si="1"/>
        <v>0</v>
      </c>
      <c r="L22" s="812">
        <f t="shared" si="1"/>
        <v>0</v>
      </c>
      <c r="M22" s="812">
        <f t="shared" si="1"/>
        <v>0</v>
      </c>
      <c r="N22" s="812">
        <f t="shared" si="1"/>
        <v>85.141013170499676</v>
      </c>
      <c r="O22" s="812">
        <f t="shared" si="1"/>
        <v>0</v>
      </c>
      <c r="P22" s="812">
        <f t="shared" si="1"/>
        <v>0</v>
      </c>
      <c r="Q22" s="812">
        <f t="shared" si="1"/>
        <v>0</v>
      </c>
      <c r="R22" s="812">
        <f t="shared" si="1"/>
        <v>2822.9048613087089</v>
      </c>
      <c r="S22" s="67"/>
    </row>
    <row r="23" spans="1:19" s="473" customFormat="1" ht="15.75">
      <c r="A23" s="811" t="s">
        <v>237</v>
      </c>
      <c r="B23" s="736"/>
      <c r="C23" s="1101"/>
      <c r="D23" s="1101"/>
      <c r="E23" s="1101"/>
      <c r="F23" s="1101"/>
      <c r="G23" s="1101"/>
      <c r="H23" s="1101"/>
      <c r="I23" s="1101"/>
      <c r="J23" s="1101"/>
      <c r="K23" s="1101"/>
      <c r="L23" s="1101"/>
      <c r="M23" s="1101"/>
      <c r="N23" s="1101"/>
      <c r="O23" s="1101"/>
      <c r="P23" s="1101"/>
      <c r="Q23" s="1101"/>
      <c r="R23" s="702"/>
      <c r="S23" s="67"/>
    </row>
    <row r="24" spans="1:19" s="473" customFormat="1">
      <c r="A24" s="809" t="s">
        <v>636</v>
      </c>
      <c r="B24" s="814"/>
      <c r="C24" s="1012">
        <f>+landbouw!B8</f>
        <v>52.384999999999998</v>
      </c>
      <c r="D24" s="1012">
        <f>+landbouw!C8</f>
        <v>0</v>
      </c>
      <c r="E24" s="1012">
        <f>+landbouw!D8</f>
        <v>43.086736000000002</v>
      </c>
      <c r="F24" s="1012">
        <f>+landbouw!E8</f>
        <v>1.350808014854191</v>
      </c>
      <c r="G24" s="1012">
        <f>+landbouw!F8</f>
        <v>191.47715123863284</v>
      </c>
      <c r="H24" s="1012">
        <f>+landbouw!G8</f>
        <v>0</v>
      </c>
      <c r="I24" s="1012">
        <f>+landbouw!H8</f>
        <v>0</v>
      </c>
      <c r="J24" s="1012">
        <f>+landbouw!I8</f>
        <v>0</v>
      </c>
      <c r="K24" s="1012">
        <f>+landbouw!J8</f>
        <v>7.5415129309691737</v>
      </c>
      <c r="L24" s="1012">
        <f>+landbouw!K8</f>
        <v>0</v>
      </c>
      <c r="M24" s="1012">
        <f>+landbouw!L8</f>
        <v>0</v>
      </c>
      <c r="N24" s="1012">
        <f>+landbouw!M8</f>
        <v>0</v>
      </c>
      <c r="O24" s="1012">
        <f>+landbouw!N8</f>
        <v>0</v>
      </c>
      <c r="P24" s="1012">
        <f>+landbouw!O8</f>
        <v>0</v>
      </c>
      <c r="Q24" s="1013">
        <f>+landbouw!P8</f>
        <v>0</v>
      </c>
      <c r="R24" s="700">
        <f>SUM(C24:Q24)</f>
        <v>295.84120818445621</v>
      </c>
      <c r="S24" s="67"/>
    </row>
    <row r="25" spans="1:19" s="473" customFormat="1" ht="15" thickBot="1">
      <c r="A25" s="831" t="s">
        <v>848</v>
      </c>
      <c r="B25" s="1015"/>
      <c r="C25" s="1016">
        <f>IF(Onbekend_ele_kWh="---",0,Onbekend_ele_kWh)/1000+IF(REST_rest_ele_kWh="---",0,REST_rest_ele_kWh)/1000</f>
        <v>0</v>
      </c>
      <c r="D25" s="1016"/>
      <c r="E25" s="1016">
        <f>IF(onbekend_gas_kWh="---",0,onbekend_gas_kWh)/1000+IF(REST_rest_gas_kWh="---",0,REST_rest_gas_kWh)/1000</f>
        <v>10.864000000000001</v>
      </c>
      <c r="F25" s="1016"/>
      <c r="G25" s="1016"/>
      <c r="H25" s="1016"/>
      <c r="I25" s="1016"/>
      <c r="J25" s="1016"/>
      <c r="K25" s="1016"/>
      <c r="L25" s="1016"/>
      <c r="M25" s="1016"/>
      <c r="N25" s="1016"/>
      <c r="O25" s="1016"/>
      <c r="P25" s="1016"/>
      <c r="Q25" s="1017"/>
      <c r="R25" s="700">
        <f>SUM(C25:Q25)</f>
        <v>10.864000000000001</v>
      </c>
      <c r="S25" s="67"/>
    </row>
    <row r="26" spans="1:19" s="473" customFormat="1" ht="15.75" thickBot="1">
      <c r="A26" s="705" t="s">
        <v>849</v>
      </c>
      <c r="B26" s="817"/>
      <c r="C26" s="812">
        <f>SUM(C24:C25)</f>
        <v>52.384999999999998</v>
      </c>
      <c r="D26" s="812">
        <f t="shared" ref="D26:R26" si="2">SUM(D24:D25)</f>
        <v>0</v>
      </c>
      <c r="E26" s="812">
        <f t="shared" si="2"/>
        <v>53.950736000000006</v>
      </c>
      <c r="F26" s="812">
        <f t="shared" si="2"/>
        <v>1.350808014854191</v>
      </c>
      <c r="G26" s="812">
        <f t="shared" si="2"/>
        <v>191.47715123863284</v>
      </c>
      <c r="H26" s="812">
        <f t="shared" si="2"/>
        <v>0</v>
      </c>
      <c r="I26" s="812">
        <f t="shared" si="2"/>
        <v>0</v>
      </c>
      <c r="J26" s="812">
        <f t="shared" si="2"/>
        <v>0</v>
      </c>
      <c r="K26" s="812">
        <f t="shared" si="2"/>
        <v>7.5415129309691737</v>
      </c>
      <c r="L26" s="812">
        <f t="shared" si="2"/>
        <v>0</v>
      </c>
      <c r="M26" s="812">
        <f t="shared" si="2"/>
        <v>0</v>
      </c>
      <c r="N26" s="812">
        <f t="shared" si="2"/>
        <v>0</v>
      </c>
      <c r="O26" s="812">
        <f t="shared" si="2"/>
        <v>0</v>
      </c>
      <c r="P26" s="812">
        <f t="shared" si="2"/>
        <v>0</v>
      </c>
      <c r="Q26" s="812">
        <f t="shared" si="2"/>
        <v>0</v>
      </c>
      <c r="R26" s="812">
        <f t="shared" si="2"/>
        <v>306.70520818445618</v>
      </c>
      <c r="S26" s="67"/>
    </row>
    <row r="27" spans="1:19" s="473" customFormat="1" ht="17.25" thickTop="1" thickBot="1">
      <c r="A27" s="706" t="s">
        <v>116</v>
      </c>
      <c r="B27" s="805"/>
      <c r="C27" s="707">
        <f ca="1">C22+C16+C26</f>
        <v>284.09845246891763</v>
      </c>
      <c r="D27" s="707">
        <f t="shared" ref="D27:R27" ca="1" si="3">D22+D16+D26</f>
        <v>0</v>
      </c>
      <c r="E27" s="707">
        <f t="shared" ca="1" si="3"/>
        <v>417.35597043940925</v>
      </c>
      <c r="F27" s="707">
        <f t="shared" si="3"/>
        <v>10.178934121158916</v>
      </c>
      <c r="G27" s="707">
        <f t="shared" ca="1" si="3"/>
        <v>563.73429127236227</v>
      </c>
      <c r="H27" s="707">
        <f t="shared" si="3"/>
        <v>2216.3984365738079</v>
      </c>
      <c r="I27" s="707">
        <f t="shared" si="3"/>
        <v>511.26702274072755</v>
      </c>
      <c r="J27" s="707">
        <f t="shared" si="3"/>
        <v>0</v>
      </c>
      <c r="K27" s="707">
        <f t="shared" si="3"/>
        <v>75.778348129228689</v>
      </c>
      <c r="L27" s="707">
        <f t="shared" si="3"/>
        <v>0</v>
      </c>
      <c r="M27" s="707">
        <f t="shared" ca="1" si="3"/>
        <v>0</v>
      </c>
      <c r="N27" s="707">
        <f t="shared" si="3"/>
        <v>85.141013170499676</v>
      </c>
      <c r="O27" s="707">
        <f t="shared" ca="1" si="3"/>
        <v>6.2454102318893918</v>
      </c>
      <c r="P27" s="707">
        <f t="shared" si="3"/>
        <v>1.5633333333333335</v>
      </c>
      <c r="Q27" s="707">
        <f t="shared" si="3"/>
        <v>0</v>
      </c>
      <c r="R27" s="707">
        <f t="shared" ca="1" si="3"/>
        <v>4171.761212481335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02"/>
      <c r="B31" s="1102"/>
      <c r="C31" s="110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04"/>
      <c r="B35" s="819"/>
      <c r="C35" s="1106" t="s">
        <v>347</v>
      </c>
      <c r="D35" s="1107"/>
      <c r="E35" s="1107"/>
      <c r="F35" s="1107"/>
      <c r="G35" s="1107"/>
      <c r="H35" s="1107"/>
      <c r="I35" s="1107"/>
      <c r="J35" s="1107"/>
      <c r="K35" s="1107"/>
      <c r="L35" s="1107"/>
      <c r="M35" s="1107"/>
      <c r="N35" s="1107"/>
      <c r="O35" s="1107"/>
      <c r="P35" s="1107"/>
      <c r="Q35" s="1107"/>
      <c r="R35" s="1108"/>
    </row>
    <row r="36" spans="1:18" ht="16.5" thickTop="1">
      <c r="A36" s="1105"/>
      <c r="B36" s="820"/>
      <c r="C36" s="1109" t="s">
        <v>21</v>
      </c>
      <c r="D36" s="1111" t="s">
        <v>232</v>
      </c>
      <c r="E36" s="1113" t="s">
        <v>197</v>
      </c>
      <c r="F36" s="1114"/>
      <c r="G36" s="1114"/>
      <c r="H36" s="1114"/>
      <c r="I36" s="1114"/>
      <c r="J36" s="1114"/>
      <c r="K36" s="1114"/>
      <c r="L36" s="1115"/>
      <c r="M36" s="1113" t="s">
        <v>198</v>
      </c>
      <c r="N36" s="1114"/>
      <c r="O36" s="1114"/>
      <c r="P36" s="1114"/>
      <c r="Q36" s="1114"/>
      <c r="R36" s="1116" t="s">
        <v>116</v>
      </c>
    </row>
    <row r="37" spans="1:18" ht="45.75" thickBot="1">
      <c r="A37" s="1105"/>
      <c r="B37" s="820"/>
      <c r="C37" s="1110"/>
      <c r="D37" s="111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17"/>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8.6029827294933838</v>
      </c>
      <c r="D40" s="1012">
        <f ca="1">tertiair!C20</f>
        <v>0</v>
      </c>
      <c r="E40" s="1012">
        <f ca="1">tertiair!D20</f>
        <v>24.46362006</v>
      </c>
      <c r="F40" s="1012">
        <f>tertiair!E20</f>
        <v>0.12901676687590002</v>
      </c>
      <c r="G40" s="1012">
        <f ca="1">tertiair!F20</f>
        <v>2.220531340253733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35.416150896623023</v>
      </c>
    </row>
    <row r="41" spans="1:18">
      <c r="A41" s="822" t="s">
        <v>225</v>
      </c>
      <c r="B41" s="829"/>
      <c r="C41" s="1012">
        <f ca="1">huishoudens!B12</f>
        <v>34.122998043679353</v>
      </c>
      <c r="D41" s="1012">
        <f ca="1">huishoudens!C12</f>
        <v>0</v>
      </c>
      <c r="E41" s="1012">
        <f>huishoudens!D12</f>
        <v>48.559916856000008</v>
      </c>
      <c r="F41" s="1012">
        <f>huishoudens!E12</f>
        <v>0</v>
      </c>
      <c r="G41" s="1012">
        <f>huishoudens!F12</f>
        <v>96.190456292672806</v>
      </c>
      <c r="H41" s="1012">
        <f>huishoudens!G12</f>
        <v>0</v>
      </c>
      <c r="I41" s="1012">
        <f>huishoudens!H12</f>
        <v>0</v>
      </c>
      <c r="J41" s="1012">
        <f>huishoudens!I12</f>
        <v>0</v>
      </c>
      <c r="K41" s="1012">
        <f>huishoudens!J12</f>
        <v>24.107426998174187</v>
      </c>
      <c r="L41" s="1012">
        <f>huishoudens!K12</f>
        <v>0</v>
      </c>
      <c r="M41" s="1012">
        <f>huishoudens!L12</f>
        <v>0</v>
      </c>
      <c r="N41" s="1012">
        <f>huishoudens!M12</f>
        <v>0</v>
      </c>
      <c r="O41" s="1012">
        <f>huishoudens!N12</f>
        <v>0</v>
      </c>
      <c r="P41" s="1012">
        <f>huishoudens!O12</f>
        <v>0</v>
      </c>
      <c r="Q41" s="774">
        <f>huishoudens!P12</f>
        <v>0</v>
      </c>
      <c r="R41" s="850">
        <f t="shared" ca="1" si="4"/>
        <v>202.98079819052637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3.3680773223130314</v>
      </c>
      <c r="D43" s="1012">
        <f ca="1">industrie!C22</f>
        <v>0</v>
      </c>
      <c r="E43" s="1012">
        <f>industrie!D22</f>
        <v>0</v>
      </c>
      <c r="F43" s="1012">
        <f>industrie!E22</f>
        <v>0.20782516944156637</v>
      </c>
      <c r="G43" s="1012">
        <f>industrie!F22</f>
        <v>0.98166875607921378</v>
      </c>
      <c r="H43" s="1012">
        <f>industrie!G22</f>
        <v>0</v>
      </c>
      <c r="I43" s="1012">
        <f>industrie!H22</f>
        <v>0</v>
      </c>
      <c r="J43" s="1012">
        <f>industrie!I22</f>
        <v>0</v>
      </c>
      <c r="K43" s="1012">
        <f>industrie!J22</f>
        <v>4.8412662009679051E-2</v>
      </c>
      <c r="L43" s="1012">
        <f>industrie!K22</f>
        <v>0</v>
      </c>
      <c r="M43" s="1012">
        <f>industrie!L22</f>
        <v>0</v>
      </c>
      <c r="N43" s="1012">
        <f>industrie!M22</f>
        <v>0</v>
      </c>
      <c r="O43" s="1012">
        <f>industrie!N22</f>
        <v>0</v>
      </c>
      <c r="P43" s="1012">
        <f>industrie!O22</f>
        <v>0</v>
      </c>
      <c r="Q43" s="774">
        <f>industrie!P22</f>
        <v>0</v>
      </c>
      <c r="R43" s="849">
        <f t="shared" ca="1" si="4"/>
        <v>4.6059839098434905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46.094058095485771</v>
      </c>
      <c r="D46" s="732">
        <f t="shared" ref="D46:Q46" ca="1" si="5">SUM(D39:D45)</f>
        <v>0</v>
      </c>
      <c r="E46" s="732">
        <f t="shared" ca="1" si="5"/>
        <v>73.023536916000012</v>
      </c>
      <c r="F46" s="732">
        <f t="shared" si="5"/>
        <v>0.33684193631746639</v>
      </c>
      <c r="G46" s="732">
        <f t="shared" ca="1" si="5"/>
        <v>99.392656389005751</v>
      </c>
      <c r="H46" s="732">
        <f t="shared" si="5"/>
        <v>0</v>
      </c>
      <c r="I46" s="732">
        <f t="shared" si="5"/>
        <v>0</v>
      </c>
      <c r="J46" s="732">
        <f t="shared" si="5"/>
        <v>0</v>
      </c>
      <c r="K46" s="732">
        <f t="shared" si="5"/>
        <v>24.155839660183865</v>
      </c>
      <c r="L46" s="732">
        <f t="shared" si="5"/>
        <v>0</v>
      </c>
      <c r="M46" s="732">
        <f t="shared" ca="1" si="5"/>
        <v>0</v>
      </c>
      <c r="N46" s="732">
        <f t="shared" si="5"/>
        <v>0</v>
      </c>
      <c r="O46" s="732">
        <f t="shared" ca="1" si="5"/>
        <v>0</v>
      </c>
      <c r="P46" s="732">
        <f t="shared" si="5"/>
        <v>0</v>
      </c>
      <c r="Q46" s="732">
        <f t="shared" si="5"/>
        <v>0</v>
      </c>
      <c r="R46" s="732">
        <f ca="1">SUM(R39:R45)</f>
        <v>243.00293299699288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4.0979008037950777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4.0979008037950777</v>
      </c>
    </row>
    <row r="50" spans="1:18">
      <c r="A50" s="825" t="s">
        <v>307</v>
      </c>
      <c r="B50" s="835"/>
      <c r="C50" s="703">
        <f ca="1">transport!B18</f>
        <v>0.17002540296820184</v>
      </c>
      <c r="D50" s="703">
        <f>transport!C18</f>
        <v>0</v>
      </c>
      <c r="E50" s="703">
        <f>transport!D18</f>
        <v>0.38432044076066563</v>
      </c>
      <c r="F50" s="703">
        <f>transport!E18</f>
        <v>1.6671426898137061</v>
      </c>
      <c r="G50" s="703">
        <f>transport!F18</f>
        <v>0</v>
      </c>
      <c r="H50" s="703">
        <f>transport!G18</f>
        <v>587.68048176141167</v>
      </c>
      <c r="I50" s="703">
        <f>transport!H18</f>
        <v>127.30548866244116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717.20745895739537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0.17002540296820184</v>
      </c>
      <c r="D52" s="732">
        <f t="shared" ref="D52:Q52" ca="1" si="6">SUM(D48:D51)</f>
        <v>0</v>
      </c>
      <c r="E52" s="732">
        <f t="shared" si="6"/>
        <v>0.38432044076066563</v>
      </c>
      <c r="F52" s="732">
        <f t="shared" si="6"/>
        <v>1.6671426898137061</v>
      </c>
      <c r="G52" s="732">
        <f t="shared" si="6"/>
        <v>0</v>
      </c>
      <c r="H52" s="732">
        <f t="shared" si="6"/>
        <v>591.7783825652067</v>
      </c>
      <c r="I52" s="732">
        <f t="shared" si="6"/>
        <v>127.30548866244116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721.3053597611904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10.459228794200495</v>
      </c>
      <c r="D54" s="703">
        <f ca="1">+landbouw!C12</f>
        <v>0</v>
      </c>
      <c r="E54" s="703">
        <f>+landbouw!D12</f>
        <v>8.7035206720000016</v>
      </c>
      <c r="F54" s="703">
        <f>+landbouw!E12</f>
        <v>0.30663341937190136</v>
      </c>
      <c r="G54" s="703">
        <f>+landbouw!F12</f>
        <v>51.124399380714969</v>
      </c>
      <c r="H54" s="703">
        <f>+landbouw!G12</f>
        <v>0</v>
      </c>
      <c r="I54" s="703">
        <f>+landbouw!H12</f>
        <v>0</v>
      </c>
      <c r="J54" s="703">
        <f>+landbouw!I12</f>
        <v>0</v>
      </c>
      <c r="K54" s="703">
        <f>+landbouw!J12</f>
        <v>2.6696955775630875</v>
      </c>
      <c r="L54" s="703">
        <f>+landbouw!K12</f>
        <v>0</v>
      </c>
      <c r="M54" s="703">
        <f>+landbouw!L12</f>
        <v>0</v>
      </c>
      <c r="N54" s="703">
        <f>+landbouw!M12</f>
        <v>0</v>
      </c>
      <c r="O54" s="703">
        <f>+landbouw!N12</f>
        <v>0</v>
      </c>
      <c r="P54" s="703">
        <f>+landbouw!O12</f>
        <v>0</v>
      </c>
      <c r="Q54" s="704">
        <f>+landbouw!P12</f>
        <v>0</v>
      </c>
      <c r="R54" s="731">
        <f ca="1">SUM(C54:Q54)</f>
        <v>73.263477843850453</v>
      </c>
    </row>
    <row r="55" spans="1:18" ht="15" thickBot="1">
      <c r="A55" s="825" t="s">
        <v>848</v>
      </c>
      <c r="B55" s="835"/>
      <c r="C55" s="703">
        <f ca="1">C25*'EF ele_warmte'!B12</f>
        <v>0</v>
      </c>
      <c r="D55" s="703"/>
      <c r="E55" s="703">
        <f>E25*EF_CO2_aardgas</f>
        <v>2.1945280000000005</v>
      </c>
      <c r="F55" s="703"/>
      <c r="G55" s="703"/>
      <c r="H55" s="703"/>
      <c r="I55" s="703"/>
      <c r="J55" s="703"/>
      <c r="K55" s="703"/>
      <c r="L55" s="703"/>
      <c r="M55" s="703"/>
      <c r="N55" s="703"/>
      <c r="O55" s="703"/>
      <c r="P55" s="703"/>
      <c r="Q55" s="704"/>
      <c r="R55" s="731">
        <f ca="1">SUM(C55:Q55)</f>
        <v>2.1945280000000005</v>
      </c>
    </row>
    <row r="56" spans="1:18" ht="15.75" thickBot="1">
      <c r="A56" s="823" t="s">
        <v>849</v>
      </c>
      <c r="B56" s="836"/>
      <c r="C56" s="732">
        <f ca="1">SUM(C54:C55)</f>
        <v>10.459228794200495</v>
      </c>
      <c r="D56" s="732">
        <f t="shared" ref="D56:Q56" ca="1" si="7">SUM(D54:D55)</f>
        <v>0</v>
      </c>
      <c r="E56" s="732">
        <f t="shared" si="7"/>
        <v>10.898048672000002</v>
      </c>
      <c r="F56" s="732">
        <f t="shared" si="7"/>
        <v>0.30663341937190136</v>
      </c>
      <c r="G56" s="732">
        <f t="shared" si="7"/>
        <v>51.124399380714969</v>
      </c>
      <c r="H56" s="732">
        <f t="shared" si="7"/>
        <v>0</v>
      </c>
      <c r="I56" s="732">
        <f t="shared" si="7"/>
        <v>0</v>
      </c>
      <c r="J56" s="732">
        <f t="shared" si="7"/>
        <v>0</v>
      </c>
      <c r="K56" s="732">
        <f t="shared" si="7"/>
        <v>2.6696955775630875</v>
      </c>
      <c r="L56" s="732">
        <f t="shared" si="7"/>
        <v>0</v>
      </c>
      <c r="M56" s="732">
        <f t="shared" si="7"/>
        <v>0</v>
      </c>
      <c r="N56" s="732">
        <f t="shared" si="7"/>
        <v>0</v>
      </c>
      <c r="O56" s="732">
        <f t="shared" si="7"/>
        <v>0</v>
      </c>
      <c r="P56" s="732">
        <f t="shared" si="7"/>
        <v>0</v>
      </c>
      <c r="Q56" s="733">
        <f t="shared" si="7"/>
        <v>0</v>
      </c>
      <c r="R56" s="734">
        <f ca="1">SUM(R54:R55)</f>
        <v>75.458005843850458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096"/>
      <c r="D58" s="1097"/>
      <c r="E58" s="1097"/>
      <c r="F58" s="1097"/>
      <c r="G58" s="1097"/>
      <c r="H58" s="1097"/>
      <c r="I58" s="1097"/>
      <c r="J58" s="1097"/>
      <c r="K58" s="1097"/>
      <c r="L58" s="1097"/>
      <c r="M58" s="1097"/>
      <c r="N58" s="1097"/>
      <c r="O58" s="1097"/>
      <c r="P58" s="1097"/>
      <c r="Q58" s="1097"/>
      <c r="R58" s="738"/>
    </row>
    <row r="59" spans="1:18" ht="15">
      <c r="A59" s="827" t="s">
        <v>239</v>
      </c>
      <c r="B59" s="814"/>
      <c r="C59" s="1098"/>
      <c r="D59" s="1099"/>
      <c r="E59" s="1099"/>
      <c r="F59" s="1099"/>
      <c r="G59" s="1099"/>
      <c r="H59" s="1099"/>
      <c r="I59" s="1099"/>
      <c r="J59" s="1099"/>
      <c r="K59" s="1099"/>
      <c r="L59" s="1099"/>
      <c r="M59" s="1099"/>
      <c r="N59" s="1099"/>
      <c r="O59" s="1099"/>
      <c r="P59" s="1099"/>
      <c r="Q59" s="1099"/>
      <c r="R59" s="739"/>
    </row>
    <row r="60" spans="1:18" ht="15" thickBot="1">
      <c r="A60" s="838" t="s">
        <v>240</v>
      </c>
      <c r="B60" s="839"/>
      <c r="C60" s="1098"/>
      <c r="D60" s="1099"/>
      <c r="E60" s="1099"/>
      <c r="F60" s="1099"/>
      <c r="G60" s="1099"/>
      <c r="H60" s="1099"/>
      <c r="I60" s="1099"/>
      <c r="J60" s="1099"/>
      <c r="K60" s="1099"/>
      <c r="L60" s="1099"/>
      <c r="M60" s="1099"/>
      <c r="N60" s="1099"/>
      <c r="O60" s="1099"/>
      <c r="P60" s="1099"/>
      <c r="Q60" s="1099"/>
      <c r="R60" s="731"/>
    </row>
    <row r="61" spans="1:18" ht="16.5" thickBot="1">
      <c r="A61" s="841" t="s">
        <v>116</v>
      </c>
      <c r="B61" s="842"/>
      <c r="C61" s="740">
        <f ca="1">C46+C52+C56</f>
        <v>56.72331229265447</v>
      </c>
      <c r="D61" s="740">
        <f t="shared" ref="D61:Q61" ca="1" si="8">D46+D52+D56</f>
        <v>0</v>
      </c>
      <c r="E61" s="740">
        <f t="shared" ca="1" si="8"/>
        <v>84.305906028760674</v>
      </c>
      <c r="F61" s="740">
        <f t="shared" si="8"/>
        <v>2.310618045503074</v>
      </c>
      <c r="G61" s="740">
        <f t="shared" ca="1" si="8"/>
        <v>150.51705576972071</v>
      </c>
      <c r="H61" s="740">
        <f t="shared" si="8"/>
        <v>591.7783825652067</v>
      </c>
      <c r="I61" s="740">
        <f t="shared" si="8"/>
        <v>127.30548866244116</v>
      </c>
      <c r="J61" s="740">
        <f t="shared" si="8"/>
        <v>0</v>
      </c>
      <c r="K61" s="740">
        <f t="shared" si="8"/>
        <v>26.825535237746951</v>
      </c>
      <c r="L61" s="740">
        <f t="shared" si="8"/>
        <v>0</v>
      </c>
      <c r="M61" s="740">
        <f t="shared" ca="1" si="8"/>
        <v>0</v>
      </c>
      <c r="N61" s="740">
        <f t="shared" si="8"/>
        <v>0</v>
      </c>
      <c r="O61" s="740">
        <f t="shared" ca="1" si="8"/>
        <v>0</v>
      </c>
      <c r="P61" s="740">
        <f t="shared" si="8"/>
        <v>0</v>
      </c>
      <c r="Q61" s="740">
        <f t="shared" si="8"/>
        <v>0</v>
      </c>
      <c r="R61" s="740">
        <f ca="1">R46+R52+R56</f>
        <v>1039.7662986020337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0.1996607577398205</v>
      </c>
      <c r="D63" s="781">
        <f t="shared" ca="1" si="9"/>
        <v>0</v>
      </c>
      <c r="E63" s="1023">
        <f t="shared" ca="1" si="9"/>
        <v>0.20200000000000001</v>
      </c>
      <c r="F63" s="781">
        <f t="shared" si="9"/>
        <v>0.22700000000000001</v>
      </c>
      <c r="G63" s="781">
        <f t="shared" ca="1" si="9"/>
        <v>0.26699999999999996</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16" t="s">
        <v>241</v>
      </c>
      <c r="B69" s="1119" t="s">
        <v>351</v>
      </c>
      <c r="C69" s="1120"/>
      <c r="D69" s="1123" t="s">
        <v>352</v>
      </c>
      <c r="E69" s="1124"/>
      <c r="F69" s="1124"/>
      <c r="G69" s="1124"/>
      <c r="H69" s="1124"/>
      <c r="I69" s="1124"/>
      <c r="J69" s="1124"/>
      <c r="K69" s="1124"/>
      <c r="L69" s="1124"/>
      <c r="M69" s="1124"/>
      <c r="N69" s="1124"/>
      <c r="O69" s="1125"/>
      <c r="P69" s="1024" t="s">
        <v>645</v>
      </c>
      <c r="Q69" s="1126" t="s">
        <v>644</v>
      </c>
      <c r="R69" s="1127"/>
    </row>
    <row r="70" spans="1:18" ht="61.5" thickTop="1" thickBot="1">
      <c r="A70" s="1118"/>
      <c r="B70" s="1121"/>
      <c r="C70" s="1122"/>
      <c r="D70" s="1128" t="s">
        <v>197</v>
      </c>
      <c r="E70" s="1129"/>
      <c r="F70" s="1129"/>
      <c r="G70" s="1129"/>
      <c r="H70" s="1130"/>
      <c r="I70" s="995" t="s">
        <v>246</v>
      </c>
      <c r="J70" s="995" t="s">
        <v>234</v>
      </c>
      <c r="K70" s="995" t="s">
        <v>209</v>
      </c>
      <c r="L70" s="995" t="s">
        <v>210</v>
      </c>
      <c r="M70" s="749" t="s">
        <v>245</v>
      </c>
      <c r="N70" s="995" t="s">
        <v>247</v>
      </c>
      <c r="O70" s="997" t="s">
        <v>127</v>
      </c>
      <c r="P70" s="1025"/>
      <c r="Q70" s="856"/>
      <c r="R70" s="857"/>
    </row>
    <row r="71" spans="1:18" ht="95.25" customHeight="1" thickTop="1" thickBot="1">
      <c r="A71" s="1117"/>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52"/>
      <c r="D72" s="1152"/>
      <c r="E72" s="1153"/>
      <c r="F72" s="1153"/>
      <c r="G72" s="1143"/>
      <c r="H72" s="1146"/>
      <c r="I72" s="1149"/>
      <c r="J72" s="998"/>
      <c r="K72" s="1131"/>
      <c r="L72" s="1131"/>
      <c r="M72" s="1131"/>
      <c r="N72" s="1131"/>
      <c r="O72" s="1134"/>
      <c r="P72" s="851">
        <v>0</v>
      </c>
      <c r="Q72" s="1030"/>
      <c r="R72" s="851">
        <v>0</v>
      </c>
    </row>
    <row r="73" spans="1:18" ht="15">
      <c r="A73" s="751" t="s">
        <v>250</v>
      </c>
      <c r="B73" s="750">
        <f>'lokale energieproductie'!B5</f>
        <v>0</v>
      </c>
      <c r="C73" s="1150"/>
      <c r="D73" s="1150"/>
      <c r="E73" s="1132"/>
      <c r="F73" s="1132"/>
      <c r="G73" s="1144"/>
      <c r="H73" s="1147"/>
      <c r="I73" s="1150"/>
      <c r="J73" s="999"/>
      <c r="K73" s="1132"/>
      <c r="L73" s="1132"/>
      <c r="M73" s="1132"/>
      <c r="N73" s="1132"/>
      <c r="O73" s="1135"/>
      <c r="P73" s="852">
        <v>0</v>
      </c>
      <c r="Q73" s="858"/>
      <c r="R73" s="852">
        <v>0</v>
      </c>
    </row>
    <row r="74" spans="1:18" ht="15">
      <c r="A74" s="751" t="s">
        <v>251</v>
      </c>
      <c r="B74" s="750">
        <f>'lokale energieproductie'!B6</f>
        <v>27.431881008942703</v>
      </c>
      <c r="C74" s="1150"/>
      <c r="D74" s="1150"/>
      <c r="E74" s="1132"/>
      <c r="F74" s="1132"/>
      <c r="G74" s="1144"/>
      <c r="H74" s="1147"/>
      <c r="I74" s="1150"/>
      <c r="J74" s="999"/>
      <c r="K74" s="1132"/>
      <c r="L74" s="1132"/>
      <c r="M74" s="1132"/>
      <c r="N74" s="1132"/>
      <c r="O74" s="1135"/>
      <c r="P74" s="852">
        <v>0</v>
      </c>
      <c r="Q74" s="858"/>
      <c r="R74" s="852">
        <v>0</v>
      </c>
    </row>
    <row r="75" spans="1:18" ht="15.75" thickBot="1">
      <c r="A75" s="751" t="s">
        <v>851</v>
      </c>
      <c r="B75" s="750">
        <f>'lokale energieproductie'!B7</f>
        <v>0</v>
      </c>
      <c r="C75" s="1151"/>
      <c r="D75" s="1151"/>
      <c r="E75" s="1133"/>
      <c r="F75" s="1133"/>
      <c r="G75" s="1145"/>
      <c r="H75" s="1148"/>
      <c r="I75" s="1151"/>
      <c r="J75" s="1031"/>
      <c r="K75" s="1133"/>
      <c r="L75" s="1133"/>
      <c r="M75" s="1133"/>
      <c r="N75" s="1133"/>
      <c r="O75" s="1136"/>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27.431881008942703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16" t="s">
        <v>253</v>
      </c>
      <c r="B84" s="1119" t="s">
        <v>355</v>
      </c>
      <c r="C84" s="1137"/>
      <c r="D84" s="1140" t="s">
        <v>356</v>
      </c>
      <c r="E84" s="1141"/>
      <c r="F84" s="1141"/>
      <c r="G84" s="1141"/>
      <c r="H84" s="1141"/>
      <c r="I84" s="1141"/>
      <c r="J84" s="1141"/>
      <c r="K84" s="1141"/>
      <c r="L84" s="1141"/>
      <c r="M84" s="1141"/>
      <c r="N84" s="1141"/>
      <c r="O84" s="1142"/>
      <c r="P84" s="1024" t="s">
        <v>645</v>
      </c>
      <c r="Q84" s="1119" t="s">
        <v>644</v>
      </c>
      <c r="R84" s="1120"/>
    </row>
    <row r="85" spans="1:19" ht="16.5" customHeight="1" thickTop="1" thickBot="1">
      <c r="A85" s="1118"/>
      <c r="B85" s="1138"/>
      <c r="C85" s="1139"/>
      <c r="D85" s="1157" t="s">
        <v>197</v>
      </c>
      <c r="E85" s="1158"/>
      <c r="F85" s="1158"/>
      <c r="G85" s="1158"/>
      <c r="H85" s="1159"/>
      <c r="I85" s="1160" t="s">
        <v>246</v>
      </c>
      <c r="J85" s="1111" t="s">
        <v>234</v>
      </c>
      <c r="K85" s="1163" t="s">
        <v>209</v>
      </c>
      <c r="L85" s="1163" t="s">
        <v>210</v>
      </c>
      <c r="M85" s="1164" t="s">
        <v>245</v>
      </c>
      <c r="N85" s="1163" t="s">
        <v>257</v>
      </c>
      <c r="O85" s="1166" t="s">
        <v>127</v>
      </c>
      <c r="P85" s="1025"/>
      <c r="Q85" s="856"/>
      <c r="R85" s="857"/>
    </row>
    <row r="86" spans="1:19" ht="110.25" customHeight="1" thickTop="1" thickBot="1">
      <c r="A86" s="1117"/>
      <c r="B86" s="844" t="s">
        <v>643</v>
      </c>
      <c r="C86" s="844" t="s">
        <v>850</v>
      </c>
      <c r="D86" s="1003" t="s">
        <v>199</v>
      </c>
      <c r="E86" s="996" t="s">
        <v>200</v>
      </c>
      <c r="F86" s="994" t="s">
        <v>201</v>
      </c>
      <c r="G86" s="996" t="s">
        <v>203</v>
      </c>
      <c r="H86" s="764" t="s">
        <v>204</v>
      </c>
      <c r="I86" s="1161"/>
      <c r="J86" s="1162"/>
      <c r="K86" s="1112"/>
      <c r="L86" s="1112"/>
      <c r="M86" s="1165"/>
      <c r="N86" s="1112"/>
      <c r="O86" s="1167"/>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4"/>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5"/>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6"/>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170.90488100894271</v>
      </c>
      <c r="C4" s="477">
        <f>huishoudens!C8</f>
        <v>0</v>
      </c>
      <c r="D4" s="477">
        <f>huishoudens!D8</f>
        <v>240.39562800000002</v>
      </c>
      <c r="E4" s="477">
        <f>huishoudens!E8</f>
        <v>0</v>
      </c>
      <c r="F4" s="477">
        <f>huishoudens!F8</f>
        <v>360.26388124596554</v>
      </c>
      <c r="G4" s="477">
        <f>huishoudens!G8</f>
        <v>0</v>
      </c>
      <c r="H4" s="477">
        <f>huishoudens!H8</f>
        <v>0</v>
      </c>
      <c r="I4" s="477">
        <f>huishoudens!I8</f>
        <v>0</v>
      </c>
      <c r="J4" s="477">
        <f>huishoudens!J8</f>
        <v>68.100076266028779</v>
      </c>
      <c r="K4" s="477">
        <f>huishoudens!K8</f>
        <v>0</v>
      </c>
      <c r="L4" s="477">
        <f>huishoudens!L8</f>
        <v>0</v>
      </c>
      <c r="M4" s="477">
        <f>huishoudens!M8</f>
        <v>0</v>
      </c>
      <c r="N4" s="477">
        <f>huishoudens!N8</f>
        <v>0</v>
      </c>
      <c r="O4" s="477">
        <f>huishoudens!O8</f>
        <v>1.5633333333333335</v>
      </c>
      <c r="P4" s="478">
        <f>huishoudens!P8</f>
        <v>0</v>
      </c>
      <c r="Q4" s="479">
        <f>SUM(B4:P4)</f>
        <v>841.22779985427042</v>
      </c>
    </row>
    <row r="5" spans="1:17">
      <c r="A5" s="476" t="s">
        <v>156</v>
      </c>
      <c r="B5" s="477">
        <f ca="1">tertiair!B16</f>
        <v>32.280999999999999</v>
      </c>
      <c r="C5" s="477">
        <f ca="1">tertiair!C16</f>
        <v>0</v>
      </c>
      <c r="D5" s="477">
        <f ca="1">tertiair!D16</f>
        <v>121.10702999999999</v>
      </c>
      <c r="E5" s="477">
        <f>tertiair!E16</f>
        <v>0.56835580121541862</v>
      </c>
      <c r="F5" s="477">
        <f ca="1">tertiair!F16</f>
        <v>8.3165967799765284</v>
      </c>
      <c r="G5" s="477">
        <f>tertiair!G16</f>
        <v>0</v>
      </c>
      <c r="H5" s="477">
        <f>tertiair!H16</f>
        <v>0</v>
      </c>
      <c r="I5" s="477">
        <f>tertiair!I16</f>
        <v>0</v>
      </c>
      <c r="J5" s="477">
        <f>tertiair!J16</f>
        <v>0</v>
      </c>
      <c r="K5" s="477">
        <f>tertiair!K16</f>
        <v>0</v>
      </c>
      <c r="L5" s="477">
        <f ca="1">tertiair!L16</f>
        <v>0</v>
      </c>
      <c r="M5" s="477">
        <f>tertiair!M16</f>
        <v>0</v>
      </c>
      <c r="N5" s="477">
        <f ca="1">tertiair!N16</f>
        <v>2.8485386261362224</v>
      </c>
      <c r="O5" s="477">
        <f>tertiair!O16</f>
        <v>0</v>
      </c>
      <c r="P5" s="478">
        <f>tertiair!P16</f>
        <v>0</v>
      </c>
      <c r="Q5" s="476">
        <f t="shared" ref="Q5:Q14" ca="1" si="0">SUM(B5:P5)</f>
        <v>165.12152120732816</v>
      </c>
    </row>
    <row r="6" spans="1:17">
      <c r="A6" s="476" t="s">
        <v>194</v>
      </c>
      <c r="B6" s="477">
        <f>'openbare verlichting'!B8</f>
        <v>10.807</v>
      </c>
      <c r="C6" s="477"/>
      <c r="D6" s="477"/>
      <c r="E6" s="477"/>
      <c r="F6" s="477"/>
      <c r="G6" s="477"/>
      <c r="H6" s="477"/>
      <c r="I6" s="477"/>
      <c r="J6" s="477"/>
      <c r="K6" s="477"/>
      <c r="L6" s="477"/>
      <c r="M6" s="477"/>
      <c r="N6" s="477"/>
      <c r="O6" s="477"/>
      <c r="P6" s="478"/>
      <c r="Q6" s="476">
        <f t="shared" si="0"/>
        <v>10.807</v>
      </c>
    </row>
    <row r="7" spans="1:17">
      <c r="A7" s="476" t="s">
        <v>112</v>
      </c>
      <c r="B7" s="477">
        <f>landbouw!B8</f>
        <v>52.384999999999998</v>
      </c>
      <c r="C7" s="477">
        <f>landbouw!C8</f>
        <v>0</v>
      </c>
      <c r="D7" s="477">
        <f>landbouw!D8</f>
        <v>43.086736000000002</v>
      </c>
      <c r="E7" s="477">
        <f>landbouw!E8</f>
        <v>1.350808014854191</v>
      </c>
      <c r="F7" s="477">
        <f>landbouw!F8</f>
        <v>191.47715123863284</v>
      </c>
      <c r="G7" s="477">
        <f>landbouw!G8</f>
        <v>0</v>
      </c>
      <c r="H7" s="477">
        <f>landbouw!H8</f>
        <v>0</v>
      </c>
      <c r="I7" s="477">
        <f>landbouw!I8</f>
        <v>0</v>
      </c>
      <c r="J7" s="477">
        <f>landbouw!J8</f>
        <v>7.5415129309691737</v>
      </c>
      <c r="K7" s="477">
        <f>landbouw!K8</f>
        <v>0</v>
      </c>
      <c r="L7" s="477">
        <f>landbouw!L8</f>
        <v>0</v>
      </c>
      <c r="M7" s="477">
        <f>landbouw!M8</f>
        <v>0</v>
      </c>
      <c r="N7" s="477">
        <f>landbouw!N8</f>
        <v>0</v>
      </c>
      <c r="O7" s="477">
        <f>landbouw!O8</f>
        <v>0</v>
      </c>
      <c r="P7" s="478">
        <f>landbouw!P8</f>
        <v>0</v>
      </c>
      <c r="Q7" s="476">
        <f t="shared" si="0"/>
        <v>295.84120818445621</v>
      </c>
    </row>
    <row r="8" spans="1:17">
      <c r="A8" s="476" t="s">
        <v>638</v>
      </c>
      <c r="B8" s="477">
        <f>industrie!B18</f>
        <v>16.869</v>
      </c>
      <c r="C8" s="477">
        <f>industrie!C18</f>
        <v>0</v>
      </c>
      <c r="D8" s="477">
        <f>industrie!D18</f>
        <v>0</v>
      </c>
      <c r="E8" s="477">
        <f>industrie!E18</f>
        <v>0.9155293807998518</v>
      </c>
      <c r="F8" s="477">
        <f>industrie!F18</f>
        <v>3.6766620077873173</v>
      </c>
      <c r="G8" s="477">
        <f>industrie!G18</f>
        <v>0</v>
      </c>
      <c r="H8" s="477">
        <f>industrie!H18</f>
        <v>0</v>
      </c>
      <c r="I8" s="477">
        <f>industrie!I18</f>
        <v>0</v>
      </c>
      <c r="J8" s="477">
        <f>industrie!J18</f>
        <v>0.13675893223073179</v>
      </c>
      <c r="K8" s="477">
        <f>industrie!K18</f>
        <v>0</v>
      </c>
      <c r="L8" s="477">
        <f>industrie!L18</f>
        <v>0</v>
      </c>
      <c r="M8" s="477">
        <f>industrie!M18</f>
        <v>0</v>
      </c>
      <c r="N8" s="477">
        <f>industrie!N18</f>
        <v>3.3968716057531694</v>
      </c>
      <c r="O8" s="477">
        <f>industrie!O18</f>
        <v>0</v>
      </c>
      <c r="P8" s="478">
        <f>industrie!P18</f>
        <v>0</v>
      </c>
      <c r="Q8" s="476">
        <f t="shared" si="0"/>
        <v>24.99482192657107</v>
      </c>
    </row>
    <row r="9" spans="1:17" s="482" customFormat="1">
      <c r="A9" s="480" t="s">
        <v>564</v>
      </c>
      <c r="B9" s="481">
        <f>transport!B14</f>
        <v>0.85157145997494055</v>
      </c>
      <c r="C9" s="481">
        <f>transport!C14</f>
        <v>0</v>
      </c>
      <c r="D9" s="481">
        <f>transport!D14</f>
        <v>1.9025764394092357</v>
      </c>
      <c r="E9" s="481">
        <f>transport!E14</f>
        <v>7.344240924289454</v>
      </c>
      <c r="F9" s="481">
        <f>transport!F14</f>
        <v>0</v>
      </c>
      <c r="G9" s="481">
        <f>transport!G14</f>
        <v>2201.0504934884329</v>
      </c>
      <c r="H9" s="481">
        <f>transport!H14</f>
        <v>511.26702274072755</v>
      </c>
      <c r="I9" s="481">
        <f>transport!I14</f>
        <v>0</v>
      </c>
      <c r="J9" s="481">
        <f>transport!J14</f>
        <v>0</v>
      </c>
      <c r="K9" s="481">
        <f>transport!K14</f>
        <v>0</v>
      </c>
      <c r="L9" s="481">
        <f>transport!L14</f>
        <v>0</v>
      </c>
      <c r="M9" s="481">
        <f>transport!M14</f>
        <v>84.664954312134711</v>
      </c>
      <c r="N9" s="481">
        <f>transport!N14</f>
        <v>0</v>
      </c>
      <c r="O9" s="481">
        <f>transport!O14</f>
        <v>0</v>
      </c>
      <c r="P9" s="481">
        <f>transport!P14</f>
        <v>0</v>
      </c>
      <c r="Q9" s="480">
        <f>SUM(B9:P9)</f>
        <v>2807.080859364969</v>
      </c>
    </row>
    <row r="10" spans="1:17">
      <c r="A10" s="476" t="s">
        <v>554</v>
      </c>
      <c r="B10" s="477">
        <f>transport!B54</f>
        <v>0</v>
      </c>
      <c r="C10" s="477">
        <f>transport!C54</f>
        <v>0</v>
      </c>
      <c r="D10" s="477">
        <f>transport!D54</f>
        <v>0</v>
      </c>
      <c r="E10" s="477">
        <f>transport!E54</f>
        <v>0</v>
      </c>
      <c r="F10" s="477">
        <f>transport!F54</f>
        <v>0</v>
      </c>
      <c r="G10" s="477">
        <f>transport!G54</f>
        <v>15.347943085374823</v>
      </c>
      <c r="H10" s="477">
        <f>transport!H54</f>
        <v>0</v>
      </c>
      <c r="I10" s="477">
        <f>transport!I54</f>
        <v>0</v>
      </c>
      <c r="J10" s="477">
        <f>transport!J54</f>
        <v>0</v>
      </c>
      <c r="K10" s="477">
        <f>transport!K54</f>
        <v>0</v>
      </c>
      <c r="L10" s="477">
        <f>transport!L54</f>
        <v>0</v>
      </c>
      <c r="M10" s="477">
        <f>transport!M54</f>
        <v>0.4760588583649667</v>
      </c>
      <c r="N10" s="477">
        <f>transport!N54</f>
        <v>0</v>
      </c>
      <c r="O10" s="477">
        <f>transport!O54</f>
        <v>0</v>
      </c>
      <c r="P10" s="478">
        <f>transport!P54</f>
        <v>0</v>
      </c>
      <c r="Q10" s="476">
        <f t="shared" si="0"/>
        <v>15.824001943739789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0</v>
      </c>
      <c r="C14" s="484"/>
      <c r="D14" s="484">
        <f>'SEAP template'!E25</f>
        <v>10.864000000000001</v>
      </c>
      <c r="E14" s="484"/>
      <c r="F14" s="484"/>
      <c r="G14" s="484"/>
      <c r="H14" s="484"/>
      <c r="I14" s="484"/>
      <c r="J14" s="484"/>
      <c r="K14" s="484"/>
      <c r="L14" s="484"/>
      <c r="M14" s="484"/>
      <c r="N14" s="484"/>
      <c r="O14" s="484"/>
      <c r="P14" s="485"/>
      <c r="Q14" s="476">
        <f t="shared" si="0"/>
        <v>10.864000000000001</v>
      </c>
    </row>
    <row r="15" spans="1:17" s="486" customFormat="1">
      <c r="A15" s="1038" t="s">
        <v>558</v>
      </c>
      <c r="B15" s="978">
        <f ca="1">SUM(B4:B14)</f>
        <v>284.09845246891769</v>
      </c>
      <c r="C15" s="978">
        <f t="shared" ref="C15:Q15" ca="1" si="1">SUM(C4:C14)</f>
        <v>0</v>
      </c>
      <c r="D15" s="978">
        <f t="shared" ca="1" si="1"/>
        <v>417.35597043940919</v>
      </c>
      <c r="E15" s="978">
        <f t="shared" si="1"/>
        <v>10.178934121158916</v>
      </c>
      <c r="F15" s="978">
        <f t="shared" ca="1" si="1"/>
        <v>563.73429127236216</v>
      </c>
      <c r="G15" s="978">
        <f t="shared" si="1"/>
        <v>2216.3984365738079</v>
      </c>
      <c r="H15" s="978">
        <f t="shared" si="1"/>
        <v>511.26702274072755</v>
      </c>
      <c r="I15" s="978">
        <f t="shared" si="1"/>
        <v>0</v>
      </c>
      <c r="J15" s="978">
        <f t="shared" si="1"/>
        <v>75.778348129228689</v>
      </c>
      <c r="K15" s="978">
        <f t="shared" si="1"/>
        <v>0</v>
      </c>
      <c r="L15" s="978">
        <f t="shared" ca="1" si="1"/>
        <v>0</v>
      </c>
      <c r="M15" s="978">
        <f t="shared" si="1"/>
        <v>85.141013170499676</v>
      </c>
      <c r="N15" s="978">
        <f t="shared" ca="1" si="1"/>
        <v>6.2454102318893918</v>
      </c>
      <c r="O15" s="978">
        <f t="shared" si="1"/>
        <v>1.5633333333333335</v>
      </c>
      <c r="P15" s="978">
        <f t="shared" si="1"/>
        <v>0</v>
      </c>
      <c r="Q15" s="978">
        <f t="shared" ca="1" si="1"/>
        <v>4171.761212481335</v>
      </c>
    </row>
    <row r="17" spans="1:17">
      <c r="A17" s="487" t="s">
        <v>559</v>
      </c>
      <c r="B17" s="786">
        <f ca="1">huishoudens!B10</f>
        <v>0.19966075773982048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34.122998043679353</v>
      </c>
      <c r="C22" s="477">
        <f t="shared" ref="C22:C32" ca="1" si="3">C4*$C$17</f>
        <v>0</v>
      </c>
      <c r="D22" s="477">
        <f t="shared" ref="D22:D32" si="4">D4*$D$17</f>
        <v>48.559916856000008</v>
      </c>
      <c r="E22" s="477">
        <f t="shared" ref="E22:E32" si="5">E4*$E$17</f>
        <v>0</v>
      </c>
      <c r="F22" s="477">
        <f t="shared" ref="F22:F32" si="6">F4*$F$17</f>
        <v>96.190456292672806</v>
      </c>
      <c r="G22" s="477">
        <f t="shared" ref="G22:G32" si="7">G4*$G$17</f>
        <v>0</v>
      </c>
      <c r="H22" s="477">
        <f t="shared" ref="H22:H32" si="8">H4*$H$17</f>
        <v>0</v>
      </c>
      <c r="I22" s="477">
        <f t="shared" ref="I22:I32" si="9">I4*$I$17</f>
        <v>0</v>
      </c>
      <c r="J22" s="477">
        <f t="shared" ref="J22:J32" si="10">J4*$J$17</f>
        <v>24.107426998174187</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202.98079819052637</v>
      </c>
    </row>
    <row r="23" spans="1:17">
      <c r="A23" s="476" t="s">
        <v>156</v>
      </c>
      <c r="B23" s="477">
        <f t="shared" ca="1" si="2"/>
        <v>6.4452489205991448</v>
      </c>
      <c r="C23" s="477">
        <f t="shared" ca="1" si="3"/>
        <v>0</v>
      </c>
      <c r="D23" s="477">
        <f t="shared" ca="1" si="4"/>
        <v>24.46362006</v>
      </c>
      <c r="E23" s="477">
        <f t="shared" si="5"/>
        <v>0.12901676687590002</v>
      </c>
      <c r="F23" s="477">
        <f t="shared" ca="1" si="6"/>
        <v>2.220531340253733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33.25841708772878</v>
      </c>
    </row>
    <row r="24" spans="1:17">
      <c r="A24" s="476" t="s">
        <v>194</v>
      </c>
      <c r="B24" s="477">
        <f t="shared" ca="1" si="2"/>
        <v>2.1577338088942399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2.1577338088942399</v>
      </c>
    </row>
    <row r="25" spans="1:17">
      <c r="A25" s="476" t="s">
        <v>112</v>
      </c>
      <c r="B25" s="477">
        <f t="shared" ca="1" si="2"/>
        <v>10.459228794200495</v>
      </c>
      <c r="C25" s="477">
        <f t="shared" ca="1" si="3"/>
        <v>0</v>
      </c>
      <c r="D25" s="477">
        <f t="shared" si="4"/>
        <v>8.7035206720000016</v>
      </c>
      <c r="E25" s="477">
        <f t="shared" si="5"/>
        <v>0.30663341937190136</v>
      </c>
      <c r="F25" s="477">
        <f t="shared" si="6"/>
        <v>51.124399380714969</v>
      </c>
      <c r="G25" s="477">
        <f t="shared" si="7"/>
        <v>0</v>
      </c>
      <c r="H25" s="477">
        <f t="shared" si="8"/>
        <v>0</v>
      </c>
      <c r="I25" s="477">
        <f t="shared" si="9"/>
        <v>0</v>
      </c>
      <c r="J25" s="477">
        <f t="shared" si="10"/>
        <v>2.6696955775630875</v>
      </c>
      <c r="K25" s="477">
        <f t="shared" si="11"/>
        <v>0</v>
      </c>
      <c r="L25" s="477">
        <f t="shared" si="12"/>
        <v>0</v>
      </c>
      <c r="M25" s="477">
        <f t="shared" si="13"/>
        <v>0</v>
      </c>
      <c r="N25" s="477">
        <f t="shared" si="14"/>
        <v>0</v>
      </c>
      <c r="O25" s="477">
        <f t="shared" si="15"/>
        <v>0</v>
      </c>
      <c r="P25" s="478">
        <f t="shared" si="16"/>
        <v>0</v>
      </c>
      <c r="Q25" s="476">
        <f t="shared" ca="1" si="17"/>
        <v>73.263477843850453</v>
      </c>
    </row>
    <row r="26" spans="1:17">
      <c r="A26" s="476" t="s">
        <v>638</v>
      </c>
      <c r="B26" s="477">
        <f t="shared" ca="1" si="2"/>
        <v>3.3680773223130314</v>
      </c>
      <c r="C26" s="477">
        <f t="shared" ca="1" si="3"/>
        <v>0</v>
      </c>
      <c r="D26" s="477">
        <f t="shared" si="4"/>
        <v>0</v>
      </c>
      <c r="E26" s="477">
        <f t="shared" si="5"/>
        <v>0.20782516944156637</v>
      </c>
      <c r="F26" s="477">
        <f t="shared" si="6"/>
        <v>0.98166875607921378</v>
      </c>
      <c r="G26" s="477">
        <f t="shared" si="7"/>
        <v>0</v>
      </c>
      <c r="H26" s="477">
        <f t="shared" si="8"/>
        <v>0</v>
      </c>
      <c r="I26" s="477">
        <f t="shared" si="9"/>
        <v>0</v>
      </c>
      <c r="J26" s="477">
        <f t="shared" si="10"/>
        <v>4.8412662009679051E-2</v>
      </c>
      <c r="K26" s="477">
        <f t="shared" si="11"/>
        <v>0</v>
      </c>
      <c r="L26" s="477">
        <f t="shared" si="12"/>
        <v>0</v>
      </c>
      <c r="M26" s="477">
        <f t="shared" si="13"/>
        <v>0</v>
      </c>
      <c r="N26" s="477">
        <f t="shared" si="14"/>
        <v>0</v>
      </c>
      <c r="O26" s="477">
        <f t="shared" si="15"/>
        <v>0</v>
      </c>
      <c r="P26" s="478">
        <f t="shared" si="16"/>
        <v>0</v>
      </c>
      <c r="Q26" s="476">
        <f t="shared" ca="1" si="17"/>
        <v>4.6059839098434905</v>
      </c>
    </row>
    <row r="27" spans="1:17" s="482" customFormat="1">
      <c r="A27" s="480" t="s">
        <v>564</v>
      </c>
      <c r="B27" s="780">
        <f t="shared" ca="1" si="2"/>
        <v>0.17002540296820184</v>
      </c>
      <c r="C27" s="481">
        <f t="shared" ca="1" si="3"/>
        <v>0</v>
      </c>
      <c r="D27" s="481">
        <f t="shared" si="4"/>
        <v>0.38432044076066563</v>
      </c>
      <c r="E27" s="481">
        <f t="shared" si="5"/>
        <v>1.6671426898137061</v>
      </c>
      <c r="F27" s="481">
        <f t="shared" si="6"/>
        <v>0</v>
      </c>
      <c r="G27" s="481">
        <f t="shared" si="7"/>
        <v>587.68048176141167</v>
      </c>
      <c r="H27" s="481">
        <f t="shared" si="8"/>
        <v>127.30548866244116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717.20745895739537</v>
      </c>
    </row>
    <row r="28" spans="1:17">
      <c r="A28" s="476" t="s">
        <v>554</v>
      </c>
      <c r="B28" s="477">
        <f t="shared" ca="1" si="2"/>
        <v>0</v>
      </c>
      <c r="C28" s="477">
        <f t="shared" ca="1" si="3"/>
        <v>0</v>
      </c>
      <c r="D28" s="477">
        <f t="shared" si="4"/>
        <v>0</v>
      </c>
      <c r="E28" s="477">
        <f t="shared" si="5"/>
        <v>0</v>
      </c>
      <c r="F28" s="477">
        <f t="shared" si="6"/>
        <v>0</v>
      </c>
      <c r="G28" s="477">
        <f t="shared" si="7"/>
        <v>4.0979008037950777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4.0979008037950777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0</v>
      </c>
      <c r="C32" s="477">
        <f t="shared" ca="1" si="3"/>
        <v>0</v>
      </c>
      <c r="D32" s="477">
        <f t="shared" si="4"/>
        <v>2.1945280000000005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2.1945280000000005</v>
      </c>
    </row>
    <row r="33" spans="1:17" s="486" customFormat="1">
      <c r="A33" s="1038" t="s">
        <v>558</v>
      </c>
      <c r="B33" s="978">
        <f ca="1">SUM(B22:B32)</f>
        <v>56.72331229265447</v>
      </c>
      <c r="C33" s="978">
        <f t="shared" ref="C33:Q33" ca="1" si="18">SUM(C22:C32)</f>
        <v>0</v>
      </c>
      <c r="D33" s="978">
        <f t="shared" ca="1" si="18"/>
        <v>84.305906028760674</v>
      </c>
      <c r="E33" s="978">
        <f t="shared" si="18"/>
        <v>2.310618045503074</v>
      </c>
      <c r="F33" s="978">
        <f t="shared" ca="1" si="18"/>
        <v>150.51705576972071</v>
      </c>
      <c r="G33" s="978">
        <f t="shared" si="18"/>
        <v>591.7783825652067</v>
      </c>
      <c r="H33" s="978">
        <f t="shared" si="18"/>
        <v>127.30548866244116</v>
      </c>
      <c r="I33" s="978">
        <f t="shared" si="18"/>
        <v>0</v>
      </c>
      <c r="J33" s="978">
        <f t="shared" si="18"/>
        <v>26.825535237746951</v>
      </c>
      <c r="K33" s="978">
        <f t="shared" si="18"/>
        <v>0</v>
      </c>
      <c r="L33" s="978">
        <f t="shared" ca="1" si="18"/>
        <v>0</v>
      </c>
      <c r="M33" s="978">
        <f t="shared" si="18"/>
        <v>0</v>
      </c>
      <c r="N33" s="978">
        <f t="shared" ca="1" si="18"/>
        <v>0</v>
      </c>
      <c r="O33" s="978">
        <f t="shared" si="18"/>
        <v>0</v>
      </c>
      <c r="P33" s="978">
        <f t="shared" si="18"/>
        <v>0</v>
      </c>
      <c r="Q33" s="978">
        <f t="shared" ca="1" si="18"/>
        <v>1039.7662986020337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60">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27.431881008942703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864</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27.431881008942703</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865</v>
      </c>
      <c r="B12" s="786" t="s">
        <v>866</v>
      </c>
      <c r="C12" s="786">
        <f ca="1">'EF ele_warmte'!B12</f>
        <v>0.19966075773982048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871</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872</v>
      </c>
      <c r="B22" s="786" t="s">
        <v>866</v>
      </c>
      <c r="C22" s="786">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8" t="s">
        <v>241</v>
      </c>
      <c r="B1" s="1186" t="s">
        <v>351</v>
      </c>
      <c r="C1" s="1186"/>
      <c r="D1" s="1189" t="s">
        <v>352</v>
      </c>
      <c r="E1" s="1189"/>
      <c r="F1" s="1189"/>
      <c r="G1" s="1189"/>
      <c r="H1" s="1189"/>
      <c r="I1" s="1189"/>
      <c r="J1" s="1189"/>
      <c r="K1" s="1189"/>
      <c r="L1" s="1189"/>
      <c r="M1" s="1189"/>
      <c r="N1" s="1189"/>
      <c r="O1" s="1189"/>
      <c r="P1" s="1186" t="s">
        <v>858</v>
      </c>
    </row>
    <row r="2" spans="1:16" ht="15.75">
      <c r="A2" s="1188"/>
      <c r="B2" s="1186"/>
      <c r="C2" s="1186"/>
      <c r="D2" s="1189" t="s">
        <v>197</v>
      </c>
      <c r="E2" s="1189"/>
      <c r="F2" s="1189"/>
      <c r="G2" s="1189"/>
      <c r="H2" s="1189"/>
      <c r="I2" s="1053" t="s">
        <v>859</v>
      </c>
      <c r="J2" s="1053" t="s">
        <v>234</v>
      </c>
      <c r="K2" s="1053" t="s">
        <v>860</v>
      </c>
      <c r="L2" s="1053" t="s">
        <v>851</v>
      </c>
      <c r="M2" s="1053" t="s">
        <v>245</v>
      </c>
      <c r="N2" s="1053" t="s">
        <v>861</v>
      </c>
      <c r="O2" s="1053" t="s">
        <v>127</v>
      </c>
      <c r="P2" s="1186"/>
    </row>
    <row r="3" spans="1:16" ht="30">
      <c r="A3" s="1188"/>
      <c r="B3" s="1053" t="s">
        <v>862</v>
      </c>
      <c r="C3" s="1053" t="s">
        <v>863</v>
      </c>
      <c r="D3" s="1053" t="s">
        <v>199</v>
      </c>
      <c r="E3" s="1053" t="s">
        <v>200</v>
      </c>
      <c r="F3" s="1053" t="s">
        <v>201</v>
      </c>
      <c r="G3" s="1053" t="s">
        <v>203</v>
      </c>
      <c r="H3" s="1053" t="s">
        <v>204</v>
      </c>
      <c r="I3" s="1053"/>
      <c r="J3" s="1053"/>
      <c r="K3" s="1053"/>
      <c r="L3" s="1053"/>
      <c r="M3" s="1053"/>
      <c r="N3" s="1053"/>
      <c r="O3" s="1053"/>
      <c r="P3" s="1186"/>
    </row>
    <row r="4" spans="1:16" ht="135">
      <c r="A4" s="1064" t="s">
        <v>249</v>
      </c>
      <c r="B4" s="1065" t="s">
        <v>873</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874</v>
      </c>
    </row>
    <row r="5" spans="1:16" ht="135">
      <c r="A5" s="1068" t="s">
        <v>250</v>
      </c>
      <c r="B5" s="1065" t="s">
        <v>873</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874</v>
      </c>
    </row>
    <row r="6" spans="1:16" ht="135">
      <c r="A6" s="1068" t="s">
        <v>251</v>
      </c>
      <c r="B6" s="1065" t="s">
        <v>873</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874</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874</v>
      </c>
    </row>
    <row r="8" spans="1:16" ht="210">
      <c r="A8" s="1064" t="s">
        <v>252</v>
      </c>
      <c r="B8" s="1065" t="s">
        <v>875</v>
      </c>
      <c r="C8" s="1065" t="s">
        <v>875</v>
      </c>
      <c r="D8" s="1065" t="s">
        <v>875</v>
      </c>
      <c r="E8" s="1065" t="s">
        <v>875</v>
      </c>
      <c r="F8" s="1065" t="s">
        <v>875</v>
      </c>
      <c r="G8" s="1065" t="s">
        <v>875</v>
      </c>
      <c r="H8" s="1065" t="s">
        <v>875</v>
      </c>
      <c r="I8" s="1065" t="s">
        <v>875</v>
      </c>
      <c r="J8" s="1065" t="s">
        <v>875</v>
      </c>
      <c r="K8" s="1066" t="s">
        <v>815</v>
      </c>
      <c r="L8" s="1066" t="s">
        <v>815</v>
      </c>
      <c r="M8" s="1066" t="s">
        <v>815</v>
      </c>
      <c r="N8" s="1065" t="s">
        <v>876</v>
      </c>
      <c r="O8" s="1065" t="s">
        <v>876</v>
      </c>
      <c r="P8" s="1069"/>
    </row>
    <row r="9" spans="1:16" ht="210">
      <c r="A9" s="1070" t="s">
        <v>864</v>
      </c>
      <c r="B9" s="1065" t="s">
        <v>876</v>
      </c>
      <c r="C9" s="1065" t="s">
        <v>876</v>
      </c>
      <c r="D9" s="1065" t="s">
        <v>876</v>
      </c>
      <c r="E9" s="1065" t="s">
        <v>876</v>
      </c>
      <c r="F9" s="1065" t="s">
        <v>876</v>
      </c>
      <c r="G9" s="1065" t="s">
        <v>876</v>
      </c>
      <c r="H9" s="1065" t="s">
        <v>876</v>
      </c>
      <c r="I9" s="1065" t="s">
        <v>876</v>
      </c>
      <c r="J9" s="1065" t="s">
        <v>876</v>
      </c>
      <c r="K9" s="1066" t="s">
        <v>815</v>
      </c>
      <c r="L9" s="1065" t="s">
        <v>876</v>
      </c>
      <c r="M9" s="1065" t="s">
        <v>876</v>
      </c>
      <c r="N9" s="1065" t="s">
        <v>876</v>
      </c>
      <c r="O9" s="1065" t="s">
        <v>876</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865</v>
      </c>
      <c r="B12" s="786" t="s">
        <v>866</v>
      </c>
      <c r="C12" s="1072" t="s">
        <v>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8" t="s">
        <v>253</v>
      </c>
      <c r="B14" s="1186" t="s">
        <v>355</v>
      </c>
      <c r="C14" s="1186"/>
      <c r="D14" s="1189" t="s">
        <v>356</v>
      </c>
      <c r="E14" s="1189"/>
      <c r="F14" s="1189"/>
      <c r="G14" s="1189"/>
      <c r="H14" s="1189"/>
      <c r="I14" s="1189"/>
      <c r="J14" s="1189"/>
      <c r="K14" s="1189"/>
      <c r="L14" s="1189"/>
      <c r="M14" s="1189"/>
      <c r="N14" s="1189"/>
      <c r="O14" s="1189"/>
      <c r="P14" s="1186" t="s">
        <v>867</v>
      </c>
    </row>
    <row r="15" spans="1:16">
      <c r="A15" s="1188"/>
      <c r="B15" s="1186"/>
      <c r="C15" s="1186"/>
      <c r="D15" s="1190" t="s">
        <v>197</v>
      </c>
      <c r="E15" s="1190"/>
      <c r="F15" s="1190"/>
      <c r="G15" s="1190"/>
      <c r="H15" s="1190"/>
      <c r="I15" s="1186" t="s">
        <v>859</v>
      </c>
      <c r="J15" s="1186" t="s">
        <v>234</v>
      </c>
      <c r="K15" s="1186" t="s">
        <v>860</v>
      </c>
      <c r="L15" s="1186" t="s">
        <v>851</v>
      </c>
      <c r="M15" s="1186" t="s">
        <v>245</v>
      </c>
      <c r="N15" s="1186" t="s">
        <v>868</v>
      </c>
      <c r="O15" s="1186" t="s">
        <v>127</v>
      </c>
      <c r="P15" s="1186"/>
    </row>
    <row r="16" spans="1:16" ht="30">
      <c r="A16" s="1188"/>
      <c r="B16" s="1053" t="s">
        <v>869</v>
      </c>
      <c r="C16" s="1053" t="s">
        <v>870</v>
      </c>
      <c r="D16" s="1053" t="s">
        <v>199</v>
      </c>
      <c r="E16" s="1053" t="s">
        <v>200</v>
      </c>
      <c r="F16" s="1053" t="s">
        <v>201</v>
      </c>
      <c r="G16" s="1053" t="s">
        <v>203</v>
      </c>
      <c r="H16" s="1053" t="s">
        <v>204</v>
      </c>
      <c r="I16" s="1186"/>
      <c r="J16" s="1186"/>
      <c r="K16" s="1186"/>
      <c r="L16" s="1186"/>
      <c r="M16" s="1186"/>
      <c r="N16" s="1186"/>
      <c r="O16" s="1187"/>
      <c r="P16" s="1186"/>
    </row>
    <row r="17" spans="1:16" ht="210">
      <c r="A17" s="1060" t="s">
        <v>252</v>
      </c>
      <c r="B17" s="1065" t="s">
        <v>876</v>
      </c>
      <c r="C17" s="1065" t="s">
        <v>876</v>
      </c>
      <c r="D17" s="1065" t="s">
        <v>876</v>
      </c>
      <c r="E17" s="1065" t="s">
        <v>876</v>
      </c>
      <c r="F17" s="1065" t="s">
        <v>876</v>
      </c>
      <c r="G17" s="1065" t="s">
        <v>876</v>
      </c>
      <c r="H17" s="1065" t="s">
        <v>876</v>
      </c>
      <c r="I17" s="1065" t="s">
        <v>876</v>
      </c>
      <c r="J17" s="1065" t="s">
        <v>876</v>
      </c>
      <c r="K17" s="1066" t="s">
        <v>815</v>
      </c>
      <c r="L17" s="1066" t="s">
        <v>815</v>
      </c>
      <c r="M17" s="1066" t="s">
        <v>815</v>
      </c>
      <c r="N17" s="1065" t="s">
        <v>876</v>
      </c>
      <c r="O17" s="1065" t="s">
        <v>876</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871</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872</v>
      </c>
      <c r="B22" s="786" t="s">
        <v>866</v>
      </c>
      <c r="C22" s="1072" t="s">
        <v>878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0.19966075773982048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0.19966075773982048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0.19966075773982048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73028</v>
      </c>
      <c r="B1" s="332"/>
      <c r="C1" s="332"/>
      <c r="D1" s="332"/>
      <c r="E1" s="332"/>
      <c r="F1" s="333"/>
    </row>
    <row r="3" spans="1:6" ht="19.5">
      <c r="A3" s="335" t="s">
        <v>0</v>
      </c>
    </row>
    <row r="4" spans="1:6" ht="22.5">
      <c r="A4" s="1292" t="s">
        <v>879</v>
      </c>
    </row>
    <row r="5" spans="1:6" ht="22.5">
      <c r="A5" s="1292" t="s">
        <v>880</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34</v>
      </c>
      <c r="C9" s="342">
        <v>34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122.01</v>
      </c>
    </row>
    <row r="15" spans="1:6">
      <c r="A15" s="348" t="s">
        <v>184</v>
      </c>
      <c r="B15" s="334">
        <v>0</v>
      </c>
    </row>
    <row r="16" spans="1:6">
      <c r="A16" s="348" t="s">
        <v>6</v>
      </c>
      <c r="B16" s="334">
        <v>0</v>
      </c>
    </row>
    <row r="17" spans="1:6">
      <c r="A17" s="348" t="s">
        <v>7</v>
      </c>
      <c r="B17" s="334">
        <v>3</v>
      </c>
    </row>
    <row r="18" spans="1:6">
      <c r="A18" s="348" t="s">
        <v>8</v>
      </c>
      <c r="B18" s="334">
        <v>2</v>
      </c>
    </row>
    <row r="19" spans="1:6">
      <c r="A19" s="348" t="s">
        <v>9</v>
      </c>
      <c r="B19" s="334">
        <v>1</v>
      </c>
    </row>
    <row r="20" spans="1:6">
      <c r="A20" s="348" t="s">
        <v>10</v>
      </c>
      <c r="B20" s="334">
        <v>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881</v>
      </c>
      <c r="B29" s="355">
        <v>7</v>
      </c>
      <c r="C29" s="356"/>
      <c r="D29" s="356"/>
      <c r="E29" s="356"/>
      <c r="F29" s="356"/>
    </row>
    <row r="30" spans="1:6">
      <c r="A30" s="355" t="s">
        <v>882</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12</v>
      </c>
      <c r="D39" s="334">
        <v>266514</v>
      </c>
      <c r="E39" s="334">
        <v>32</v>
      </c>
      <c r="F39" s="334">
        <v>143473</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16869</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5</v>
      </c>
      <c r="F51" s="334">
        <v>52385</v>
      </c>
    </row>
    <row r="52" spans="1:6">
      <c r="A52" s="348" t="s">
        <v>42</v>
      </c>
      <c r="B52" s="348" t="s">
        <v>29</v>
      </c>
      <c r="C52" s="334">
        <v>0</v>
      </c>
      <c r="D52" s="334">
        <v>47768</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10807</v>
      </c>
    </row>
    <row r="56" spans="1:6">
      <c r="A56" s="348" t="s">
        <v>48</v>
      </c>
      <c r="B56" s="348" t="s">
        <v>29</v>
      </c>
      <c r="C56" s="334">
        <v>0</v>
      </c>
      <c r="D56" s="334">
        <v>10864</v>
      </c>
      <c r="E56" s="334">
        <v>0</v>
      </c>
      <c r="F56" s="334">
        <v>0</v>
      </c>
    </row>
    <row r="57" spans="1:6">
      <c r="A57" s="348" t="s">
        <v>49</v>
      </c>
      <c r="B57" s="348" t="s">
        <v>50</v>
      </c>
      <c r="C57" s="334">
        <v>0</v>
      </c>
      <c r="D57" s="334">
        <v>0</v>
      </c>
      <c r="E57" s="334">
        <v>0</v>
      </c>
      <c r="F57" s="334">
        <v>0</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0</v>
      </c>
      <c r="F61" s="334">
        <v>0</v>
      </c>
    </row>
    <row r="62" spans="1:6">
      <c r="A62" s="348" t="s">
        <v>49</v>
      </c>
      <c r="B62" s="348" t="s">
        <v>55</v>
      </c>
      <c r="C62" s="334">
        <v>0</v>
      </c>
      <c r="D62" s="334">
        <v>0</v>
      </c>
      <c r="E62" s="334">
        <v>0</v>
      </c>
      <c r="F62" s="334">
        <v>0</v>
      </c>
    </row>
    <row r="63" spans="1:6">
      <c r="A63" s="348" t="s">
        <v>49</v>
      </c>
      <c r="B63" s="348" t="s">
        <v>29</v>
      </c>
      <c r="C63" s="334">
        <v>4</v>
      </c>
      <c r="D63" s="334">
        <v>134265</v>
      </c>
      <c r="E63" s="334">
        <v>4</v>
      </c>
      <c r="F63" s="334">
        <v>32281</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3047389</v>
      </c>
      <c r="E73" s="475">
        <v>3131831.7077630996</v>
      </c>
    </row>
    <row r="74" spans="1:6">
      <c r="A74" s="348" t="s">
        <v>64</v>
      </c>
      <c r="B74" s="348" t="s">
        <v>667</v>
      </c>
      <c r="C74" s="1294" t="s">
        <v>669</v>
      </c>
      <c r="D74" s="475">
        <v>174058.94440396066</v>
      </c>
      <c r="E74" s="475">
        <v>178508.64880544622</v>
      </c>
    </row>
    <row r="75" spans="1:6">
      <c r="A75" s="348" t="s">
        <v>65</v>
      </c>
      <c r="B75" s="348" t="s">
        <v>666</v>
      </c>
      <c r="C75" s="1294" t="s">
        <v>670</v>
      </c>
      <c r="D75" s="475">
        <v>586599</v>
      </c>
      <c r="E75" s="475">
        <v>602854.802153436</v>
      </c>
    </row>
    <row r="76" spans="1:6">
      <c r="A76" s="348" t="s">
        <v>65</v>
      </c>
      <c r="B76" s="348" t="s">
        <v>667</v>
      </c>
      <c r="C76" s="1294" t="s">
        <v>671</v>
      </c>
      <c r="D76" s="475">
        <v>5664.9444039606497</v>
      </c>
      <c r="E76" s="475">
        <v>5847.0225592570805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883</v>
      </c>
      <c r="D81" s="337"/>
      <c r="E81" s="337"/>
      <c r="F81" s="344"/>
    </row>
    <row r="82" spans="1:6" ht="16.5" thickTop="1" thickBot="1">
      <c r="A82" s="345" t="s">
        <v>335</v>
      </c>
      <c r="B82" s="361">
        <v>2015</v>
      </c>
      <c r="C82" s="361">
        <v>2020</v>
      </c>
      <c r="D82" s="346"/>
      <c r="E82" s="346"/>
      <c r="F82" s="347"/>
    </row>
    <row r="83" spans="1:6">
      <c r="A83" s="348" t="s">
        <v>336</v>
      </c>
      <c r="B83" s="475">
        <v>4250.1111920787007</v>
      </c>
      <c r="C83" s="475">
        <v>4250.1111920787007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884</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27.431881008942703</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v>
      </c>
    </row>
    <row r="98" spans="1:6">
      <c r="A98" s="348" t="s">
        <v>72</v>
      </c>
      <c r="B98" s="334">
        <v>1</v>
      </c>
    </row>
    <row r="99" spans="1:6">
      <c r="A99" s="348" t="s">
        <v>73</v>
      </c>
      <c r="B99" s="334">
        <v>0</v>
      </c>
    </row>
    <row r="100" spans="1:6">
      <c r="A100" s="348" t="s">
        <v>74</v>
      </c>
      <c r="B100" s="334">
        <v>3</v>
      </c>
    </row>
    <row r="101" spans="1:6">
      <c r="A101" s="348" t="s">
        <v>75</v>
      </c>
      <c r="B101" s="334">
        <v>0</v>
      </c>
    </row>
    <row r="102" spans="1:6">
      <c r="A102" s="348" t="s">
        <v>76</v>
      </c>
      <c r="B102" s="334">
        <v>1</v>
      </c>
    </row>
    <row r="103" spans="1:6">
      <c r="A103" s="348" t="s">
        <v>77</v>
      </c>
      <c r="B103" s="334">
        <v>3</v>
      </c>
    </row>
    <row r="104" spans="1:6">
      <c r="A104" s="348" t="s">
        <v>78</v>
      </c>
      <c r="B104" s="334">
        <v>22</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885</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885</v>
      </c>
      <c r="D127" s="337"/>
      <c r="E127" s="337"/>
      <c r="F127" s="344"/>
    </row>
    <row r="128" spans="1:6" ht="16.5" thickTop="1" thickBot="1">
      <c r="A128" s="345" t="s">
        <v>4</v>
      </c>
      <c r="B128" s="346" t="s">
        <v>5</v>
      </c>
      <c r="C128" s="346"/>
      <c r="D128" s="346"/>
      <c r="E128" s="346"/>
      <c r="F128" s="347"/>
    </row>
    <row r="129" spans="1:6">
      <c r="A129" s="348" t="s">
        <v>294</v>
      </c>
      <c r="B129" s="334">
        <v>1</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B1"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284.09845246891763</v>
      </c>
      <c r="C3" s="43" t="s">
        <v>170</v>
      </c>
      <c r="D3" s="43"/>
      <c r="E3" s="154"/>
      <c r="F3" s="43"/>
      <c r="G3" s="43"/>
      <c r="H3" s="43"/>
      <c r="I3" s="43"/>
      <c r="J3" s="43"/>
      <c r="K3" s="96"/>
    </row>
    <row r="4" spans="1:11">
      <c r="A4" s="383" t="s">
        <v>171</v>
      </c>
      <c r="B4" s="49">
        <f>IF(ISERROR('SEAP template'!B78),0,'SEAP template'!B78)</f>
        <v>27.431881008942703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0.19966075773982048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10.807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10.807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0.19966075773982048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2.1577338088942399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143.47300000000001</v>
      </c>
      <c r="C5" s="17">
        <f>IF(ISERROR('Eigen informatie GS &amp; warmtenet'!B57),0,'Eigen informatie GS &amp; warmtenet'!B57)</f>
        <v>0</v>
      </c>
      <c r="D5" s="30">
        <f>(SUM(HH_hh_gas_kWh,HH_rest_gas_kWh)/1000)*0.902</f>
        <v>240.39562800000002</v>
      </c>
      <c r="E5" s="17">
        <f>B46*B57</f>
        <v>0</v>
      </c>
      <c r="F5" s="17">
        <f>B51*B62</f>
        <v>360.26388124596554</v>
      </c>
      <c r="G5" s="18"/>
      <c r="H5" s="17"/>
      <c r="I5" s="17"/>
      <c r="J5" s="17">
        <f>B50*B61+C50*C61</f>
        <v>68.100076266028779</v>
      </c>
      <c r="K5" s="17"/>
      <c r="L5" s="17"/>
      <c r="M5" s="17"/>
      <c r="N5" s="17">
        <f>B48*B59+C48*C59</f>
        <v>0</v>
      </c>
      <c r="O5" s="17">
        <f>B69*B70*B71</f>
        <v>1.5633333333333335</v>
      </c>
      <c r="P5" s="17">
        <f>B77*B78*B79/1000-B77*B78*B79/1000/B80</f>
        <v>0</v>
      </c>
    </row>
    <row r="6" spans="1:16">
      <c r="A6" s="16" t="s">
        <v>624</v>
      </c>
      <c r="B6" s="788">
        <f>kWh_PV_kleiner_dan_10kW</f>
        <v>27.431881008942703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170.90488100894271</v>
      </c>
      <c r="C8" s="21">
        <f>C5</f>
        <v>0</v>
      </c>
      <c r="D8" s="21">
        <f>D5</f>
        <v>240.39562800000002</v>
      </c>
      <c r="E8" s="21">
        <f>E5</f>
        <v>0</v>
      </c>
      <c r="F8" s="21">
        <f>F5</f>
        <v>360.26388124596554</v>
      </c>
      <c r="G8" s="21"/>
      <c r="H8" s="21"/>
      <c r="I8" s="21"/>
      <c r="J8" s="21">
        <f>J5</f>
        <v>68.100076266028779</v>
      </c>
      <c r="K8" s="21"/>
      <c r="L8" s="21">
        <f>L5</f>
        <v>0</v>
      </c>
      <c r="M8" s="21">
        <f>M5</f>
        <v>0</v>
      </c>
      <c r="N8" s="21">
        <f>N5</f>
        <v>0</v>
      </c>
      <c r="O8" s="21">
        <f>O5</f>
        <v>1.5633333333333335</v>
      </c>
      <c r="P8" s="21">
        <f>P5</f>
        <v>0</v>
      </c>
    </row>
    <row r="9" spans="1:16">
      <c r="B9" s="19"/>
      <c r="C9" s="19"/>
      <c r="D9" s="258"/>
      <c r="E9" s="19"/>
      <c r="F9" s="19"/>
      <c r="G9" s="19"/>
      <c r="H9" s="19"/>
      <c r="I9" s="19"/>
      <c r="J9" s="19"/>
      <c r="K9" s="19"/>
      <c r="L9" s="19"/>
      <c r="M9" s="19"/>
      <c r="N9" s="19"/>
      <c r="O9" s="19"/>
      <c r="P9" s="19"/>
    </row>
    <row r="10" spans="1:16">
      <c r="A10" s="24" t="s">
        <v>214</v>
      </c>
      <c r="B10" s="25">
        <f ca="1">'EF ele_warmte'!B12</f>
        <v>0.19966075773982048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34.122998043679353</v>
      </c>
      <c r="C12" s="23">
        <f ca="1">C10*C8</f>
        <v>0</v>
      </c>
      <c r="D12" s="23">
        <f>D8*D10</f>
        <v>48.559916856000008</v>
      </c>
      <c r="E12" s="23">
        <f>E10*E8</f>
        <v>0</v>
      </c>
      <c r="F12" s="23">
        <f>F10*F8</f>
        <v>96.190456292672806</v>
      </c>
      <c r="G12" s="23"/>
      <c r="H12" s="23"/>
      <c r="I12" s="23"/>
      <c r="J12" s="23">
        <f>J10*J8</f>
        <v>24.107426998174187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v>
      </c>
      <c r="C18" s="166" t="s">
        <v>111</v>
      </c>
      <c r="D18" s="228"/>
      <c r="E18" s="15"/>
    </row>
    <row r="19" spans="1:7">
      <c r="A19" s="171" t="s">
        <v>72</v>
      </c>
      <c r="B19" s="37">
        <f>aantalw2001_ander</f>
        <v>1</v>
      </c>
      <c r="C19" s="166" t="s">
        <v>111</v>
      </c>
      <c r="D19" s="229"/>
      <c r="E19" s="15"/>
    </row>
    <row r="20" spans="1:7">
      <c r="A20" s="171" t="s">
        <v>73</v>
      </c>
      <c r="B20" s="37">
        <f>aantalw2001_propaan</f>
        <v>0</v>
      </c>
      <c r="C20" s="167">
        <f>IF(ISERROR(B20/SUM($B$20,$B$21,$B$22)*100),0,B20/SUM($B$20,$B$21,$B$22)*100)</f>
        <v>0</v>
      </c>
      <c r="D20" s="229"/>
      <c r="E20" s="15"/>
    </row>
    <row r="21" spans="1:7">
      <c r="A21" s="171" t="s">
        <v>74</v>
      </c>
      <c r="B21" s="37">
        <f>aantalw2001_elektriciteit</f>
        <v>3</v>
      </c>
      <c r="C21" s="167">
        <f>IF(ISERROR(B21/SUM($B$20,$B$21,$B$22)*100),0,B21/SUM($B$20,$B$21,$B$22)*100)</f>
        <v>100</v>
      </c>
      <c r="D21" s="229"/>
      <c r="E21" s="15"/>
    </row>
    <row r="22" spans="1:7">
      <c r="A22" s="171" t="s">
        <v>75</v>
      </c>
      <c r="B22" s="37">
        <f>aantalw2001_hout</f>
        <v>0</v>
      </c>
      <c r="C22" s="167">
        <f>IF(ISERROR(B22/SUM($B$20,$B$21,$B$22)*100),0,B22/SUM($B$20,$B$21,$B$22)*100)</f>
        <v>0</v>
      </c>
      <c r="D22" s="229"/>
      <c r="E22" s="15"/>
    </row>
    <row r="23" spans="1:7">
      <c r="A23" s="171" t="s">
        <v>76</v>
      </c>
      <c r="B23" s="37">
        <f>aantalw2001_niet_gespec</f>
        <v>1</v>
      </c>
      <c r="C23" s="166" t="s">
        <v>111</v>
      </c>
      <c r="D23" s="228"/>
      <c r="E23" s="15"/>
    </row>
    <row r="24" spans="1:7">
      <c r="A24" s="171" t="s">
        <v>77</v>
      </c>
      <c r="B24" s="37">
        <f>aantalw2001_steenkool</f>
        <v>3</v>
      </c>
      <c r="C24" s="166" t="s">
        <v>111</v>
      </c>
      <c r="D24" s="229"/>
      <c r="E24" s="15"/>
    </row>
    <row r="25" spans="1:7">
      <c r="A25" s="171" t="s">
        <v>78</v>
      </c>
      <c r="B25" s="37">
        <f>aantalw2001_stookolie</f>
        <v>22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34</v>
      </c>
      <c r="C28" s="36"/>
      <c r="D28" s="228"/>
    </row>
    <row r="29" spans="1:7" s="15" customFormat="1">
      <c r="A29" s="230" t="s">
        <v>699</v>
      </c>
      <c r="B29" s="37">
        <f>SUM(HH_hh_gas_aantal,HH_rest_gas_aantal)</f>
        <v>12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12</v>
      </c>
      <c r="C32" s="167">
        <f>IF(ISERROR(B32/SUM($B$32,$B$34,$B$35,$B$36,$B$38,$B$39)*100),0,B32/SUM($B$32,$B$34,$B$35,$B$36,$B$38,$B$39)*100)</f>
        <v>35.294117647058826</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4.9999999999999991</v>
      </c>
      <c r="C35" s="167">
        <f>IF(ISERROR(B35/SUM($B$32,$B$34,$B$35,$B$36,$B$38,$B$39)*100),0,B35/SUM($B$32,$B$34,$B$35,$B$36,$B$38,$B$39)*100)</f>
        <v>14.705882352941174</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2.2000000000000002</v>
      </c>
      <c r="C38" s="167">
        <f>IF(ISERROR(B38/SUM($B$32,$B$34,$B$35,$B$36,$B$38,$B$39)*100),0,B38/SUM($B$32,$B$34,$B$35,$B$36,$B$38,$B$39)*100)</f>
        <v>6.4705882352941186</v>
      </c>
      <c r="D38" s="234"/>
      <c r="G38" s="15"/>
    </row>
    <row r="39" spans="1:7">
      <c r="A39" s="171" t="s">
        <v>78</v>
      </c>
      <c r="B39" s="33">
        <f>IF((B25-(B29-B18))&lt;0,0,B25-(B29-B18)*0.9)</f>
        <v>14.8</v>
      </c>
      <c r="C39" s="167">
        <f>IF(ISERROR(B39/SUM($B$32,$B$34,$B$35,$B$36,$B$38,$B$39)*100),0,B39/SUM($B$32,$B$34,$B$35,$B$36,$B$38,$B$39)*100)</f>
        <v>43.529411764705884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12</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4.9999999999999991</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2.2000000000000002</v>
      </c>
      <c r="C50" s="33">
        <f>B50*2</f>
        <v>4.4000000000000004</v>
      </c>
      <c r="D50" s="234"/>
    </row>
    <row r="51" spans="1:6">
      <c r="A51" s="171" t="s">
        <v>78</v>
      </c>
      <c r="B51" s="33">
        <f t="shared" si="0"/>
        <v>14.8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32.280999999999999</v>
      </c>
      <c r="C5" s="17">
        <f>IF(ISERROR('Eigen informatie GS &amp; warmtenet'!B58),0,'Eigen informatie GS &amp; warmtenet'!B58)</f>
        <v>0</v>
      </c>
      <c r="D5" s="30">
        <f>SUM(D6:D12)</f>
        <v>121.10702999999999</v>
      </c>
      <c r="E5" s="17">
        <f>SUM(E6:E12)</f>
        <v>0.56835580121541862</v>
      </c>
      <c r="F5" s="17">
        <f>SUM(F6:F12)</f>
        <v>8.3165967799765284</v>
      </c>
      <c r="G5" s="18"/>
      <c r="H5" s="17"/>
      <c r="I5" s="17"/>
      <c r="J5" s="17">
        <f>SUM(J6:J12)</f>
        <v>0</v>
      </c>
      <c r="K5" s="17"/>
      <c r="L5" s="17"/>
      <c r="M5" s="17"/>
      <c r="N5" s="17">
        <f>SUM(N6:N12)</f>
        <v>2.8485386261362224</v>
      </c>
      <c r="O5" s="17">
        <f>B38*B39*B40</f>
        <v>0</v>
      </c>
      <c r="P5" s="17">
        <f>B46*B47*B48/1000-B46*B47*B48/1000/B49</f>
        <v>0</v>
      </c>
      <c r="R5" s="32"/>
    </row>
    <row r="6" spans="1:18">
      <c r="A6" s="32" t="s">
        <v>54</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32.280999999999999</v>
      </c>
      <c r="C12" s="33"/>
      <c r="D12" s="37">
        <f>IF(ISERROR(TER_rest_gas_kWh/1000),0,TER_rest_gas_kWh/1000)*0.902</f>
        <v>121.10702999999999</v>
      </c>
      <c r="E12" s="33">
        <f>$C$32*'E Balans VL '!I8/100/3.6*1000000</f>
        <v>0.56835580121541862</v>
      </c>
      <c r="F12" s="33">
        <f>$C$32*('E Balans VL '!L8+'E Balans VL '!N8)/100/3.6*1000000</f>
        <v>8.3165967799765284</v>
      </c>
      <c r="G12" s="34"/>
      <c r="H12" s="33"/>
      <c r="I12" s="33"/>
      <c r="J12" s="33">
        <f>$C$32*('E Balans VL '!D8+'E Balans VL '!E8)/100/3.6*1000000</f>
        <v>0</v>
      </c>
      <c r="K12" s="33"/>
      <c r="L12" s="33"/>
      <c r="M12" s="33"/>
      <c r="N12" s="33">
        <f>$C$32*'E Balans VL '!Y8/100/3.6*1000000</f>
        <v>2.8485386261362224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32.280999999999999</v>
      </c>
      <c r="C16" s="21">
        <f t="shared" ca="1" si="1"/>
        <v>0</v>
      </c>
      <c r="D16" s="21">
        <f t="shared" ca="1" si="1"/>
        <v>121.10702999999999</v>
      </c>
      <c r="E16" s="21">
        <f t="shared" si="1"/>
        <v>0.56835580121541862</v>
      </c>
      <c r="F16" s="21">
        <f t="shared" ca="1" si="1"/>
        <v>8.3165967799765284</v>
      </c>
      <c r="G16" s="21">
        <f t="shared" si="1"/>
        <v>0</v>
      </c>
      <c r="H16" s="21">
        <f t="shared" si="1"/>
        <v>0</v>
      </c>
      <c r="I16" s="21">
        <f t="shared" si="1"/>
        <v>0</v>
      </c>
      <c r="J16" s="21">
        <f t="shared" si="1"/>
        <v>0</v>
      </c>
      <c r="K16" s="21">
        <f t="shared" si="1"/>
        <v>0</v>
      </c>
      <c r="L16" s="21">
        <f t="shared" ca="1" si="1"/>
        <v>0</v>
      </c>
      <c r="M16" s="21">
        <f t="shared" si="1"/>
        <v>0</v>
      </c>
      <c r="N16" s="21">
        <f t="shared" ca="1" si="1"/>
        <v>2.8485386261362224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0.19966075773982048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6.4452489205991448</v>
      </c>
      <c r="C20" s="23">
        <f t="shared" ref="C20:P20" ca="1" si="2">C16*C18</f>
        <v>0</v>
      </c>
      <c r="D20" s="23">
        <f t="shared" ca="1" si="2"/>
        <v>24.46362006</v>
      </c>
      <c r="E20" s="23">
        <f t="shared" si="2"/>
        <v>0.12901676687590002</v>
      </c>
      <c r="F20" s="23">
        <f t="shared" ca="1" si="2"/>
        <v>2.220531340253733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0</v>
      </c>
      <c r="C26" s="39">
        <f>IF(ISERROR(B26*3.6/1000000/'E Balans VL '!Z12*100),0,B26*3.6/1000000/'E Balans VL '!Z12*100)</f>
        <v>0</v>
      </c>
      <c r="D26" s="237" t="s">
        <v>660</v>
      </c>
      <c r="F26" s="6"/>
    </row>
    <row r="27" spans="1:18">
      <c r="A27" s="231" t="s">
        <v>53</v>
      </c>
      <c r="B27" s="33">
        <f>IF(ISERROR(TER_horeca_ele_kWh/1000),0,TER_horeca_ele_kWh/1000)</f>
        <v>0</v>
      </c>
      <c r="C27" s="39">
        <f>IF(ISERROR(B27*3.6/1000000/'E Balans VL '!Z9*100),0,B27*3.6/1000000/'E Balans VL '!Z9*100)</f>
        <v>0</v>
      </c>
      <c r="D27" s="237" t="s">
        <v>660</v>
      </c>
      <c r="F27" s="6"/>
    </row>
    <row r="28" spans="1:18">
      <c r="A28" s="171" t="s">
        <v>52</v>
      </c>
      <c r="B28" s="33">
        <f>IF(ISERROR(TER_handel_ele_kWh/1000),0,TER_handel_ele_kWh/1000)</f>
        <v>0</v>
      </c>
      <c r="C28" s="39">
        <f>IF(ISERROR(B28*3.6/1000000/'E Balans VL '!Z13*100),0,B28*3.6/1000000/'E Balans VL '!Z13*100)</f>
        <v>0</v>
      </c>
      <c r="D28" s="237" t="s">
        <v>660</v>
      </c>
      <c r="F28" s="6"/>
    </row>
    <row r="29" spans="1:18">
      <c r="A29" s="231" t="s">
        <v>51</v>
      </c>
      <c r="B29" s="33">
        <f>IF(ISERROR(TER_gezond_ele_kWh/1000),0,TER_gezond_ele_kWh/1000)</f>
        <v>0</v>
      </c>
      <c r="C29" s="39">
        <f>IF(ISERROR(B29*3.6/1000000/'E Balans VL '!Z10*100),0,B29*3.6/1000000/'E Balans VL '!Z10*100)</f>
        <v>0</v>
      </c>
      <c r="D29" s="237" t="s">
        <v>660</v>
      </c>
      <c r="F29" s="6"/>
    </row>
    <row r="30" spans="1:18">
      <c r="A30" s="231" t="s">
        <v>50</v>
      </c>
      <c r="B30" s="33">
        <f>IF(ISERROR(TER_ander_ele_kWh/1000),0,TER_ander_ele_kWh/1000)</f>
        <v>0</v>
      </c>
      <c r="C30" s="39">
        <f>IF(ISERROR(B30*3.6/1000000/'E Balans VL '!Z14*100),0,B30*3.6/1000000/'E Balans VL '!Z14*100)</f>
        <v>0</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32.280999999999999</v>
      </c>
      <c r="C32" s="39">
        <f>IF(ISERROR(B32*3.6/1000000/'E Balans VL '!Z8*100),0,B32*3.6/1000000/'E Balans VL '!Z8*100)</f>
        <v>2.676544409682183E-4</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16.869</v>
      </c>
      <c r="C5" s="17">
        <f>IF(ISERROR('Eigen informatie GS &amp; warmtenet'!B59),0,'Eigen informatie GS &amp; warmtenet'!B59)</f>
        <v>0</v>
      </c>
      <c r="D5" s="30">
        <f>SUM(D6:D15)</f>
        <v>0</v>
      </c>
      <c r="E5" s="17">
        <f>SUM(E6:E15)</f>
        <v>0.9155293807998518</v>
      </c>
      <c r="F5" s="17">
        <f>SUM(F6:F15)</f>
        <v>3.6766620077873173</v>
      </c>
      <c r="G5" s="18"/>
      <c r="H5" s="17"/>
      <c r="I5" s="17"/>
      <c r="J5" s="17">
        <f>SUM(J6:J15)</f>
        <v>0.13675893223073179</v>
      </c>
      <c r="K5" s="17"/>
      <c r="L5" s="17"/>
      <c r="M5" s="17"/>
      <c r="N5" s="17">
        <f>SUM(N6:N15)</f>
        <v>3.3968716057531694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16.869</v>
      </c>
      <c r="C15" s="33"/>
      <c r="D15" s="37">
        <f>IF( ISERROR(IND_rest_gas_kWh/1000),0,IND_rest_gas_kWh/1000)*0.902</f>
        <v>0</v>
      </c>
      <c r="E15" s="33">
        <f>C37*'E Balans VL '!I15/100/3.6*1000000</f>
        <v>0.9155293807998518</v>
      </c>
      <c r="F15" s="33">
        <f>C37*'E Balans VL '!L15/100/3.6*1000000+C37*'E Balans VL '!N15/100/3.6*1000000</f>
        <v>3.6766620077873173</v>
      </c>
      <c r="G15" s="34"/>
      <c r="H15" s="33"/>
      <c r="I15" s="33"/>
      <c r="J15" s="40">
        <f>C37*'E Balans VL '!D15/100/3.6*1000000+C37*'E Balans VL '!E15/100/3.6*1000000</f>
        <v>0.13675893223073179</v>
      </c>
      <c r="K15" s="33"/>
      <c r="L15" s="33"/>
      <c r="M15" s="33"/>
      <c r="N15" s="33">
        <f>C37*'E Balans VL '!Y15/100/3.6*1000000</f>
        <v>3.3968716057531694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16.869</v>
      </c>
      <c r="C18" s="21">
        <f>C5+C16</f>
        <v>0</v>
      </c>
      <c r="D18" s="21">
        <f>MAX((D5+D16),0)</f>
        <v>0</v>
      </c>
      <c r="E18" s="21">
        <f>MAX((E5+E16),0)</f>
        <v>0.9155293807998518</v>
      </c>
      <c r="F18" s="21">
        <f>MAX((F5+F16),0)</f>
        <v>3.6766620077873173</v>
      </c>
      <c r="G18" s="21"/>
      <c r="H18" s="21"/>
      <c r="I18" s="21"/>
      <c r="J18" s="21">
        <f>MAX((J5+J16),0)</f>
        <v>0.13675893223073179</v>
      </c>
      <c r="K18" s="21"/>
      <c r="L18" s="21">
        <f>MAX((L5+L16),0)</f>
        <v>0</v>
      </c>
      <c r="M18" s="21"/>
      <c r="N18" s="21">
        <f>MAX((N5+N16),0)</f>
        <v>3.3968716057531694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0.19966075773982048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3.3680773223130314</v>
      </c>
      <c r="C22" s="23">
        <f ca="1">C18*C20</f>
        <v>0</v>
      </c>
      <c r="D22" s="23">
        <f>D18*D20</f>
        <v>0</v>
      </c>
      <c r="E22" s="23">
        <f>E18*E20</f>
        <v>0.20782516944156637</v>
      </c>
      <c r="F22" s="23">
        <f>F18*F20</f>
        <v>0.98166875607921378</v>
      </c>
      <c r="G22" s="23"/>
      <c r="H22" s="23"/>
      <c r="I22" s="23"/>
      <c r="J22" s="23">
        <f>J18*J20</f>
        <v>4.8412662009679051E-2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0</v>
      </c>
      <c r="C31" s="39">
        <f>IF(ISERROR(B31*3.6/1000000/'E Balans VL '!Z19*100),0,B31*3.6/1000000/'E Balans VL '!Z19*100)</f>
        <v>0</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16.869</v>
      </c>
      <c r="C37" s="39">
        <f>IF(ISERROR(B37*3.6/1000000/'E Balans VL '!Z15*100),0,B37*3.6/1000000/'E Balans VL '!Z15*100)</f>
        <v>1.3618996897618493E-4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52.384999999999998</v>
      </c>
      <c r="C5" s="17">
        <f>'Eigen informatie GS &amp; warmtenet'!B60</f>
        <v>0</v>
      </c>
      <c r="D5" s="30">
        <f>IF(ISERROR(SUM(LB_lb_gas_kWh,LB_rest_gas_kWh)/1000),0,SUM(LB_lb_gas_kWh,LB_rest_gas_kWh)/1000)*0.902</f>
        <v>43.086736000000002</v>
      </c>
      <c r="E5" s="17">
        <f>B17*'E Balans VL '!I25/3.6*1000000/100</f>
        <v>1.350808014854191</v>
      </c>
      <c r="F5" s="17">
        <f>B17*('E Balans VL '!L25/3.6*1000000+'E Balans VL '!N25/3.6*1000000)/100</f>
        <v>191.47715123863284</v>
      </c>
      <c r="G5" s="18"/>
      <c r="H5" s="17"/>
      <c r="I5" s="17"/>
      <c r="J5" s="17">
        <f>('E Balans VL '!D25+'E Balans VL '!E25)/3.6*1000000*landbouw!B17/100</f>
        <v>7.5415129309691737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52.384999999999998</v>
      </c>
      <c r="C8" s="21">
        <f>C5+C6</f>
        <v>0</v>
      </c>
      <c r="D8" s="21">
        <f>MAX((D5+D6),0)</f>
        <v>43.086736000000002</v>
      </c>
      <c r="E8" s="21">
        <f>MAX((E5+E6),0)</f>
        <v>1.350808014854191</v>
      </c>
      <c r="F8" s="21">
        <f>MAX((F5+F6),0)</f>
        <v>191.47715123863284</v>
      </c>
      <c r="G8" s="21"/>
      <c r="H8" s="21"/>
      <c r="I8" s="21"/>
      <c r="J8" s="21">
        <f>MAX((J5+J6),0)</f>
        <v>7.5415129309691737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0.19966075773982048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10.459228794200495</v>
      </c>
      <c r="C12" s="23">
        <f ca="1">C8*C10</f>
        <v>0</v>
      </c>
      <c r="D12" s="23">
        <f>D8*D10</f>
        <v>8.7035206720000016</v>
      </c>
      <c r="E12" s="23">
        <f>E8*E10</f>
        <v>0.30663341937190136</v>
      </c>
      <c r="F12" s="23">
        <f>F8*F10</f>
        <v>51.124399380714969</v>
      </c>
      <c r="G12" s="23"/>
      <c r="H12" s="23"/>
      <c r="I12" s="23"/>
      <c r="J12" s="23">
        <f>J8*J10</f>
        <v>2.6696955775630875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7.3866319904594769E-3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0.56747039856509907</v>
      </c>
      <c r="C26" s="247">
        <f>B26*'GWP N2O_CH4'!B5</f>
        <v>11.91687836986708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3.0213526175994942E-2</v>
      </c>
      <c r="C27" s="247">
        <f>B27*'GWP N2O_CH4'!B5</f>
        <v>0.63448404969589378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6.9447937261542872E-3</v>
      </c>
      <c r="C28" s="247">
        <f>B28*'GWP N2O_CH4'!B4</f>
        <v>2.152886055107829</v>
      </c>
      <c r="D28" s="50"/>
    </row>
    <row r="29" spans="1:4">
      <c r="A29" s="41" t="s">
        <v>277</v>
      </c>
      <c r="B29" s="247">
        <f>B34*'ha_N2O bodem landbouw'!B4</f>
        <v>0.80490980594214534</v>
      </c>
      <c r="C29" s="247">
        <f>B29*'GWP N2O_CH4'!B4</f>
        <v>249.52203984206506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1.811484464082098E-4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3.065657255909786E-6</v>
      </c>
      <c r="C5" s="463" t="s">
        <v>211</v>
      </c>
      <c r="D5" s="448">
        <f>SUM(D6:D11)</f>
        <v>6.8492751818732489E-6</v>
      </c>
      <c r="E5" s="448">
        <f>SUM(E6:E11)</f>
        <v>2.6439267327442035E-5</v>
      </c>
      <c r="F5" s="461" t="s">
        <v>211</v>
      </c>
      <c r="G5" s="448">
        <f>SUM(G6:G11)</f>
        <v>7.9237817765583588E-3</v>
      </c>
      <c r="H5" s="448">
        <f>SUM(H6:H11)</f>
        <v>1.8405612818666191E-3</v>
      </c>
      <c r="I5" s="463" t="s">
        <v>211</v>
      </c>
      <c r="J5" s="463" t="s">
        <v>211</v>
      </c>
      <c r="K5" s="463" t="s">
        <v>211</v>
      </c>
      <c r="L5" s="463" t="s">
        <v>211</v>
      </c>
      <c r="M5" s="448">
        <f>SUM(M6:M11)</f>
        <v>3.04793835523685E-4</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2.5707983073773679E-6</v>
      </c>
      <c r="C6" s="449"/>
      <c r="D6" s="892">
        <f>vkm_2011_GW_PW*SUMIFS(TableVerdeelsleutelVkm[CNG],TableVerdeelsleutelVkm[Voertuigtype],"Lichte voertuigen")*SUMIFS(TableECFTransport[EnergieConsumptieFactor (PJ per km)],TableECFTransport[Index],CONCATENATE($A6,"_CNG_CNG"))</f>
        <v>5.108221268235975E-6</v>
      </c>
      <c r="E6" s="892">
        <f>vkm_2011_GW_PW*SUMIFS(TableVerdeelsleutelVkm[LPG],TableVerdeelsleutelVkm[Voertuigtype],"Lichte voertuigen")*SUMIFS(TableECFTransport[EnergieConsumptieFactor (PJ per km)],TableECFTransport[Index],CONCATENATE($A6,"_LPG_LPG"))</f>
        <v>2.0102681850561288E-5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4.7797279808279164E-3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1.3829491747508488E-3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1.9203471086712417E-4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1.6678672140540752E-3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5.3879235059869413E-7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5.2551943951138668E-5</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4.9485894853241799E-7</v>
      </c>
      <c r="C8" s="449"/>
      <c r="D8" s="451">
        <f>vkm_2011_NGW_PW*SUMIFS(TableVerdeelsleutelVkm[CNG],TableVerdeelsleutelVkm[Voertuigtype],"Lichte voertuigen")*SUMIFS(TableECFTransport[EnergieConsumptieFactor (PJ per km)],TableECFTransport[Index],CONCATENATE($A8,"_CNG_CNG"))</f>
        <v>1.7410539136372739E-6</v>
      </c>
      <c r="E8" s="451">
        <f>vkm_2011_NGW_PW*SUMIFS(TableVerdeelsleutelVkm[LPG],TableVerdeelsleutelVkm[Voertuigtype],"Lichte voertuigen")*SUMIFS(TableECFTransport[EnergieConsumptieFactor (PJ per km)],TableECFTransport[Index],CONCATENATE($A8,"_LPG_LPG"))</f>
        <v>6.3365854768807481E-6</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1.4069001037705169E-3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4.5705214715868389E-4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5.8024106238520679E-5</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6.9286477905850514E-5</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2.1167606487582967E-8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2.1830744669014479E-6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0.85157145997494055</v>
      </c>
      <c r="C14" s="21"/>
      <c r="D14" s="21">
        <f t="shared" ref="D14:M14" si="0">((D5)*10^9/3600)+D12</f>
        <v>1.9025764394092357</v>
      </c>
      <c r="E14" s="21">
        <f t="shared" si="0"/>
        <v>7.344240924289454</v>
      </c>
      <c r="F14" s="21"/>
      <c r="G14" s="21">
        <f t="shared" si="0"/>
        <v>2201.0504934884329</v>
      </c>
      <c r="H14" s="21">
        <f t="shared" si="0"/>
        <v>511.26702274072755</v>
      </c>
      <c r="I14" s="21"/>
      <c r="J14" s="21"/>
      <c r="K14" s="21"/>
      <c r="L14" s="21"/>
      <c r="M14" s="21">
        <f t="shared" si="0"/>
        <v>84.664954312134711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0.19966075773982048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0.17002540296820184</v>
      </c>
      <c r="C18" s="23"/>
      <c r="D18" s="23">
        <f t="shared" ref="D18:M18" si="1">D14*D16</f>
        <v>0.38432044076066563</v>
      </c>
      <c r="E18" s="23">
        <f t="shared" si="1"/>
        <v>1.6671426898137061</v>
      </c>
      <c r="F18" s="23"/>
      <c r="G18" s="23">
        <f t="shared" si="1"/>
        <v>587.68048176141167</v>
      </c>
      <c r="H18" s="23">
        <f t="shared" si="1"/>
        <v>127.30548866244116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5.5252595107349364E-5</v>
      </c>
      <c r="H50" s="321">
        <f t="shared" si="2"/>
        <v>0</v>
      </c>
      <c r="I50" s="321">
        <f t="shared" si="2"/>
        <v>0</v>
      </c>
      <c r="J50" s="321">
        <f t="shared" si="2"/>
        <v>0</v>
      </c>
      <c r="K50" s="321">
        <f t="shared" si="2"/>
        <v>0</v>
      </c>
      <c r="L50" s="321">
        <f t="shared" si="2"/>
        <v>0</v>
      </c>
      <c r="M50" s="321">
        <f t="shared" si="2"/>
        <v>1.7138118901138801E-6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5.5252595107349364E-5</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1.7138118901138801E-6</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15.347943085374823</v>
      </c>
      <c r="H54" s="21">
        <f t="shared" si="3"/>
        <v>0</v>
      </c>
      <c r="I54" s="21">
        <f t="shared" si="3"/>
        <v>0</v>
      </c>
      <c r="J54" s="21">
        <f t="shared" si="3"/>
        <v>0</v>
      </c>
      <c r="K54" s="21">
        <f t="shared" si="3"/>
        <v>0</v>
      </c>
      <c r="L54" s="21">
        <f t="shared" si="3"/>
        <v>0</v>
      </c>
      <c r="M54" s="21">
        <f t="shared" si="3"/>
        <v>0.4760588583649667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0.19966075773982048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4.0979008037950777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36" t="s">
        <v>241</v>
      </c>
      <c r="B1" s="1239" t="s">
        <v>242</v>
      </c>
      <c r="C1" s="1250" t="s">
        <v>243</v>
      </c>
      <c r="D1" s="1251"/>
      <c r="E1" s="1251"/>
      <c r="F1" s="1251"/>
      <c r="G1" s="1251"/>
      <c r="H1" s="1251"/>
      <c r="I1" s="1251"/>
      <c r="J1" s="1251"/>
      <c r="K1" s="1251"/>
      <c r="L1" s="1251"/>
      <c r="M1" s="1251"/>
      <c r="N1" s="1252"/>
      <c r="O1" s="1253" t="s">
        <v>244</v>
      </c>
      <c r="P1" s="1239" t="s">
        <v>550</v>
      </c>
      <c r="Q1" s="1253"/>
      <c r="S1" s="1231"/>
      <c r="T1" s="1231"/>
      <c r="U1" s="1231"/>
    </row>
    <row r="2" spans="1:21" s="559" customFormat="1" ht="15.75" thickBot="1">
      <c r="A2" s="1237"/>
      <c r="B2" s="1237"/>
      <c r="C2" s="1241" t="s">
        <v>197</v>
      </c>
      <c r="D2" s="1242"/>
      <c r="E2" s="1242"/>
      <c r="F2" s="1242"/>
      <c r="G2" s="1243"/>
      <c r="H2" s="1244" t="s">
        <v>245</v>
      </c>
      <c r="I2" s="1234" t="s">
        <v>246</v>
      </c>
      <c r="J2" s="1234" t="s">
        <v>234</v>
      </c>
      <c r="K2" s="1234" t="s">
        <v>247</v>
      </c>
      <c r="L2" s="1234" t="s">
        <v>127</v>
      </c>
      <c r="M2" s="1234" t="s">
        <v>853</v>
      </c>
      <c r="N2" s="1246" t="s">
        <v>854</v>
      </c>
      <c r="O2" s="1254"/>
      <c r="P2" s="1256"/>
      <c r="Q2" s="1254"/>
      <c r="S2" s="1231"/>
      <c r="T2" s="1231"/>
      <c r="U2" s="1231"/>
    </row>
    <row r="3" spans="1:21" s="559" customFormat="1" ht="53.45" customHeight="1" thickBot="1">
      <c r="A3" s="1238"/>
      <c r="B3" s="1240"/>
      <c r="C3" s="560" t="s">
        <v>199</v>
      </c>
      <c r="D3" s="1011" t="s">
        <v>200</v>
      </c>
      <c r="E3" s="561" t="s">
        <v>201</v>
      </c>
      <c r="F3" s="562" t="s">
        <v>203</v>
      </c>
      <c r="G3" s="563" t="s">
        <v>204</v>
      </c>
      <c r="H3" s="1245"/>
      <c r="I3" s="1235"/>
      <c r="J3" s="1235"/>
      <c r="K3" s="1235"/>
      <c r="L3" s="1235"/>
      <c r="M3" s="1235"/>
      <c r="N3" s="1247"/>
      <c r="O3" s="1255"/>
      <c r="P3" s="1240"/>
      <c r="Q3" s="1255"/>
      <c r="S3" s="1231"/>
      <c r="T3" s="1231"/>
      <c r="U3" s="1231"/>
    </row>
    <row r="4" spans="1:21" s="559" customFormat="1" ht="15.75" thickTop="1">
      <c r="A4" s="564" t="s">
        <v>249</v>
      </c>
      <c r="B4" s="565">
        <f>IF(ISERROR(kWh_wind_land),0,kWh_wind_land)</f>
        <v>0</v>
      </c>
      <c r="C4" s="1257"/>
      <c r="D4" s="1260"/>
      <c r="E4" s="1260"/>
      <c r="F4" s="1263"/>
      <c r="G4" s="1266"/>
      <c r="H4" s="1269"/>
      <c r="I4" s="1260"/>
      <c r="J4" s="1260"/>
      <c r="K4" s="1260"/>
      <c r="L4" s="1260"/>
      <c r="M4" s="1260"/>
      <c r="N4" s="1040"/>
      <c r="O4" s="566"/>
      <c r="P4" s="1272"/>
      <c r="Q4" s="1273"/>
      <c r="S4" s="1007"/>
      <c r="T4" s="1274"/>
      <c r="U4" s="1274"/>
    </row>
    <row r="5" spans="1:21" s="559" customFormat="1">
      <c r="A5" s="567" t="s">
        <v>250</v>
      </c>
      <c r="B5" s="565">
        <f>IF(ISERROR(kWh_waterkracht),0,kWh_waterkracht)</f>
        <v>0</v>
      </c>
      <c r="C5" s="1258"/>
      <c r="D5" s="1261"/>
      <c r="E5" s="1261"/>
      <c r="F5" s="1264"/>
      <c r="G5" s="1267"/>
      <c r="H5" s="1270"/>
      <c r="I5" s="1261"/>
      <c r="J5" s="1261"/>
      <c r="K5" s="1261"/>
      <c r="L5" s="1261"/>
      <c r="M5" s="1261"/>
      <c r="N5" s="1040"/>
      <c r="O5" s="568"/>
      <c r="P5" s="1232"/>
      <c r="Q5" s="1233"/>
      <c r="S5" s="1007"/>
      <c r="T5" s="1274"/>
      <c r="U5" s="1274"/>
    </row>
    <row r="6" spans="1:21" s="559" customFormat="1">
      <c r="A6" s="567" t="s">
        <v>251</v>
      </c>
      <c r="B6" s="565">
        <f>IF(ISERROR((kWh_PV_kleiner_dan_10kW+kWh_PV_groter_dan_10kW)),0,(kWh_PV_kleiner_dan_10kW+kWh_PV_groter_dan_10kW))</f>
        <v>27.431881008942703</v>
      </c>
      <c r="C6" s="1258"/>
      <c r="D6" s="1261"/>
      <c r="E6" s="1261"/>
      <c r="F6" s="1264"/>
      <c r="G6" s="1267"/>
      <c r="H6" s="1270"/>
      <c r="I6" s="1261"/>
      <c r="J6" s="1261"/>
      <c r="K6" s="1261"/>
      <c r="L6" s="1261"/>
      <c r="M6" s="1261"/>
      <c r="N6" s="1040"/>
      <c r="O6" s="568"/>
      <c r="P6" s="1232"/>
      <c r="Q6" s="1233"/>
      <c r="S6" s="1007"/>
      <c r="T6" s="1274"/>
      <c r="U6" s="1274"/>
    </row>
    <row r="7" spans="1:21" s="559" customFormat="1">
      <c r="A7" s="567" t="s">
        <v>851</v>
      </c>
      <c r="B7" s="565"/>
      <c r="C7" s="1259"/>
      <c r="D7" s="1262"/>
      <c r="E7" s="1262"/>
      <c r="F7" s="1265"/>
      <c r="G7" s="1268"/>
      <c r="H7" s="1271"/>
      <c r="I7" s="1262"/>
      <c r="J7" s="1262"/>
      <c r="K7" s="1262"/>
      <c r="L7" s="1262"/>
      <c r="M7" s="1262"/>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32"/>
      <c r="Q8" s="1233"/>
      <c r="S8" s="1007"/>
      <c r="T8" s="1274"/>
      <c r="U8" s="1274"/>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75"/>
      <c r="Q9" s="1276"/>
      <c r="R9" s="580"/>
      <c r="S9" s="1007"/>
      <c r="T9" s="1274"/>
      <c r="U9" s="1274"/>
    </row>
    <row r="10" spans="1:21" s="559" customFormat="1" ht="16.5" thickTop="1" thickBot="1">
      <c r="A10" s="581" t="s">
        <v>116</v>
      </c>
      <c r="B10" s="582">
        <f>SUM(B4:B9)</f>
        <v>27.431881008942703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36" t="s">
        <v>253</v>
      </c>
      <c r="B14" s="1236" t="s">
        <v>254</v>
      </c>
      <c r="C14" s="1277" t="s">
        <v>255</v>
      </c>
      <c r="D14" s="1278"/>
      <c r="E14" s="1278"/>
      <c r="F14" s="1278"/>
      <c r="G14" s="1278"/>
      <c r="H14" s="1278"/>
      <c r="I14" s="1278"/>
      <c r="J14" s="1278"/>
      <c r="K14" s="1278"/>
      <c r="L14" s="1278"/>
      <c r="M14" s="1278"/>
      <c r="N14" s="1279"/>
      <c r="O14" s="1253" t="s">
        <v>244</v>
      </c>
      <c r="P14" s="1239" t="s">
        <v>256</v>
      </c>
      <c r="Q14" s="1253"/>
      <c r="R14" s="1231"/>
      <c r="S14" s="1231"/>
      <c r="T14" s="1231"/>
    </row>
    <row r="15" spans="1:21" s="559" customFormat="1" ht="15.75" customHeight="1" thickBot="1">
      <c r="A15" s="1237"/>
      <c r="B15" s="1237"/>
      <c r="C15" s="1280" t="s">
        <v>197</v>
      </c>
      <c r="D15" s="1281"/>
      <c r="E15" s="1281"/>
      <c r="F15" s="1281"/>
      <c r="G15" s="1282"/>
      <c r="H15" s="1283" t="s">
        <v>245</v>
      </c>
      <c r="I15" s="1283" t="s">
        <v>246</v>
      </c>
      <c r="J15" s="1283" t="s">
        <v>234</v>
      </c>
      <c r="K15" s="1283" t="s">
        <v>257</v>
      </c>
      <c r="L15" s="1283" t="s">
        <v>127</v>
      </c>
      <c r="M15" s="1283" t="s">
        <v>853</v>
      </c>
      <c r="N15" s="1246" t="s">
        <v>854</v>
      </c>
      <c r="O15" s="1254"/>
      <c r="P15" s="1256"/>
      <c r="Q15" s="1254"/>
      <c r="R15" s="1231"/>
      <c r="S15" s="1231"/>
      <c r="T15" s="1231"/>
    </row>
    <row r="16" spans="1:21" s="559" customFormat="1" ht="40.700000000000003" customHeight="1" thickBot="1">
      <c r="A16" s="1238"/>
      <c r="B16" s="1238"/>
      <c r="C16" s="591" t="s">
        <v>199</v>
      </c>
      <c r="D16" s="1011" t="s">
        <v>200</v>
      </c>
      <c r="E16" s="1010" t="s">
        <v>201</v>
      </c>
      <c r="F16" s="1011" t="s">
        <v>203</v>
      </c>
      <c r="G16" s="592" t="s">
        <v>204</v>
      </c>
      <c r="H16" s="1245"/>
      <c r="I16" s="1245"/>
      <c r="J16" s="1245"/>
      <c r="K16" s="1245"/>
      <c r="L16" s="1245"/>
      <c r="M16" s="1245"/>
      <c r="N16" s="1247"/>
      <c r="O16" s="1255"/>
      <c r="P16" s="1240"/>
      <c r="Q16" s="1255"/>
      <c r="R16" s="1231"/>
      <c r="S16" s="1231"/>
      <c r="T16" s="1231"/>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48"/>
      <c r="Q17" s="1249"/>
      <c r="R17" s="1006"/>
      <c r="S17" s="1287"/>
      <c r="T17" s="1287"/>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88"/>
      <c r="Q18" s="1289"/>
      <c r="R18" s="1007"/>
      <c r="S18" s="1274"/>
      <c r="T18" s="1274"/>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90"/>
      <c r="Q19" s="1291"/>
      <c r="R19" s="1007"/>
      <c r="S19" s="1274"/>
      <c r="T19" s="1274"/>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4"/>
      <c r="Q20" s="1285"/>
      <c r="R20" s="1007"/>
      <c r="S20" s="1286"/>
      <c r="T20" s="1286"/>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N15:N16"/>
    <mergeCell ref="P17:Q17"/>
    <mergeCell ref="C1:N1"/>
    <mergeCell ref="O1:O3"/>
    <mergeCell ref="P1:Q3"/>
    <mergeCell ref="P9:Q9"/>
    <mergeCell ref="S1:S3"/>
    <mergeCell ref="P5:Q5"/>
    <mergeCell ref="L2:L3"/>
    <mergeCell ref="A1:A3"/>
    <mergeCell ref="B1:B3"/>
    <mergeCell ref="C2:G2"/>
    <mergeCell ref="H2:H3"/>
    <mergeCell ref="I2:I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6" sqref="C1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c r="B17" s="915"/>
      <c r="C17" s="915"/>
      <c r="D17" s="943"/>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2019-06-29T16:58:52Z</dcterms:modified>
</cp:coreProperties>
</file>