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M18"/>
  <c r="L18"/>
  <c r="K18"/>
  <c r="J18"/>
  <c r="J88" i="14" s="1"/>
  <c r="J18" i="59" s="1"/>
  <c r="I18" i="18"/>
  <c r="H18"/>
  <c r="G18"/>
  <c r="F18"/>
  <c r="E18"/>
  <c r="D18"/>
  <c r="C18"/>
  <c r="D88" i="14" s="1"/>
  <c r="D18" i="59" s="1"/>
  <c r="B18" i="18"/>
  <c r="L9"/>
  <c r="O77" i="14" s="1"/>
  <c r="K9" i="18"/>
  <c r="K10" s="1"/>
  <c r="G9"/>
  <c r="F9"/>
  <c r="G77" i="14" s="1"/>
  <c r="G9" i="59" s="1"/>
  <c r="E9" i="18"/>
  <c r="F77" i="14" s="1"/>
  <c r="F9" i="59" s="1"/>
  <c r="D9" i="18"/>
  <c r="E77" i="14" s="1"/>
  <c r="E9" i="59" s="1"/>
  <c r="C9" i="18"/>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V89"/>
  <c r="J9" s="1"/>
  <c r="J77" i="14" s="1"/>
  <c r="J9" i="59" s="1"/>
  <c r="U89" i="18"/>
  <c r="T89"/>
  <c r="S89"/>
  <c r="R89"/>
  <c r="Q89"/>
  <c r="P89"/>
  <c r="O89"/>
  <c r="N89"/>
  <c r="B9" s="1"/>
  <c r="M89"/>
  <c r="W61"/>
  <c r="V61"/>
  <c r="U61"/>
  <c r="T61"/>
  <c r="L6" i="17" s="1"/>
  <c r="S61" i="18"/>
  <c r="R61"/>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F6" i="17"/>
  <c r="D6"/>
  <c r="C6"/>
  <c r="D5"/>
  <c r="B19" i="6"/>
  <c r="B18"/>
  <c r="B5"/>
  <c r="B6"/>
  <c r="D14" i="48"/>
  <c r="B14"/>
  <c r="P7"/>
  <c r="O7"/>
  <c r="M7"/>
  <c r="K7"/>
  <c r="I7"/>
  <c r="H7"/>
  <c r="G7"/>
  <c r="P10"/>
  <c r="O10"/>
  <c r="N10"/>
  <c r="L10"/>
  <c r="K10"/>
  <c r="J10"/>
  <c r="I10"/>
  <c r="H10"/>
  <c r="F10"/>
  <c r="E10"/>
  <c r="D10"/>
  <c r="C10"/>
  <c r="P9"/>
  <c r="O9"/>
  <c r="N9"/>
  <c r="L9"/>
  <c r="K9"/>
  <c r="J9"/>
  <c r="I9"/>
  <c r="F9"/>
  <c r="C9"/>
  <c r="P13"/>
  <c r="P31" s="1"/>
  <c r="O13"/>
  <c r="O31" s="1"/>
  <c r="N13"/>
  <c r="L13"/>
  <c r="K13"/>
  <c r="J13"/>
  <c r="I13"/>
  <c r="F13"/>
  <c r="E13"/>
  <c r="D13"/>
  <c r="C13"/>
  <c r="B13"/>
  <c r="M8"/>
  <c r="K8"/>
  <c r="I8"/>
  <c r="H8"/>
  <c r="G8"/>
  <c r="B12"/>
  <c r="Q12" s="1"/>
  <c r="P17"/>
  <c r="O17"/>
  <c r="M4"/>
  <c r="L4"/>
  <c r="K4"/>
  <c r="I4"/>
  <c r="H4"/>
  <c r="G4"/>
  <c r="P11"/>
  <c r="P29" s="1"/>
  <c r="O11"/>
  <c r="O29" s="1"/>
  <c r="N11"/>
  <c r="M11"/>
  <c r="L11"/>
  <c r="K11"/>
  <c r="J11"/>
  <c r="I11"/>
  <c r="H11"/>
  <c r="G11"/>
  <c r="F11"/>
  <c r="E11"/>
  <c r="D11"/>
  <c r="C11"/>
  <c r="B11"/>
  <c r="P32"/>
  <c r="O32"/>
  <c r="P28"/>
  <c r="O28"/>
  <c r="P27"/>
  <c r="O27"/>
  <c r="P25"/>
  <c r="O25"/>
  <c r="M89" i="14"/>
  <c r="M19" i="59" s="1"/>
  <c r="L89" i="14"/>
  <c r="L19" i="59" s="1"/>
  <c r="K89" i="14"/>
  <c r="K19" i="59" s="1"/>
  <c r="J89" i="14"/>
  <c r="J19" i="59" s="1"/>
  <c r="M88" i="14"/>
  <c r="M18" i="59" s="1"/>
  <c r="L88" i="14"/>
  <c r="L18" i="59" s="1"/>
  <c r="K88" i="14"/>
  <c r="K18" i="59" s="1"/>
  <c r="I88" i="14"/>
  <c r="I18" i="59" s="1"/>
  <c r="H88" i="14"/>
  <c r="F88"/>
  <c r="F18" i="59" s="1"/>
  <c r="O87" i="14"/>
  <c r="N87"/>
  <c r="L87"/>
  <c r="L17" i="59" s="1"/>
  <c r="L20" s="1"/>
  <c r="K87" i="14"/>
  <c r="K17" i="59" s="1"/>
  <c r="H87" i="14"/>
  <c r="H17" i="59" s="1"/>
  <c r="G87" i="14"/>
  <c r="G17" i="59" s="1"/>
  <c r="E87" i="14"/>
  <c r="E17" i="59" s="1"/>
  <c r="N77" i="14"/>
  <c r="N9" i="59" s="1"/>
  <c r="M77" i="14"/>
  <c r="M9" i="59" s="1"/>
  <c r="L77" i="14"/>
  <c r="L9" i="59" s="1"/>
  <c r="K77" i="14"/>
  <c r="K9" i="59" s="1"/>
  <c r="D77" i="14"/>
  <c r="D9" i="59" s="1"/>
  <c r="O76" i="14"/>
  <c r="O8" i="59" s="1"/>
  <c r="N76" i="14"/>
  <c r="N8" i="59" s="1"/>
  <c r="N10" s="1"/>
  <c r="L76" i="14"/>
  <c r="K76"/>
  <c r="K8" i="59" s="1"/>
  <c r="H76" i="14"/>
  <c r="G76"/>
  <c r="G8" i="59" s="1"/>
  <c r="E76" i="14"/>
  <c r="E8" i="59" s="1"/>
  <c r="B75" i="14"/>
  <c r="B7" i="59" s="1"/>
  <c r="B74" i="14"/>
  <c r="B6" i="59" s="1"/>
  <c r="B73" i="14"/>
  <c r="B5" i="59" s="1"/>
  <c r="B72" i="14"/>
  <c r="B4" i="59" s="1"/>
  <c r="C64" i="14"/>
  <c r="C29"/>
  <c r="Q54"/>
  <c r="P54"/>
  <c r="L54"/>
  <c r="L56" s="1"/>
  <c r="J54"/>
  <c r="J56" s="1"/>
  <c r="I54"/>
  <c r="H54"/>
  <c r="Q24"/>
  <c r="P24"/>
  <c r="P26" s="1"/>
  <c r="N24"/>
  <c r="N26" s="1"/>
  <c r="L24"/>
  <c r="L26" s="1"/>
  <c r="J24"/>
  <c r="I24"/>
  <c r="H24"/>
  <c r="Q50"/>
  <c r="P50"/>
  <c r="O50"/>
  <c r="M50"/>
  <c r="L50"/>
  <c r="K50"/>
  <c r="J50"/>
  <c r="G50"/>
  <c r="D50"/>
  <c r="Q49"/>
  <c r="P49"/>
  <c r="Q20"/>
  <c r="P20"/>
  <c r="O20"/>
  <c r="M20"/>
  <c r="L20"/>
  <c r="K20"/>
  <c r="J20"/>
  <c r="G20"/>
  <c r="D20"/>
  <c r="Q19"/>
  <c r="P19"/>
  <c r="O19"/>
  <c r="M19"/>
  <c r="L19"/>
  <c r="L22" s="1"/>
  <c r="K19"/>
  <c r="J19"/>
  <c r="I19"/>
  <c r="G19"/>
  <c r="F19"/>
  <c r="E19"/>
  <c r="D19"/>
  <c r="Q48"/>
  <c r="P48"/>
  <c r="O48"/>
  <c r="M48"/>
  <c r="L48"/>
  <c r="K48"/>
  <c r="J48"/>
  <c r="G48"/>
  <c r="D48"/>
  <c r="Q18"/>
  <c r="Q22" s="1"/>
  <c r="P18"/>
  <c r="P22" s="1"/>
  <c r="O18"/>
  <c r="O22" s="1"/>
  <c r="M18"/>
  <c r="M22" s="1"/>
  <c r="L18"/>
  <c r="K18"/>
  <c r="J18"/>
  <c r="G18"/>
  <c r="F18"/>
  <c r="E18"/>
  <c r="D18"/>
  <c r="D22" s="1"/>
  <c r="C18"/>
  <c r="L43"/>
  <c r="J43"/>
  <c r="I43"/>
  <c r="H43"/>
  <c r="N13"/>
  <c r="L13"/>
  <c r="J13"/>
  <c r="I13"/>
  <c r="H13"/>
  <c r="C12"/>
  <c r="R12" s="1"/>
  <c r="L41"/>
  <c r="J41"/>
  <c r="I41"/>
  <c r="H41"/>
  <c r="N11"/>
  <c r="M11"/>
  <c r="L11"/>
  <c r="J11"/>
  <c r="I11"/>
  <c r="H11"/>
  <c r="I39"/>
  <c r="H39"/>
  <c r="Q9"/>
  <c r="P9"/>
  <c r="O9"/>
  <c r="N9"/>
  <c r="M9"/>
  <c r="L9"/>
  <c r="K9"/>
  <c r="J9"/>
  <c r="I9"/>
  <c r="H9"/>
  <c r="G9"/>
  <c r="F9"/>
  <c r="E9"/>
  <c r="D9"/>
  <c r="C9"/>
  <c r="R90"/>
  <c r="R78"/>
  <c r="G78"/>
  <c r="K78"/>
  <c r="P56"/>
  <c r="H56"/>
  <c r="Q56"/>
  <c r="I56"/>
  <c r="R44"/>
  <c r="R25"/>
  <c r="E25"/>
  <c r="E55" s="1"/>
  <c r="C25"/>
  <c r="Q26"/>
  <c r="J26"/>
  <c r="I26"/>
  <c r="H26"/>
  <c r="J22"/>
  <c r="G22"/>
  <c r="O17" i="59" l="1"/>
  <c r="O20" s="1"/>
  <c r="D20" i="18"/>
  <c r="E88" i="14"/>
  <c r="E18" i="59" s="1"/>
  <c r="O88" i="14"/>
  <c r="O18" i="59" s="1"/>
  <c r="L20" i="18"/>
  <c r="N17" i="59"/>
  <c r="N90" i="14"/>
  <c r="N88"/>
  <c r="N18" i="59" s="1"/>
  <c r="K20" i="18"/>
  <c r="O78" i="14"/>
  <c r="O9" i="59"/>
  <c r="Q11" i="48"/>
  <c r="G10" i="18"/>
  <c r="H77" i="14"/>
  <c r="H9" i="59" s="1"/>
  <c r="H89" i="14"/>
  <c r="H19" i="59" s="1"/>
  <c r="K22" i="14"/>
  <c r="Q52"/>
  <c r="R9"/>
  <c r="P52"/>
  <c r="O10" i="59"/>
  <c r="L90" i="14"/>
  <c r="I9" i="18"/>
  <c r="I77" i="14" s="1"/>
  <c r="I9" i="59" s="1"/>
  <c r="K20"/>
  <c r="N6" i="17"/>
  <c r="L78" i="14"/>
  <c r="L8" i="59"/>
  <c r="L10" s="1"/>
  <c r="H90" i="14"/>
  <c r="H18" i="59"/>
  <c r="H8"/>
  <c r="O19" i="18"/>
  <c r="K10" i="59"/>
  <c r="H20"/>
  <c r="C98" i="18"/>
  <c r="C101" s="1"/>
  <c r="D13" i="15"/>
  <c r="B10" i="18"/>
  <c r="L10"/>
  <c r="C13" i="15"/>
  <c r="K90" i="14"/>
  <c r="G10" i="59"/>
  <c r="E20"/>
  <c r="B13" i="15"/>
  <c r="F20" i="18"/>
  <c r="E10" i="59"/>
  <c r="B17" i="18"/>
  <c r="B20" s="1"/>
  <c r="L13" i="15"/>
  <c r="N13"/>
  <c r="O9" i="18"/>
  <c r="O18"/>
  <c r="G88" i="14"/>
  <c r="F89"/>
  <c r="I101" i="18"/>
  <c r="H8" s="1"/>
  <c r="E101"/>
  <c r="E8" s="1"/>
  <c r="H101"/>
  <c r="D101"/>
  <c r="G101"/>
  <c r="F101"/>
  <c r="B101"/>
  <c r="C8" s="1"/>
  <c r="I102"/>
  <c r="H17" s="1"/>
  <c r="E102"/>
  <c r="E17" s="1"/>
  <c r="H102"/>
  <c r="D102"/>
  <c r="G102"/>
  <c r="C102"/>
  <c r="F102"/>
  <c r="B102"/>
  <c r="C17" s="1"/>
  <c r="Q14" i="48"/>
  <c r="O24"/>
  <c r="O30"/>
  <c r="P24"/>
  <c r="P30"/>
  <c r="E78" i="14"/>
  <c r="E90"/>
  <c r="N78"/>
  <c r="G90" l="1"/>
  <c r="G18" i="59"/>
  <c r="G20" s="1"/>
  <c r="C89" i="14"/>
  <c r="C19" i="59" s="1"/>
  <c r="F19"/>
  <c r="Q88" i="14"/>
  <c r="P18" i="59" s="1"/>
  <c r="B88" i="14"/>
  <c r="B18" i="59" s="1"/>
  <c r="H10"/>
  <c r="B77" i="14"/>
  <c r="B9" i="59" s="1"/>
  <c r="Q77" i="14"/>
  <c r="P9" i="59" s="1"/>
  <c r="N20"/>
  <c r="C77" i="14"/>
  <c r="C9" i="59" s="1"/>
  <c r="O90" i="14"/>
  <c r="C88"/>
  <c r="C18" i="59" s="1"/>
  <c r="B89" i="14"/>
  <c r="B19" i="59" s="1"/>
  <c r="H78" i="14"/>
  <c r="Q89"/>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C90" i="14" l="1"/>
  <c r="C17" i="59"/>
  <c r="C20" s="1"/>
  <c r="C78" i="14"/>
  <c r="C8" i="59"/>
  <c r="C10" s="1"/>
  <c r="B78" i="14"/>
  <c r="B4" i="6" s="1"/>
  <c r="B8" i="59"/>
  <c r="B10" s="1"/>
  <c r="B90" i="14"/>
  <c r="B17" i="59"/>
  <c r="B2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2" i="48" l="1"/>
  <c r="J29"/>
  <c r="J28"/>
  <c r="J24"/>
  <c r="J31"/>
  <c r="J27"/>
  <c r="J30"/>
  <c r="O4"/>
  <c r="P11" i="14"/>
  <c r="D4" i="48"/>
  <c r="D22" s="1"/>
  <c r="E11" i="14"/>
  <c r="H26" i="48"/>
  <c r="H28"/>
  <c r="H32"/>
  <c r="H22"/>
  <c r="H30"/>
  <c r="H24"/>
  <c r="H29"/>
  <c r="H25"/>
  <c r="H23"/>
  <c r="C4"/>
  <c r="D11" i="14"/>
  <c r="G32" i="48"/>
  <c r="G24"/>
  <c r="G25"/>
  <c r="G29"/>
  <c r="G26"/>
  <c r="G22"/>
  <c r="G30"/>
  <c r="G23"/>
  <c r="B4"/>
  <c r="C11" i="14"/>
  <c r="F28" i="48"/>
  <c r="F27"/>
  <c r="F32"/>
  <c r="F31"/>
  <c r="F30"/>
  <c r="F24"/>
  <c r="F29"/>
  <c r="N28"/>
  <c r="N27"/>
  <c r="N32"/>
  <c r="N31"/>
  <c r="N24"/>
  <c r="N29"/>
  <c r="N30"/>
  <c r="B10"/>
  <c r="C19" i="14"/>
  <c r="N46"/>
  <c r="Q11"/>
  <c r="P4" i="48"/>
  <c r="I32"/>
  <c r="I25"/>
  <c r="I26"/>
  <c r="I28"/>
  <c r="I27"/>
  <c r="I22"/>
  <c r="I30"/>
  <c r="I29"/>
  <c r="I31"/>
  <c r="I24"/>
  <c r="E28"/>
  <c r="E32"/>
  <c r="E29"/>
  <c r="E31"/>
  <c r="E24"/>
  <c r="E30"/>
  <c r="M32"/>
  <c r="M25"/>
  <c r="M29"/>
  <c r="M26"/>
  <c r="M30"/>
  <c r="M22"/>
  <c r="M24"/>
  <c r="M23"/>
  <c r="K5"/>
  <c r="L10" i="14"/>
  <c r="L16" s="1"/>
  <c r="L27" s="1"/>
  <c r="D30" i="48"/>
  <c r="D31"/>
  <c r="D29"/>
  <c r="D28"/>
  <c r="D32"/>
  <c r="D24"/>
  <c r="L27"/>
  <c r="L32"/>
  <c r="L31"/>
  <c r="L29"/>
  <c r="L22"/>
  <c r="L28"/>
  <c r="L30"/>
  <c r="L24"/>
  <c r="Q10" i="14"/>
  <c r="P5" i="48"/>
  <c r="P23" s="1"/>
  <c r="K32"/>
  <c r="K31"/>
  <c r="K25"/>
  <c r="K29"/>
  <c r="K26"/>
  <c r="K28"/>
  <c r="K24"/>
  <c r="K27"/>
  <c r="K22"/>
  <c r="K30"/>
  <c r="B7"/>
  <c r="C24" i="14"/>
  <c r="C26" s="1"/>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K23" i="48" l="1"/>
  <c r="K33" s="1"/>
  <c r="K15"/>
  <c r="F4"/>
  <c r="F22" s="1"/>
  <c r="G11" i="14"/>
  <c r="I5" i="48"/>
  <c r="J10" i="14"/>
  <c r="J16" s="1"/>
  <c r="J27" s="1"/>
  <c r="J63" s="1"/>
  <c r="M12" i="22"/>
  <c r="M13" i="48"/>
  <c r="M31" s="1"/>
  <c r="N18" i="14"/>
  <c r="G13" i="48"/>
  <c r="H18" i="14"/>
  <c r="H13" i="48"/>
  <c r="H31" s="1"/>
  <c r="I18" i="14"/>
  <c r="P8" i="48"/>
  <c r="P26" s="1"/>
  <c r="Q13" i="14"/>
  <c r="Q16" s="1"/>
  <c r="Q27" s="1"/>
  <c r="Q63" s="1"/>
  <c r="P22" i="48"/>
  <c r="F20" i="14"/>
  <c r="F22" s="1"/>
  <c r="E9" i="48"/>
  <c r="E27" s="1"/>
  <c r="D9"/>
  <c r="D27" s="1"/>
  <c r="E20" i="14"/>
  <c r="E22" s="1"/>
  <c r="P10"/>
  <c r="O5" i="48"/>
  <c r="O23" s="1"/>
  <c r="J7"/>
  <c r="J25" s="1"/>
  <c r="K24" i="14"/>
  <c r="K26" s="1"/>
  <c r="C20"/>
  <c r="B9" i="48"/>
  <c r="O22"/>
  <c r="J46" i="14"/>
  <c r="J61"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G14" s="1"/>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E4" i="48"/>
  <c r="F11" i="14"/>
  <c r="N4" i="48"/>
  <c r="N22" s="1"/>
  <c r="O11" i="14"/>
  <c r="N20"/>
  <c r="M9" i="48"/>
  <c r="O22" i="16"/>
  <c r="P43" i="14" s="1"/>
  <c r="P46" s="1"/>
  <c r="P61" s="1"/>
  <c r="P63" s="1"/>
  <c r="O8" i="48"/>
  <c r="P13" i="14"/>
  <c r="I23" i="48"/>
  <c r="I33" s="1"/>
  <c r="I15"/>
  <c r="H20" i="14"/>
  <c r="G9" i="48"/>
  <c r="I20" i="14"/>
  <c r="I22" s="1"/>
  <c r="I27" s="1"/>
  <c r="H9" i="48"/>
  <c r="M10"/>
  <c r="M28" s="1"/>
  <c r="N19" i="14"/>
  <c r="N22" s="1"/>
  <c r="N27" s="1"/>
  <c r="G10" i="48"/>
  <c r="H19" i="14"/>
  <c r="G31" i="48"/>
  <c r="Q13"/>
  <c r="H22" i="14"/>
  <c r="H27" s="1"/>
  <c r="R18"/>
  <c r="J4" i="48"/>
  <c r="K11" i="14"/>
  <c r="F24"/>
  <c r="F26" s="1"/>
  <c r="E7" i="48"/>
  <c r="E25" s="1"/>
  <c r="P16" i="14"/>
  <c r="P27" s="1"/>
  <c r="P15" i="48"/>
  <c r="P33"/>
  <c r="N52" i="14"/>
  <c r="N61" s="1"/>
  <c r="C22"/>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H52" l="1"/>
  <c r="H61" s="1"/>
  <c r="H63" s="1"/>
  <c r="I63"/>
  <c r="G27" i="48"/>
  <c r="G33" s="1"/>
  <c r="G15"/>
  <c r="M27"/>
  <c r="M33" s="1"/>
  <c r="M15"/>
  <c r="H27"/>
  <c r="H33" s="1"/>
  <c r="H15"/>
  <c r="J22"/>
  <c r="O26"/>
  <c r="O33" s="1"/>
  <c r="O15"/>
  <c r="F10" i="14"/>
  <c r="E5" i="48"/>
  <c r="E23" s="1"/>
  <c r="E22"/>
  <c r="Q4"/>
  <c r="J5"/>
  <c r="J23" s="1"/>
  <c r="K10" i="14"/>
  <c r="G28" i="48"/>
  <c r="Q10"/>
  <c r="N63" i="14"/>
  <c r="Q9" i="48"/>
  <c r="R22" i="14"/>
  <c r="R11"/>
  <c r="R20"/>
  <c r="R19"/>
  <c r="Q7" i="48"/>
  <c r="E20" i="15"/>
  <c r="F40" i="14" s="1"/>
  <c r="J18" i="16"/>
  <c r="E18"/>
  <c r="F18"/>
  <c r="F22" s="1"/>
  <c r="G43" i="14" s="1"/>
  <c r="N18" i="16"/>
  <c r="G18" i="22"/>
  <c r="H50" i="14" s="1"/>
  <c r="H18" i="22"/>
  <c r="I50" i="14" s="1"/>
  <c r="I52" s="1"/>
  <c r="I61" s="1"/>
  <c r="J22" i="16" l="1"/>
  <c r="K43" i="14" s="1"/>
  <c r="K46" s="1"/>
  <c r="K61" s="1"/>
  <c r="K63" s="1"/>
  <c r="J8" i="48"/>
  <c r="K13" i="14"/>
  <c r="E8" i="48"/>
  <c r="E26" s="1"/>
  <c r="F13" i="14"/>
  <c r="F46"/>
  <c r="F61" s="1"/>
  <c r="F63" s="1"/>
  <c r="E33" i="48"/>
  <c r="E15"/>
  <c r="K16" i="14"/>
  <c r="K27" s="1"/>
  <c r="E22" i="16"/>
  <c r="F43" i="14" s="1"/>
  <c r="F16"/>
  <c r="F27" s="1"/>
  <c r="N8" i="48"/>
  <c r="N26" s="1"/>
  <c r="O13" i="14"/>
  <c r="N22" i="16"/>
  <c r="O43" i="14" s="1"/>
  <c r="G13"/>
  <c r="F8" i="48"/>
  <c r="J26" l="1"/>
  <c r="J33" s="1"/>
  <c r="J15"/>
  <c r="R1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G46"/>
  <c r="G61" s="1"/>
  <c r="M46"/>
  <c r="M61" s="1"/>
  <c r="M63" s="1"/>
  <c r="E63" l="1"/>
  <c r="O63"/>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<sst xmlns="http://schemas.openxmlformats.org/spreadsheetml/2006/main" count="2407" uniqueCount="899">
  <si>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</si>
  <si>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</si>
  <si>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</si>
  <si>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</si>
  <si>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</si>
  <si>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</si>
  <si>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</si>
  <si>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</si>
  <si>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</si>
  <si>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</si>
  <si>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</si>
  <si>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</si>
  <si>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</si>
  <si>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</si>
  <si>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</si>
  <si>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</si>
  <si>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</si>
  <si>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</si>
  <si>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</si>
  <si>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</si>
  <si>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</si>
  <si>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</si>
  <si>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</si>
  <si>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</si>
  <si>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</si>
  <si>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</si>
  <si>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</si>
  <si>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</si>
  <si>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</si>
  <si>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</si>
  <si>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</si>
  <si>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</si>
  <si>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</si>
  <si>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</si>
  <si>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</si>
  <si>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</si>
  <si>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</si>
  <si>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</si>
  <si>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</si>
  <si>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</si>
  <si>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</si>
  <si>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</si>
  <si>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</si>
  <si>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</si>
  <si>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</si>
  <si>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</si>
  <si>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</si>
  <si>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</si>
  <si>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</si>
  <si>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</si>
  <si>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</si>
  <si>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</si>
  <si>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</si>
  <si>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</si>
  <si>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</si>
  <si>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</si>
  <si>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</si>
  <si>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</si>
  <si>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</si>
  <si>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</si>
  <si>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</si>
  <si>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</si>
  <si>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</si>
  <si>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</si>
  <si>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</si>
  <si>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</si>
  <si>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</si>
  <si>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</si>
  <si>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</si>
  <si>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</si>
  <si>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</si>
  <si>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</si>
  <si>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</si>
  <si>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</si>
  <si>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</si>
  <si>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</si>
  <si>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</si>
  <si>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</si>
  <si>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</si>
  <si>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</si>
  <si>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</si>
  <si>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</si>
  <si>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</si>
  <si>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</si>
  <si>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</si>
  <si>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</si>
  <si>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</si>
  <si>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</si>
  <si>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</si>
  <si>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</si>
  <si>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</si>
  <si>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</si>
  <si>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</si>
  <si>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</si>
  <si>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</si>
  <si>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</si>
  <si>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</si>
  <si>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</si>
  <si>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</si>
  <si>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</si>
  <si>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</si>
  <si>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</si>
  <si>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</si>
  <si>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</si>
  <si>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</si>
  <si>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</si>
  <si>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</si>
  <si>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</si>
  <si>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</si>
  <si>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</si>
  <si>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</si>
  <si>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</si>
  <si>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</si>
  <si>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</si>
  <si>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</si>
  <si>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</si>
  <si>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</si>
  <si>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</si>
  <si>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</si>
  <si>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</si>
  <si>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</si>
  <si>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</si>
  <si>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</si>
  <si>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</si>
  <si>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</si>
  <si>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</si>
  <si>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</si>
  <si>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</si>
  <si>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</si>
  <si>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</si>
  <si>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</si>
  <si>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</si>
  <si>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</si>
  <si>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</si>
  <si>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</si>
  <si>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</si>
  <si>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</si>
  <si>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</si>
  <si>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</si>
  <si>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</si>
  <si>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</si>
  <si>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</si>
  <si>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</si>
  <si>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</si>
  <si>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</si>
  <si>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</si>
  <si>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</si>
  <si>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</si>
  <si>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</si>
  <si>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</si>
  <si>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</si>
  <si>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</si>
  <si>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</si>
  <si>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</si>
  <si>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</si>
  <si>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</si>
  <si>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</si>
  <si>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</si>
  <si>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</si>
  <si>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</si>
  <si>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</si>
  <si>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</si>
  <si>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</si>
  <si>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</si>
  <si>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</si>
  <si>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</si>
  <si>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</si>
  <si>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</si>
  <si>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</si>
  <si>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</si>
  <si>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</si>
  <si>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</si>
  <si>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</si>
  <si>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</si>
  <si>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</si>
  <si>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</si>
  <si>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</si>
  <si>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</si>
  <si>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</si>
  <si>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</si>
  <si>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</si>
  <si>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</si>
  <si>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</si>
  <si>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</si>
  <si>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</si>
  <si>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</si>
  <si>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</si>
  <si>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</si>
  <si>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</si>
  <si>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</si>
  <si>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</si>
  <si>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</si>
  <si>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</si>
  <si>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</si>
  <si>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</si>
  <si>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</si>
  <si>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</si>
  <si>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</si>
  <si>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</si>
  <si>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</si>
  <si>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</si>
  <si>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</si>
  <si>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</si>
  <si>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</si>
  <si>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</si>
  <si>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</si>
  <si>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</si>
  <si>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</si>
  <si>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</si>
  <si>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</si>
  <si>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</si>
  <si>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</si>
  <si>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</si>
  <si>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</si>
  <si>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</si>
  <si>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</si>
  <si>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</si>
  <si>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</si>
  <si>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</si>
  <si>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</si>
  <si>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</si>
  <si>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</si>
  <si>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</si>
  <si>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</si>
  <si>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</si>
  <si>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</si>
  <si>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</si>
  <si>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</si>
  <si>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</si>
  <si>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</si>
  <si>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</si>
  <si>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</si>
  <si>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</si>
  <si>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</si>
  <si>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</si>
  <si>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</si>
  <si>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</si>
  <si>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</si>
  <si>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</si>
  <si>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</si>
  <si>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</si>
  <si>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</si>
  <si>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</si>
  <si>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</si>
  <si>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</si>
  <si>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</si>
  <si>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</si>
  <si>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</si>
  <si>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</si>
  <si>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</si>
  <si>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</si>
  <si>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</si>
  <si>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</si>
  <si>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</si>
  <si>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</si>
  <si>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</si>
  <si>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</si>
  <si>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</si>
  <si>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</si>
  <si>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</si>
  <si>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</si>
  <si>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</si>
  <si>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</si>
  <si>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</si>
  <si>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</si>
  <si>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</si>
  <si>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</si>
  <si>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</si>
  <si>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</si>
  <si>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</si>
  <si>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</si>
  <si>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</si>
  <si>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</si>
  <si>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</si>
  <si>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</si>
  <si>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</si>
  <si>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</si>
  <si>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</si>
  <si>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</si>
  <si>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</si>
  <si>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</si>
  <si>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</si>
  <si>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</si>
  <si>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</si>
  <si>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</si>
  <si>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</si>
  <si>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</si>
  <si>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</si>
  <si>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</si>
  <si>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</si>
  <si>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</si>
  <si>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</si>
  <si>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</si>
  <si>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</si>
  <si>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</si>
  <si>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</si>
  <si>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</si>
  <si>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</si>
  <si>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</si>
  <si>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</si>
  <si>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</si>
  <si>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</si>
  <si>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</si>
  <si>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</si>
  <si>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</si>
  <si>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</si>
  <si>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</si>
  <si>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</si>
  <si>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</si>
  <si>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</si>
  <si>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</si>
  <si>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</si>
  <si>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</si>
  <si>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</si>
  <si>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</si>
  <si>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</si>
  <si>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</si>
  <si>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</si>
  <si>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</si>
  <si>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</si>
  <si>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</si>
  <si>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</si>
  <si>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</si>
  <si>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</si>
  <si>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</si>
  <si>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</si>
  <si>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</si>
  <si>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</si>
  <si>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</si>
  <si>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</si>
  <si>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</si>
  <si>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</si>
  <si>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</si>
  <si>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</si>
  <si>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</si>
  <si>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</si>
  <si>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</si>
  <si>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</si>
  <si>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</si>
  <si>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</si>
  <si>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</si>
  <si>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</si>
  <si>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</si>
  <si>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</si>
  <si>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</si>
  <si>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</si>
  <si>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</si>
  <si>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</si>
  <si>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</si>
  <si>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</si>
  <si>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</si>
  <si>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</si>
  <si>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</si>
  <si>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</si>
  <si>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</si>
  <si>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</si>
  <si>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</si>
  <si>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</si>
  <si>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</si>
  <si>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</si>
  <si>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</si>
  <si>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</si>
  <si>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</si>
  <si>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</si>
  <si>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</si>
  <si>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</si>
  <si>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</si>
  <si>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</si>
  <si>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</si>
  <si>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</si>
  <si>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</si>
  <si>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</si>
  <si>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</si>
  <si>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</si>
  <si>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</si>
  <si>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</si>
  <si>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</si>
  <si>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</si>
  <si>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</si>
  <si>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</si>
  <si>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</si>
  <si>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</si>
  <si>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</si>
  <si>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</si>
  <si>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</si>
  <si>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</si>
  <si>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</si>
  <si>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</si>
  <si>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</si>
  <si>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</si>
  <si>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</si>
  <si>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</si>
  <si>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</si>
  <si>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</si>
  <si>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</si>
  <si>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</si>
  <si>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</si>
  <si>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</si>
  <si>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</si>
  <si>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</si>
  <si>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</si>
  <si>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</si>
  <si>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</si>
  <si>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</si>
  <si>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</si>
  <si>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</si>
  <si>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</si>
  <si>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</si>
  <si>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</si>
  <si>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</si>
  <si>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</si>
  <si>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</si>
  <si>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</si>
  <si>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</si>
  <si>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</si>
  <si>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</si>
  <si>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</si>
  <si>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</si>
  <si>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</si>
  <si>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</si>
  <si>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</si>
  <si>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</si>
  <si>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</si>
  <si>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</si>
  <si>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</si>
  <si>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</si>
  <si>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</si>
  <si>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</si>
  <si>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</si>
  <si>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</si>
  <si>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</si>
  <si>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</si>
  <si>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</si>
  <si>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</si>
  <si>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</si>
  <si>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</si>
  <si>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</si>
  <si>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</si>
  <si>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</si>
  <si>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</si>
  <si>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</si>
  <si>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</si>
  <si>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</si>
  <si>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</si>
  <si>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</si>
  <si>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</si>
  <si>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</si>
  <si>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</si>
  <si>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</si>
  <si>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</si>
  <si>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</si>
  <si>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</si>
  <si>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</si>
  <si>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</si>
  <si>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</si>
  <si>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</si>
  <si>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</si>
  <si>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</si>
  <si>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</si>
  <si>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</si>
  <si>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</si>
  <si>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</si>
  <si>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</si>
  <si>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</si>
  <si>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</si>
  <si>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</si>
  <si>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</si>
  <si>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</si>
  <si>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</si>
  <si>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</si>
  <si>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</si>
  <si>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</si>
  <si>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</si>
  <si>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</si>
  <si>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</si>
  <si>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</si>
  <si>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</si>
  <si>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</si>
  <si>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</si>
  <si>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</si>
  <si>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</si>
  <si>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</si>
  <si>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</si>
  <si>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</si>
  <si>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</si>
  <si>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</si>
  <si>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</si>
  <si>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</si>
  <si>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</si>
  <si>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</si>
  <si>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</si>
  <si>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</si>
  <si>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</si>
  <si>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</si>
  <si>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</si>
  <si>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</si>
  <si>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</si>
  <si>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</si>
  <si>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</si>
  <si>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</si>
  <si>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</si>
  <si>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</si>
  <si>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</si>
  <si>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</si>
  <si>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</si>
  <si>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</si>
  <si>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</si>
  <si>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</si>
  <si>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</si>
  <si>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</si>
  <si>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</si>
  <si>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</si>
  <si>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</si>
  <si>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</si>
  <si>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</si>
  <si>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</si>
  <si>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</si>
  <si>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</si>
  <si>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</si>
  <si>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</si>
  <si>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</si>
  <si>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</si>
  <si>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</si>
  <si>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</si>
  <si>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</si>
  <si>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</si>
  <si>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</si>
  <si>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</si>
  <si>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</si>
  <si>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</si>
  <si>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</si>
  <si>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</si>
  <si>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</si>
  <si>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</si>
  <si>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</si>
  <si>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</si>
  <si>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</si>
  <si>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</si>
  <si>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</si>
  <si>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</si>
  <si>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</si>
  <si>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</si>
  <si>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</si>
  <si>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</si>
  <si>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</si>
  <si>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</si>
  <si>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</si>
  <si>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</si>
  <si>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</si>
  <si>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</si>
  <si>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</si>
  <si>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</si>
  <si>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</si>
  <si>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</si>
  <si>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</si>
  <si>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</si>
  <si>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</si>
  <si>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</si>
  <si>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</si>
  <si>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</si>
  <si>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</si>
  <si>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</si>
  <si>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</si>
  <si>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</si>
  <si>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</si>
  <si>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</si>
  <si>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</si>
  <si>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</si>
  <si>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</si>
  <si>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</si>
  <si>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</si>
  <si>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</si>
  <si>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</si>
  <si>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</si>
  <si>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</si>
  <si>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</si>
  <si>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</si>
  <si>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</si>
  <si>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</si>
  <si>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</si>
  <si>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</si>
  <si>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</si>
  <si>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</si>
  <si>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</si>
  <si>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</si>
  <si>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</si>
  <si>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</si>
  <si>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</si>
  <si>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</si>
  <si>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</si>
  <si>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</si>
  <si>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</si>
  <si>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</si>
  <si>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</si>
  <si>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</si>
  <si>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</si>
  <si>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</si>
  <si>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</si>
  <si>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</si>
  <si>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</si>
  <si>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</si>
  <si>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</si>
  <si>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</si>
  <si>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</si>
  <si>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</si>
  <si>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</si>
  <si>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</si>
  <si>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</si>
  <si>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</si>
  <si>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</si>
  <si>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</si>
  <si>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</si>
  <si>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</si>
  <si>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</si>
  <si>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</si>
  <si>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</si>
  <si>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</si>
  <si>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</si>
  <si>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</si>
  <si>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</si>
  <si>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</si>
  <si>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</si>
  <si>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</si>
  <si>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</si>
  <si>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</si>
  <si>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</si>
  <si>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</si>
  <si>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</si>
  <si>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</si>
  <si>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</si>
  <si>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</si>
  <si>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</si>
  <si>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</si>
  <si>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</si>
  <si>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</si>
  <si>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</si>
  <si>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</si>
  <si>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</si>
  <si>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</si>
  <si>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</si>
  <si>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</si>
  <si>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</si>
  <si>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</si>
  <si>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</si>
  <si>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</si>
  <si>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</si>
  <si>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</si>
  <si>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</si>
  <si>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</si>
  <si>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</si>
  <si>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</si>
  <si>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</si>
  <si>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</si>
  <si>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</si>
  <si>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</si>
  <si>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</si>
  <si>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</si>
  <si>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</si>
  <si>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</si>
  <si>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</si>
  <si>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</si>
  <si>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</si>
  <si>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</si>
  <si>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</si>
  <si>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</si>
  <si>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</si>
  <si>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</si>
  <si>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</si>
  <si>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</si>
  <si>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</si>
  <si>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</si>
  <si>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</si>
  <si>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</si>
  <si>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</si>
  <si>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</si>
  <si>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</si>
  <si>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</si>
  <si>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</si>
  <si>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</si>
  <si>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</si>
  <si>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</si>
  <si>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</si>
  <si>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</si>
  <si>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</si>
  <si>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</si>
  <si>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</si>
  <si>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</si>
  <si>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</si>
  <si>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</si>
  <si>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</si>
  <si>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</si>
  <si>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</si>
  <si>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</si>
  <si>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</si>
  <si>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</si>
  <si>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</si>
  <si>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</si>
  <si>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</si>
  <si>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</si>
  <si>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</si>
  <si>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</si>
  <si>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</si>
  <si>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</si>
  <si>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</si>
  <si>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</si>
  <si>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</si>
  <si>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</si>
  <si>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</si>
  <si>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</si>
  <si>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</si>
  <si>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</si>
  <si>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</si>
  <si>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</si>
  <si>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</si>
  <si>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</si>
  <si>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</si>
  <si>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</si>
  <si>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</si>
  <si>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</si>
  <si>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</si>
  <si>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</si>
  <si>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</si>
  <si>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</si>
  <si>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</si>
  <si>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</si>
  <si>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</si>
  <si>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</si>
  <si>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</si>
  <si>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</si>
  <si>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</si>
  <si>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</si>
  <si>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</si>
  <si>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</si>
  <si>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</si>
  <si>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</si>
  <si>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</si>
  <si>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</si>
  <si>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</si>
  <si>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</si>
  <si>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</si>
  <si>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</si>
  <si>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</si>
  <si>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</si>
  <si>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</si>
  <si>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</si>
  <si>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</si>
  <si>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</si>
  <si>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</si>
  <si>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</si>
  <si>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</si>
  <si>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</si>
  <si>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</si>
  <si>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</si>
  <si>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</si>
  <si>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</si>
  <si>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</si>
  <si>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</si>
  <si>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</si>
  <si>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</si>
  <si>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</si>
  <si>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</si>
  <si>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</si>
  <si>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</si>
  <si>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</si>
  <si>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</si>
  <si>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</si>
  <si>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</si>
  <si>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</si>
  <si>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</si>
  <si>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</si>
  <si>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</si>
  <si>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</si>
  <si>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</si>
  <si>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</si>
  <si>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</si>
  <si>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</si>
  <si>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</si>
  <si>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</si>
  <si>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</si>
  <si>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</si>
  <si>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</si>
  <si>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</si>
  <si>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</si>
  <si>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</si>
  <si>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</si>
  <si>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</si>
  <si>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</si>
  <si>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</si>
  <si>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</si>
  <si>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</si>
  <si>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</si>
  <si>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</si>
  <si>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</si>
  <si>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</si>
  <si>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</si>
  <si>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</si>
  <si>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</si>
  <si>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</si>
  <si>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</si>
  <si>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</si>
  <si>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</si>
  <si>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</si>
  <si>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</si>
  <si>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</si>
  <si>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</si>
  <si>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</si>
  <si>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</si>
  <si>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</si>
  <si>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</si>
  <si>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</si>
  <si>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</si>
  <si>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</si>
  <si>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</si>
  <si>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</si>
  <si>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</si>
  <si>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</si>
  <si>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</si>
  <si>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</si>
  <si>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</si>
  <si>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</si>
  <si>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</si>
  <si>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</si>
  <si>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</si>
  <si>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</si>
  <si>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</si>
  <si>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</si>
  <si>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</si>
  <si>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</si>
  <si>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</si>
  <si>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</si>
  <si>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</si>
  <si>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</si>
  <si>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</si>
  <si>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</si>
  <si>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</si>
  <si>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</si>
  <si>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</si>
  <si>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</si>
  <si>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</si>
  <si>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</si>
  <si>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</si>
  <si>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</si>
  <si>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</si>
  <si>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</si>
  <si>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</si>
  <si>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</si>
  <si>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</si>
  <si>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</si>
  <si>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</si>
  <si>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</si>
  <si>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</si>
  <si>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</si>
  <si>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</si>
  <si>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</si>
  <si>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</si>
  <si>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</si>
  <si>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</si>
  <si>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versie: 2015_04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</si>
  <si>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</si>
  <si>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</si>
  <si>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</si>
  <si>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</si>
  <si>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</si>
  <si>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</si>
  <si>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</si>
  <si>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</si>
  <si>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</si>
  <si>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</si>
  <si>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</si>
  <si>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</si>
  <si>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</si>
  <si>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</si>
  <si>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</si>
  <si>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</si>
  <si>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</si>
  <si>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</si>
  <si>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</si>
  <si>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</si>
  <si>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</si>
  <si>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45041</t>
  </si>
  <si>
    <t>RONSE</t>
  </si>
  <si>
    <t>Paarden&amp;pony's 200 - 600 kg</t>
  </si>
  <si>
    <t>Paarden&amp;pony's &lt; 200 kg</t>
  </si>
  <si>
    <t>referentietaak LNE (2017); Jaarverslag De Lijn (2015)</t>
  </si>
  <si>
    <t>op basis van VEA (maart 2018) en Inventaris Hernieuwbare Energiebronnen (juni 2018)</t>
  </si>
  <si>
    <t>VEA (januari 2017)</t>
  </si>
  <si>
    <t>VEA (juni 2018)</t>
  </si>
  <si>
    <t>Unizo dienstencentrum VZW</t>
  </si>
  <si>
    <t>Einestraat 26 , 9700 Oudenaarde</t>
  </si>
  <si>
    <t>WKK-0425 Unizo dienstencentrum</t>
  </si>
  <si>
    <t>stirlingmotor</t>
  </si>
  <si>
    <t>Zonnestraat 46 , 9600 Ronse/Renaix</t>
  </si>
  <si>
    <t>GASELWEST</t>
  </si>
  <si>
    <t>Autonoom Gemeentebedrijf Stadsontwikkelingsbedrijf Ronse</t>
  </si>
  <si>
    <t>Grote Markt 12 , 9600 Ronse/Renaix</t>
  </si>
  <si>
    <t>WKK-0584 Ziekenhuis Campus Delghust</t>
  </si>
  <si>
    <t>interne verbrandingsmotor</t>
  </si>
  <si>
    <t>WKK interne verbrandinsgmotor (gas)</t>
  </si>
  <si>
    <t>Oscar Delghuststraat 60 , 9600 Ronse/Renaix</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</si>
</sst>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39" fillId="0" borderId="0" xfId="0"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182170.25924392269</c:v>
                </c:pt>
                <c:pt idx="1">
                  <c:v>91147.054330934436</c:v>
                </c:pt>
                <c:pt idx="2">
                  <c:v>1816.059</c:v>
                </c:pt>
                <c:pt idx="3">
                  <c:v>1991.8163306641816</c:v>
                </c:pt>
                <c:pt idx="4">
                  <c:v>166537.81088652721</c:v>
                </c:pt>
                <c:pt idx="5">
                  <c:v>112931.09146677375</c:v>
                </c:pt>
                <c:pt idx="6">
                  <c:v>779.83782309719516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1412224"/>
        <c:axId val="181413760"/>
      </c:barChart>
      <c:catAx>
        <c:axId val="181412224"/>
        <c:scaling>
          <c:orientation val="minMax"/>
        </c:scaling>
        <c:axPos val="b"/>
        <c:numFmt formatCode="General" sourceLinked="0"/>
        <c:tickLblPos val="nextTo"/>
        <c:crossAx val="181413760"/>
        <c:crosses val="autoZero"/>
        <c:auto val="1"/>
        <c:lblAlgn val="ctr"/>
        <c:lblOffset val="100"/>
      </c:catAx>
      <c:valAx>
        <c:axId val="181413760"/>
        <c:scaling>
          <c:orientation val="minMax"/>
        </c:scaling>
        <c:axPos val="l"/>
        <c:majorGridlines/>
        <c:numFmt formatCode="#,##0" sourceLinked="1"/>
        <c:tickLblPos val="nextTo"/>
        <c:crossAx val="181412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182170.25924392269</c:v>
                </c:pt>
                <c:pt idx="1">
                  <c:v>91147.054330934436</c:v>
                </c:pt>
                <c:pt idx="2">
                  <c:v>1816.059</c:v>
                </c:pt>
                <c:pt idx="3">
                  <c:v>1991.8163306641816</c:v>
                </c:pt>
                <c:pt idx="4">
                  <c:v>166537.81088652721</c:v>
                </c:pt>
                <c:pt idx="5">
                  <c:v>112931.09146677375</c:v>
                </c:pt>
                <c:pt idx="6">
                  <c:v>779.83782309719516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33971.381915258513</c:v>
                </c:pt>
                <c:pt idx="2">
                  <c:v>18781.35625834353</c:v>
                </c:pt>
                <c:pt idx="3">
                  <c:v>382.53575946183526</c:v>
                </c:pt>
                <c:pt idx="4">
                  <c:v>509.01819394812389</c:v>
                </c:pt>
                <c:pt idx="5">
                  <c:v>33749.181898438736</c:v>
                </c:pt>
                <c:pt idx="6">
                  <c:v>29021.472462385238</c:v>
                </c:pt>
                <c:pt idx="7">
                  <c:v>201.95258149371406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1816320"/>
        <c:axId val="181883648"/>
      </c:barChart>
      <c:catAx>
        <c:axId val="181816320"/>
        <c:scaling>
          <c:orientation val="minMax"/>
        </c:scaling>
        <c:axPos val="b"/>
        <c:numFmt formatCode="General" sourceLinked="0"/>
        <c:tickLblPos val="nextTo"/>
        <c:crossAx val="181883648"/>
        <c:crosses val="autoZero"/>
        <c:auto val="1"/>
        <c:lblAlgn val="ctr"/>
        <c:lblOffset val="100"/>
      </c:catAx>
      <c:valAx>
        <c:axId val="181883648"/>
        <c:scaling>
          <c:orientation val="minMax"/>
        </c:scaling>
        <c:axPos val="l"/>
        <c:majorGridlines/>
        <c:numFmt formatCode="#,##0" sourceLinked="1"/>
        <c:tickLblPos val="nextTo"/>
        <c:crossAx val="1818163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33971.381915258513</c:v>
                </c:pt>
                <c:pt idx="2">
                  <c:v>18781.35625834353</c:v>
                </c:pt>
                <c:pt idx="3">
                  <c:v>382.53575946183526</c:v>
                </c:pt>
                <c:pt idx="4">
                  <c:v>509.01819394812389</c:v>
                </c:pt>
                <c:pt idx="5">
                  <c:v>33749.181898438736</c:v>
                </c:pt>
                <c:pt idx="6">
                  <c:v>29021.472462385238</c:v>
                </c:pt>
                <c:pt idx="7">
                  <c:v>201.95258149371406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857</v>
      </c>
      <c r="B4" s="106"/>
      <c r="C4" s="107"/>
    </row>
    <row r="5" spans="1:7" s="413" customFormat="1" ht="15.75" customHeight="1">
      <c r="A5" s="410" t="s">
        <v>0</v>
      </c>
      <c r="B5" s="411"/>
      <c r="C5" s="412"/>
    </row>
    <row r="6" spans="1:7" s="413" customFormat="1" ht="15" customHeight="1">
      <c r="A6" s="414" t="str">
        <f>txtNIS</f>
        <v>45041</v>
      </c>
      <c r="B6" s="415"/>
      <c r="C6" s="416"/>
    </row>
    <row r="7" spans="1:7" s="413" customFormat="1" ht="15.75" customHeight="1">
      <c r="A7" s="417" t="str">
        <f>txtMunicipality</f>
        <v>RONSE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079" t="s">
        <v>221</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72"/>
      <c r="B4" s="472"/>
      <c r="C4" s="63"/>
      <c r="D4" s="63"/>
      <c r="E4" s="63"/>
      <c r="F4" s="63"/>
      <c r="G4" s="63"/>
      <c r="H4" s="63"/>
      <c r="I4" s="63"/>
      <c r="J4" s="63"/>
      <c r="K4" s="63"/>
      <c r="L4" s="63"/>
      <c r="M4" s="63"/>
      <c r="N4" s="63"/>
      <c r="O4" s="63"/>
      <c r="P4" s="63"/>
      <c r="Q4" s="63"/>
      <c r="R4" s="63"/>
    </row>
    <row r="5" spans="1:19" ht="16.5" thickBot="1">
      <c r="A5" s="1081" t="s">
        <v>222</v>
      </c>
      <c r="B5" s="801"/>
      <c r="C5" s="1084" t="s">
        <v>343</v>
      </c>
      <c r="D5" s="1085"/>
      <c r="E5" s="1085"/>
      <c r="F5" s="1085"/>
      <c r="G5" s="1085"/>
      <c r="H5" s="1085"/>
      <c r="I5" s="1085"/>
      <c r="J5" s="1085"/>
      <c r="K5" s="1085"/>
      <c r="L5" s="1085"/>
      <c r="M5" s="1085"/>
      <c r="N5" s="1085"/>
      <c r="O5" s="1085"/>
      <c r="P5" s="1085"/>
      <c r="Q5" s="1085"/>
      <c r="R5" s="1086"/>
    </row>
    <row r="6" spans="1:19" ht="16.5" thickTop="1">
      <c r="A6" s="1082"/>
      <c r="B6" s="802"/>
      <c r="C6" s="1087" t="s">
        <v>21</v>
      </c>
      <c r="D6" s="1089" t="s">
        <v>196</v>
      </c>
      <c r="E6" s="1091" t="s">
        <v>197</v>
      </c>
      <c r="F6" s="1092"/>
      <c r="G6" s="1092"/>
      <c r="H6" s="1092"/>
      <c r="I6" s="1092"/>
      <c r="J6" s="1092"/>
      <c r="K6" s="1092"/>
      <c r="L6" s="1093"/>
      <c r="M6" s="1091" t="s">
        <v>198</v>
      </c>
      <c r="N6" s="1092"/>
      <c r="O6" s="1092"/>
      <c r="P6" s="1092"/>
      <c r="Q6" s="1092"/>
      <c r="R6" s="1094" t="s">
        <v>116</v>
      </c>
    </row>
    <row r="7" spans="1:19" ht="45.75" thickBot="1">
      <c r="A7" s="1083"/>
      <c r="B7" s="803"/>
      <c r="C7" s="1088"/>
      <c r="D7" s="1090"/>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095"/>
    </row>
    <row r="8" spans="1:19" ht="18.75" customHeight="1" thickTop="1">
      <c r="A8" s="808" t="s">
        <v>344</v>
      </c>
      <c r="B8" s="813"/>
      <c r="C8" s="1100"/>
      <c r="D8" s="1100"/>
      <c r="E8" s="1100"/>
      <c r="F8" s="1100"/>
      <c r="G8" s="1100"/>
      <c r="H8" s="1100"/>
      <c r="I8" s="1100"/>
      <c r="J8" s="1100"/>
      <c r="K8" s="1100"/>
      <c r="L8" s="1100"/>
      <c r="M8" s="1100"/>
      <c r="N8" s="1100"/>
      <c r="O8" s="1100"/>
      <c r="P8" s="1100"/>
      <c r="Q8" s="1100"/>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35755.119316770004</v>
      </c>
      <c r="D10" s="1012">
        <f ca="1">tertiair!C16</f>
        <v>935.35714285714266</v>
      </c>
      <c r="E10" s="1012">
        <f ca="1">tertiair!D16</f>
        <v>45233.885721104321</v>
      </c>
      <c r="F10" s="1012">
        <f>tertiair!E16</f>
        <v>592.95501877299137</v>
      </c>
      <c r="G10" s="1012">
        <f ca="1">tertiair!F16</f>
        <v>8009.3363108181657</v>
      </c>
      <c r="H10" s="1012">
        <f>tertiair!G16</f>
        <v>0</v>
      </c>
      <c r="I10" s="1012">
        <f>tertiair!H16</f>
        <v>0</v>
      </c>
      <c r="J10" s="1012">
        <f>tertiair!I16</f>
        <v>0</v>
      </c>
      <c r="K10" s="1012">
        <f>tertiair!J16</f>
        <v>0</v>
      </c>
      <c r="L10" s="1012">
        <f>tertiair!K16</f>
        <v>0</v>
      </c>
      <c r="M10" s="1012">
        <f ca="1">tertiair!L16</f>
        <v>0</v>
      </c>
      <c r="N10" s="1012">
        <f>tertiair!M16</f>
        <v>0</v>
      </c>
      <c r="O10" s="1012">
        <f ca="1">tertiair!N16</f>
        <v>2436.4598206118044</v>
      </c>
      <c r="P10" s="1012">
        <f>tertiair!O16</f>
        <v>0</v>
      </c>
      <c r="Q10" s="1013">
        <f>tertiair!P16</f>
        <v>0</v>
      </c>
      <c r="R10" s="700">
        <f ca="1">SUM(C10:Q10)</f>
        <v>92963.11333093443</v>
      </c>
      <c r="S10" s="67"/>
    </row>
    <row r="11" spans="1:19" s="473" customFormat="1">
      <c r="A11" s="809" t="s">
        <v>225</v>
      </c>
      <c r="B11" s="814"/>
      <c r="C11" s="1012">
        <f>huishoudens!B8</f>
        <v>36643.515180740607</v>
      </c>
      <c r="D11" s="1012">
        <f>huishoudens!C8</f>
        <v>0</v>
      </c>
      <c r="E11" s="1012">
        <f>huishoudens!D8</f>
        <v>98452.881544160002</v>
      </c>
      <c r="F11" s="1012">
        <f>huishoudens!E8</f>
        <v>6461.9459285458706</v>
      </c>
      <c r="G11" s="1012">
        <f>huishoudens!F8</f>
        <v>12801.5388613009</v>
      </c>
      <c r="H11" s="1012">
        <f>huishoudens!G8</f>
        <v>0</v>
      </c>
      <c r="I11" s="1012">
        <f>huishoudens!H8</f>
        <v>0</v>
      </c>
      <c r="J11" s="1012">
        <f>huishoudens!I8</f>
        <v>0</v>
      </c>
      <c r="K11" s="1012">
        <f>huishoudens!J8</f>
        <v>4181.9637743365847</v>
      </c>
      <c r="L11" s="1012">
        <f>huishoudens!K8</f>
        <v>0</v>
      </c>
      <c r="M11" s="1012">
        <f>huishoudens!L8</f>
        <v>0</v>
      </c>
      <c r="N11" s="1012">
        <f>huishoudens!M8</f>
        <v>0</v>
      </c>
      <c r="O11" s="1012">
        <f>huishoudens!N8</f>
        <v>23023.860621505359</v>
      </c>
      <c r="P11" s="1012">
        <f>huishoudens!O8</f>
        <v>146.95333333333335</v>
      </c>
      <c r="Q11" s="1013">
        <f>huishoudens!P8</f>
        <v>457.6</v>
      </c>
      <c r="R11" s="700">
        <f>SUM(C11:Q11)</f>
        <v>182170.25924392269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58729.175751129995</v>
      </c>
      <c r="D13" s="1012">
        <f>industrie!C18</f>
        <v>0</v>
      </c>
      <c r="E13" s="1012">
        <f>industrie!D18</f>
        <v>90508.731777974841</v>
      </c>
      <c r="F13" s="1012">
        <f>industrie!E18</f>
        <v>2152.5854913760986</v>
      </c>
      <c r="G13" s="1012">
        <f>industrie!F18</f>
        <v>9550.185607810412</v>
      </c>
      <c r="H13" s="1012">
        <f>industrie!G18</f>
        <v>0</v>
      </c>
      <c r="I13" s="1012">
        <f>industrie!H18</f>
        <v>0</v>
      </c>
      <c r="J13" s="1012">
        <f>industrie!I18</f>
        <v>0</v>
      </c>
      <c r="K13" s="1012">
        <f>industrie!J18</f>
        <v>161.39189522753028</v>
      </c>
      <c r="L13" s="1012">
        <f>industrie!K18</f>
        <v>0</v>
      </c>
      <c r="M13" s="1012">
        <f>industrie!L18</f>
        <v>0</v>
      </c>
      <c r="N13" s="1012">
        <f>industrie!M18</f>
        <v>0</v>
      </c>
      <c r="O13" s="1012">
        <f>industrie!N18</f>
        <v>5435.7403630083209</v>
      </c>
      <c r="P13" s="1012">
        <f>industrie!O18</f>
        <v>0</v>
      </c>
      <c r="Q13" s="1013">
        <f>industrie!P18</f>
        <v>0</v>
      </c>
      <c r="R13" s="700">
        <f>SUM(C13:Q13)</f>
        <v>166537.81088652721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131127.8102486406</v>
      </c>
      <c r="D16" s="732">
        <f t="shared" ref="D16:R16" ca="1" si="0">SUM(D9:D15)</f>
        <v>935.35714285714266</v>
      </c>
      <c r="E16" s="732">
        <f t="shared" ca="1" si="0"/>
        <v>234195.49904323916</v>
      </c>
      <c r="F16" s="732">
        <f t="shared" si="0"/>
        <v>9207.4864386949594</v>
      </c>
      <c r="G16" s="732">
        <f t="shared" ca="1" si="0"/>
        <v>30361.060779929474</v>
      </c>
      <c r="H16" s="732">
        <f t="shared" si="0"/>
        <v>0</v>
      </c>
      <c r="I16" s="732">
        <f t="shared" si="0"/>
        <v>0</v>
      </c>
      <c r="J16" s="732">
        <f t="shared" si="0"/>
        <v>0</v>
      </c>
      <c r="K16" s="732">
        <f t="shared" si="0"/>
        <v>4343.3556695641146</v>
      </c>
      <c r="L16" s="732">
        <f t="shared" si="0"/>
        <v>0</v>
      </c>
      <c r="M16" s="732">
        <f t="shared" ca="1" si="0"/>
        <v>0</v>
      </c>
      <c r="N16" s="732">
        <f t="shared" si="0"/>
        <v>0</v>
      </c>
      <c r="O16" s="732">
        <f t="shared" ca="1" si="0"/>
        <v>30896.060805125482</v>
      </c>
      <c r="P16" s="732">
        <f t="shared" si="0"/>
        <v>146.95333333333335</v>
      </c>
      <c r="Q16" s="732">
        <f t="shared" si="0"/>
        <v>457.6</v>
      </c>
      <c r="R16" s="732">
        <f t="shared" ca="1" si="0"/>
        <v>441671.18346138427</v>
      </c>
      <c r="S16" s="67"/>
    </row>
    <row r="17" spans="1:19" s="473" customFormat="1" ht="15.75">
      <c r="A17" s="811" t="s">
        <v>227</v>
      </c>
      <c r="B17" s="736"/>
      <c r="C17" s="1101"/>
      <c r="D17" s="1101"/>
      <c r="E17" s="1101"/>
      <c r="F17" s="1101"/>
      <c r="G17" s="1101"/>
      <c r="H17" s="1101"/>
      <c r="I17" s="1101"/>
      <c r="J17" s="1101"/>
      <c r="K17" s="1101"/>
      <c r="L17" s="1101"/>
      <c r="M17" s="1101"/>
      <c r="N17" s="1101"/>
      <c r="O17" s="1101"/>
      <c r="P17" s="1101"/>
      <c r="Q17" s="1101"/>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756.37670971428486</v>
      </c>
      <c r="I19" s="1012">
        <f>transport!H54</f>
        <v>0</v>
      </c>
      <c r="J19" s="1012">
        <f>transport!I54</f>
        <v>0</v>
      </c>
      <c r="K19" s="1012">
        <f>transport!J54</f>
        <v>0</v>
      </c>
      <c r="L19" s="1012">
        <f>transport!K54</f>
        <v>0</v>
      </c>
      <c r="M19" s="1012">
        <f>transport!L54</f>
        <v>0</v>
      </c>
      <c r="N19" s="1012">
        <f>transport!M54</f>
        <v>23.461113382910266</v>
      </c>
      <c r="O19" s="1012">
        <f>transport!N54</f>
        <v>0</v>
      </c>
      <c r="P19" s="1012">
        <f>transport!O54</f>
        <v>0</v>
      </c>
      <c r="Q19" s="1013">
        <f>transport!P54</f>
        <v>0</v>
      </c>
      <c r="R19" s="700">
        <f>SUM(C19:Q19)</f>
        <v>779.83782309719516</v>
      </c>
      <c r="S19" s="67"/>
    </row>
    <row r="20" spans="1:19" s="473" customFormat="1">
      <c r="A20" s="809" t="s">
        <v>307</v>
      </c>
      <c r="B20" s="814"/>
      <c r="C20" s="1012">
        <f>transport!B14</f>
        <v>18.192176017314793</v>
      </c>
      <c r="D20" s="1012">
        <f>transport!C14</f>
        <v>0</v>
      </c>
      <c r="E20" s="1012">
        <f>transport!D14</f>
        <v>42.723900087783434</v>
      </c>
      <c r="F20" s="1012">
        <f>transport!E14</f>
        <v>163.66402794945247</v>
      </c>
      <c r="G20" s="1012">
        <f>transport!F14</f>
        <v>0</v>
      </c>
      <c r="H20" s="1012">
        <f>transport!G14</f>
        <v>97819.8269171188</v>
      </c>
      <c r="I20" s="1012">
        <f>transport!H14</f>
        <v>11461.705632369334</v>
      </c>
      <c r="J20" s="1012">
        <f>transport!I14</f>
        <v>0</v>
      </c>
      <c r="K20" s="1012">
        <f>transport!J14</f>
        <v>0</v>
      </c>
      <c r="L20" s="1012">
        <f>transport!K14</f>
        <v>0</v>
      </c>
      <c r="M20" s="1012">
        <f>transport!L14</f>
        <v>0</v>
      </c>
      <c r="N20" s="1012">
        <f>transport!M14</f>
        <v>3424.9788132310687</v>
      </c>
      <c r="O20" s="1012">
        <f>transport!N14</f>
        <v>0</v>
      </c>
      <c r="P20" s="1012">
        <f>transport!O14</f>
        <v>0</v>
      </c>
      <c r="Q20" s="1013">
        <f>transport!P14</f>
        <v>0</v>
      </c>
      <c r="R20" s="700">
        <f>SUM(C20:Q20)</f>
        <v>112931.09146677375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18.192176017314793</v>
      </c>
      <c r="D22" s="812">
        <f t="shared" ref="D22:R22" si="1">SUM(D18:D21)</f>
        <v>0</v>
      </c>
      <c r="E22" s="812">
        <f t="shared" si="1"/>
        <v>42.723900087783434</v>
      </c>
      <c r="F22" s="812">
        <f t="shared" si="1"/>
        <v>163.66402794945247</v>
      </c>
      <c r="G22" s="812">
        <f t="shared" si="1"/>
        <v>0</v>
      </c>
      <c r="H22" s="812">
        <f t="shared" si="1"/>
        <v>98576.203626833085</v>
      </c>
      <c r="I22" s="812">
        <f t="shared" si="1"/>
        <v>11461.705632369334</v>
      </c>
      <c r="J22" s="812">
        <f t="shared" si="1"/>
        <v>0</v>
      </c>
      <c r="K22" s="812">
        <f t="shared" si="1"/>
        <v>0</v>
      </c>
      <c r="L22" s="812">
        <f t="shared" si="1"/>
        <v>0</v>
      </c>
      <c r="M22" s="812">
        <f t="shared" si="1"/>
        <v>0</v>
      </c>
      <c r="N22" s="812">
        <f t="shared" si="1"/>
        <v>3448.439926613979</v>
      </c>
      <c r="O22" s="812">
        <f t="shared" si="1"/>
        <v>0</v>
      </c>
      <c r="P22" s="812">
        <f t="shared" si="1"/>
        <v>0</v>
      </c>
      <c r="Q22" s="812">
        <f t="shared" si="1"/>
        <v>0</v>
      </c>
      <c r="R22" s="812">
        <f t="shared" si="1"/>
        <v>113710.92928987095</v>
      </c>
      <c r="S22" s="67"/>
    </row>
    <row r="23" spans="1:19" s="473" customFormat="1" ht="15.75">
      <c r="A23" s="811" t="s">
        <v>237</v>
      </c>
      <c r="B23" s="736"/>
      <c r="C23" s="1101"/>
      <c r="D23" s="1101"/>
      <c r="E23" s="1101"/>
      <c r="F23" s="1101"/>
      <c r="G23" s="1101"/>
      <c r="H23" s="1101"/>
      <c r="I23" s="1101"/>
      <c r="J23" s="1101"/>
      <c r="K23" s="1101"/>
      <c r="L23" s="1101"/>
      <c r="M23" s="1101"/>
      <c r="N23" s="1101"/>
      <c r="O23" s="1101"/>
      <c r="P23" s="1101"/>
      <c r="Q23" s="1101"/>
      <c r="R23" s="702"/>
      <c r="S23" s="67"/>
    </row>
    <row r="24" spans="1:19" s="473" customFormat="1">
      <c r="A24" s="809" t="s">
        <v>636</v>
      </c>
      <c r="B24" s="814"/>
      <c r="C24" s="1012">
        <f>+landbouw!B8</f>
        <v>396.90900036899995</v>
      </c>
      <c r="D24" s="1012">
        <f>+landbouw!C8</f>
        <v>0</v>
      </c>
      <c r="E24" s="1012">
        <f>+landbouw!D8</f>
        <v>76.754292036202003</v>
      </c>
      <c r="F24" s="1012">
        <f>+landbouw!E8</f>
        <v>10.234759165146706</v>
      </c>
      <c r="G24" s="1012">
        <f>+landbouw!F8</f>
        <v>1450.7779839959833</v>
      </c>
      <c r="H24" s="1012">
        <f>+landbouw!G8</f>
        <v>0</v>
      </c>
      <c r="I24" s="1012">
        <f>+landbouw!H8</f>
        <v>0</v>
      </c>
      <c r="J24" s="1012">
        <f>+landbouw!I8</f>
        <v>0</v>
      </c>
      <c r="K24" s="1012">
        <f>+landbouw!J8</f>
        <v>57.140295097849794</v>
      </c>
      <c r="L24" s="1012">
        <f>+landbouw!K8</f>
        <v>0</v>
      </c>
      <c r="M24" s="1012">
        <f>+landbouw!L8</f>
        <v>0</v>
      </c>
      <c r="N24" s="1012">
        <f>+landbouw!M8</f>
        <v>0</v>
      </c>
      <c r="O24" s="1012">
        <f>+landbouw!N8</f>
        <v>0</v>
      </c>
      <c r="P24" s="1012">
        <f>+landbouw!O8</f>
        <v>0</v>
      </c>
      <c r="Q24" s="1013">
        <f>+landbouw!P8</f>
        <v>0</v>
      </c>
      <c r="R24" s="700">
        <f>SUM(C24:Q24)</f>
        <v>1991.8163306641816</v>
      </c>
      <c r="S24" s="67"/>
    </row>
    <row r="25" spans="1:19" s="473" customFormat="1" ht="15" thickBot="1">
      <c r="A25" s="831" t="s">
        <v>848</v>
      </c>
      <c r="B25" s="1015"/>
      <c r="C25" s="1016">
        <f>IF(Onbekend_ele_kWh="---",0,Onbekend_ele_kWh)/1000+IF(REST_rest_ele_kWh="---",0,REST_rest_ele_kWh)/1000</f>
        <v>1802.5711157999999</v>
      </c>
      <c r="D25" s="1016"/>
      <c r="E25" s="1016">
        <f>IF(onbekend_gas_kWh="---",0,onbekend_gas_kWh)/1000+IF(REST_rest_gas_kWh="---",0,REST_rest_gas_kWh)/1000</f>
        <v>6534.3438794000003</v>
      </c>
      <c r="F25" s="1016"/>
      <c r="G25" s="1016"/>
      <c r="H25" s="1016"/>
      <c r="I25" s="1016"/>
      <c r="J25" s="1016"/>
      <c r="K25" s="1016"/>
      <c r="L25" s="1016"/>
      <c r="M25" s="1016"/>
      <c r="N25" s="1016"/>
      <c r="O25" s="1016"/>
      <c r="P25" s="1016"/>
      <c r="Q25" s="1017"/>
      <c r="R25" s="700">
        <f>SUM(C25:Q25)</f>
        <v>8336.9149952000007</v>
      </c>
      <c r="S25" s="67"/>
    </row>
    <row r="26" spans="1:19" s="473" customFormat="1" ht="15.75" thickBot="1">
      <c r="A26" s="705" t="s">
        <v>849</v>
      </c>
      <c r="B26" s="817"/>
      <c r="C26" s="812">
        <f>SUM(C24:C25)</f>
        <v>2199.4801161689998</v>
      </c>
      <c r="D26" s="812">
        <f t="shared" ref="D26:R26" si="2">SUM(D24:D25)</f>
        <v>0</v>
      </c>
      <c r="E26" s="812">
        <f t="shared" si="2"/>
        <v>6611.0981714362024</v>
      </c>
      <c r="F26" s="812">
        <f t="shared" si="2"/>
        <v>10.234759165146706</v>
      </c>
      <c r="G26" s="812">
        <f t="shared" si="2"/>
        <v>1450.7779839959833</v>
      </c>
      <c r="H26" s="812">
        <f t="shared" si="2"/>
        <v>0</v>
      </c>
      <c r="I26" s="812">
        <f t="shared" si="2"/>
        <v>0</v>
      </c>
      <c r="J26" s="812">
        <f t="shared" si="2"/>
        <v>0</v>
      </c>
      <c r="K26" s="812">
        <f t="shared" si="2"/>
        <v>57.140295097849794</v>
      </c>
      <c r="L26" s="812">
        <f t="shared" si="2"/>
        <v>0</v>
      </c>
      <c r="M26" s="812">
        <f t="shared" si="2"/>
        <v>0</v>
      </c>
      <c r="N26" s="812">
        <f t="shared" si="2"/>
        <v>0</v>
      </c>
      <c r="O26" s="812">
        <f t="shared" si="2"/>
        <v>0</v>
      </c>
      <c r="P26" s="812">
        <f t="shared" si="2"/>
        <v>0</v>
      </c>
      <c r="Q26" s="812">
        <f t="shared" si="2"/>
        <v>0</v>
      </c>
      <c r="R26" s="812">
        <f t="shared" si="2"/>
        <v>10328.731325864183</v>
      </c>
      <c r="S26" s="67"/>
    </row>
    <row r="27" spans="1:19" s="473" customFormat="1" ht="17.25" thickTop="1" thickBot="1">
      <c r="A27" s="706" t="s">
        <v>116</v>
      </c>
      <c r="B27" s="805"/>
      <c r="C27" s="707">
        <f ca="1">C22+C16+C26</f>
        <v>133345.48254082692</v>
      </c>
      <c r="D27" s="707">
        <f t="shared" ref="D27:R27" ca="1" si="3">D22+D16+D26</f>
        <v>935.35714285714266</v>
      </c>
      <c r="E27" s="707">
        <f t="shared" ca="1" si="3"/>
        <v>240849.32111476315</v>
      </c>
      <c r="F27" s="707">
        <f t="shared" si="3"/>
        <v>9381.3852258095594</v>
      </c>
      <c r="G27" s="707">
        <f t="shared" ca="1" si="3"/>
        <v>31811.838763925458</v>
      </c>
      <c r="H27" s="707">
        <f t="shared" si="3"/>
        <v>98576.203626833085</v>
      </c>
      <c r="I27" s="707">
        <f t="shared" si="3"/>
        <v>11461.705632369334</v>
      </c>
      <c r="J27" s="707">
        <f t="shared" si="3"/>
        <v>0</v>
      </c>
      <c r="K27" s="707">
        <f t="shared" si="3"/>
        <v>4400.4959646619645</v>
      </c>
      <c r="L27" s="707">
        <f t="shared" si="3"/>
        <v>0</v>
      </c>
      <c r="M27" s="707">
        <f t="shared" ca="1" si="3"/>
        <v>0</v>
      </c>
      <c r="N27" s="707">
        <f t="shared" si="3"/>
        <v>3448.439926613979</v>
      </c>
      <c r="O27" s="707">
        <f t="shared" ca="1" si="3"/>
        <v>30896.060805125482</v>
      </c>
      <c r="P27" s="707">
        <f t="shared" si="3"/>
        <v>146.95333333333335</v>
      </c>
      <c r="Q27" s="707">
        <f t="shared" si="3"/>
        <v>457.6</v>
      </c>
      <c r="R27" s="707">
        <f t="shared" ca="1" si="3"/>
        <v>565710.84407711949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02"/>
      <c r="B31" s="1102"/>
      <c r="C31" s="110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04"/>
      <c r="B35" s="819"/>
      <c r="C35" s="1106" t="s">
        <v>347</v>
      </c>
      <c r="D35" s="1107"/>
      <c r="E35" s="1107"/>
      <c r="F35" s="1107"/>
      <c r="G35" s="1107"/>
      <c r="H35" s="1107"/>
      <c r="I35" s="1107"/>
      <c r="J35" s="1107"/>
      <c r="K35" s="1107"/>
      <c r="L35" s="1107"/>
      <c r="M35" s="1107"/>
      <c r="N35" s="1107"/>
      <c r="O35" s="1107"/>
      <c r="P35" s="1107"/>
      <c r="Q35" s="1107"/>
      <c r="R35" s="1108"/>
    </row>
    <row r="36" spans="1:18" ht="16.5" thickTop="1">
      <c r="A36" s="1105"/>
      <c r="B36" s="820"/>
      <c r="C36" s="1109" t="s">
        <v>21</v>
      </c>
      <c r="D36" s="1111" t="s">
        <v>232</v>
      </c>
      <c r="E36" s="1113" t="s">
        <v>197</v>
      </c>
      <c r="F36" s="1114"/>
      <c r="G36" s="1114"/>
      <c r="H36" s="1114"/>
      <c r="I36" s="1114"/>
      <c r="J36" s="1114"/>
      <c r="K36" s="1114"/>
      <c r="L36" s="1115"/>
      <c r="M36" s="1113" t="s">
        <v>198</v>
      </c>
      <c r="N36" s="1114"/>
      <c r="O36" s="1114"/>
      <c r="P36" s="1114"/>
      <c r="Q36" s="1114"/>
      <c r="R36" s="1116" t="s">
        <v>116</v>
      </c>
    </row>
    <row r="37" spans="1:18" ht="45.75" thickBot="1">
      <c r="A37" s="1105"/>
      <c r="B37" s="820"/>
      <c r="C37" s="1110"/>
      <c r="D37" s="111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17"/>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7531.4798266406269</v>
      </c>
      <c r="D40" s="1012">
        <f ca="1">tertiair!C20</f>
        <v>222.073691251745</v>
      </c>
      <c r="E40" s="1012">
        <f ca="1">tertiair!D20</f>
        <v>9137.2449156630737</v>
      </c>
      <c r="F40" s="1012">
        <f>tertiair!E20</f>
        <v>134.60078926146903</v>
      </c>
      <c r="G40" s="1012">
        <f ca="1">tertiair!F20</f>
        <v>2138.4927949884504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19163.892017805367</v>
      </c>
    </row>
    <row r="41" spans="1:18">
      <c r="A41" s="822" t="s">
        <v>225</v>
      </c>
      <c r="B41" s="829"/>
      <c r="C41" s="1012">
        <f ca="1">huishoudens!B12</f>
        <v>7718.6120654757906</v>
      </c>
      <c r="D41" s="1012">
        <f ca="1">huishoudens!C12</f>
        <v>0</v>
      </c>
      <c r="E41" s="1012">
        <f>huishoudens!D12</f>
        <v>19887.48207192032</v>
      </c>
      <c r="F41" s="1012">
        <f>huishoudens!E12</f>
        <v>1466.8617257799126</v>
      </c>
      <c r="G41" s="1012">
        <f>huishoudens!F12</f>
        <v>3418.0108759673403</v>
      </c>
      <c r="H41" s="1012">
        <f>huishoudens!G12</f>
        <v>0</v>
      </c>
      <c r="I41" s="1012">
        <f>huishoudens!H12</f>
        <v>0</v>
      </c>
      <c r="J41" s="1012">
        <f>huishoudens!I12</f>
        <v>0</v>
      </c>
      <c r="K41" s="1012">
        <f>huishoudens!J12</f>
        <v>1480.4151761151509</v>
      </c>
      <c r="L41" s="1012">
        <f>huishoudens!K12</f>
        <v>0</v>
      </c>
      <c r="M41" s="1012">
        <f>huishoudens!L12</f>
        <v>0</v>
      </c>
      <c r="N41" s="1012">
        <f>huishoudens!M12</f>
        <v>0</v>
      </c>
      <c r="O41" s="1012">
        <f>huishoudens!N12</f>
        <v>0</v>
      </c>
      <c r="P41" s="1012">
        <f>huishoudens!O12</f>
        <v>0</v>
      </c>
      <c r="Q41" s="774">
        <f>huishoudens!P12</f>
        <v>0</v>
      </c>
      <c r="R41" s="850">
        <f t="shared" ca="1" si="4"/>
        <v>33971.381915258513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12370.748884549517</v>
      </c>
      <c r="D43" s="1012">
        <f ca="1">industrie!C22</f>
        <v>0</v>
      </c>
      <c r="E43" s="1012">
        <f>industrie!D22</f>
        <v>18282.763819150918</v>
      </c>
      <c r="F43" s="1012">
        <f>industrie!E22</f>
        <v>488.63690654237439</v>
      </c>
      <c r="G43" s="1012">
        <f>industrie!F22</f>
        <v>2549.8995572853801</v>
      </c>
      <c r="H43" s="1012">
        <f>industrie!G22</f>
        <v>0</v>
      </c>
      <c r="I43" s="1012">
        <f>industrie!H22</f>
        <v>0</v>
      </c>
      <c r="J43" s="1012">
        <f>industrie!I22</f>
        <v>0</v>
      </c>
      <c r="K43" s="1012">
        <f>industrie!J22</f>
        <v>57.132730910545718</v>
      </c>
      <c r="L43" s="1012">
        <f>industrie!K22</f>
        <v>0</v>
      </c>
      <c r="M43" s="1012">
        <f>industrie!L22</f>
        <v>0</v>
      </c>
      <c r="N43" s="1012">
        <f>industrie!M22</f>
        <v>0</v>
      </c>
      <c r="O43" s="1012">
        <f>industrie!N22</f>
        <v>0</v>
      </c>
      <c r="P43" s="1012">
        <f>industrie!O22</f>
        <v>0</v>
      </c>
      <c r="Q43" s="774">
        <f>industrie!P22</f>
        <v>0</v>
      </c>
      <c r="R43" s="849">
        <f t="shared" ca="1" si="4"/>
        <v>33749.181898438736</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27620.840776665937</v>
      </c>
      <c r="D46" s="732">
        <f t="shared" ref="D46:Q46" ca="1" si="5">SUM(D39:D45)</f>
        <v>222.073691251745</v>
      </c>
      <c r="E46" s="732">
        <f t="shared" ca="1" si="5"/>
        <v>47307.490806734313</v>
      </c>
      <c r="F46" s="732">
        <f t="shared" si="5"/>
        <v>2090.0994215837563</v>
      </c>
      <c r="G46" s="732">
        <f t="shared" ca="1" si="5"/>
        <v>8106.4032282411708</v>
      </c>
      <c r="H46" s="732">
        <f t="shared" si="5"/>
        <v>0</v>
      </c>
      <c r="I46" s="732">
        <f t="shared" si="5"/>
        <v>0</v>
      </c>
      <c r="J46" s="732">
        <f t="shared" si="5"/>
        <v>0</v>
      </c>
      <c r="K46" s="732">
        <f t="shared" si="5"/>
        <v>1537.5479070256965</v>
      </c>
      <c r="L46" s="732">
        <f t="shared" si="5"/>
        <v>0</v>
      </c>
      <c r="M46" s="732">
        <f t="shared" ca="1" si="5"/>
        <v>0</v>
      </c>
      <c r="N46" s="732">
        <f t="shared" si="5"/>
        <v>0</v>
      </c>
      <c r="O46" s="732">
        <f t="shared" ca="1" si="5"/>
        <v>0</v>
      </c>
      <c r="P46" s="732">
        <f t="shared" si="5"/>
        <v>0</v>
      </c>
      <c r="Q46" s="732">
        <f t="shared" si="5"/>
        <v>0</v>
      </c>
      <c r="R46" s="732">
        <f ca="1">SUM(R39:R45)</f>
        <v>86884.455831502622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201.95258149371406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201.95258149371406</v>
      </c>
    </row>
    <row r="50" spans="1:18">
      <c r="A50" s="825" t="s">
        <v>307</v>
      </c>
      <c r="B50" s="835"/>
      <c r="C50" s="703">
        <f ca="1">transport!B18</f>
        <v>3.8320108922930918</v>
      </c>
      <c r="D50" s="703">
        <f>transport!C18</f>
        <v>0</v>
      </c>
      <c r="E50" s="703">
        <f>transport!D18</f>
        <v>8.6302278177322549</v>
      </c>
      <c r="F50" s="703">
        <f>transport!E18</f>
        <v>37.151734344525714</v>
      </c>
      <c r="G50" s="703">
        <f>transport!F18</f>
        <v>0</v>
      </c>
      <c r="H50" s="703">
        <f>transport!G18</f>
        <v>26117.893786870722</v>
      </c>
      <c r="I50" s="703">
        <f>transport!H18</f>
        <v>2853.964702459964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29021.472462385238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3.8320108922930918</v>
      </c>
      <c r="D52" s="732">
        <f t="shared" ref="D52:Q52" ca="1" si="6">SUM(D48:D51)</f>
        <v>0</v>
      </c>
      <c r="E52" s="732">
        <f t="shared" si="6"/>
        <v>8.6302278177322549</v>
      </c>
      <c r="F52" s="732">
        <f t="shared" si="6"/>
        <v>37.151734344525714</v>
      </c>
      <c r="G52" s="732">
        <f t="shared" si="6"/>
        <v>0</v>
      </c>
      <c r="H52" s="732">
        <f t="shared" si="6"/>
        <v>26319.846368364437</v>
      </c>
      <c r="I52" s="732">
        <f t="shared" si="6"/>
        <v>2853.964702459964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29223.425043878953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83.605150434756396</v>
      </c>
      <c r="D54" s="703">
        <f ca="1">+landbouw!C12</f>
        <v>0</v>
      </c>
      <c r="E54" s="703">
        <f>+landbouw!D12</f>
        <v>15.504366991312805</v>
      </c>
      <c r="F54" s="703">
        <f>+landbouw!E12</f>
        <v>2.3232903304883021</v>
      </c>
      <c r="G54" s="703">
        <f>+landbouw!F12</f>
        <v>387.35772172692754</v>
      </c>
      <c r="H54" s="703">
        <f>+landbouw!G12</f>
        <v>0</v>
      </c>
      <c r="I54" s="703">
        <f>+landbouw!H12</f>
        <v>0</v>
      </c>
      <c r="J54" s="703">
        <f>+landbouw!I12</f>
        <v>0</v>
      </c>
      <c r="K54" s="703">
        <f>+landbouw!J12</f>
        <v>20.227664464638828</v>
      </c>
      <c r="L54" s="703">
        <f>+landbouw!K12</f>
        <v>0</v>
      </c>
      <c r="M54" s="703">
        <f>+landbouw!L12</f>
        <v>0</v>
      </c>
      <c r="N54" s="703">
        <f>+landbouw!M12</f>
        <v>0</v>
      </c>
      <c r="O54" s="703">
        <f>+landbouw!N12</f>
        <v>0</v>
      </c>
      <c r="P54" s="703">
        <f>+landbouw!O12</f>
        <v>0</v>
      </c>
      <c r="Q54" s="704">
        <f>+landbouw!P12</f>
        <v>0</v>
      </c>
      <c r="R54" s="731">
        <f ca="1">SUM(C54:Q54)</f>
        <v>509.01819394812389</v>
      </c>
    </row>
    <row r="55" spans="1:18" ht="15" thickBot="1">
      <c r="A55" s="825" t="s">
        <v>848</v>
      </c>
      <c r="B55" s="835"/>
      <c r="C55" s="703">
        <f ca="1">C25*'EF ele_warmte'!B12</f>
        <v>379.69466342586929</v>
      </c>
      <c r="D55" s="703"/>
      <c r="E55" s="703">
        <f>E25*EF_CO2_aardgas</f>
        <v>1319.9374636388002</v>
      </c>
      <c r="F55" s="703"/>
      <c r="G55" s="703"/>
      <c r="H55" s="703"/>
      <c r="I55" s="703"/>
      <c r="J55" s="703"/>
      <c r="K55" s="703"/>
      <c r="L55" s="703"/>
      <c r="M55" s="703"/>
      <c r="N55" s="703"/>
      <c r="O55" s="703"/>
      <c r="P55" s="703"/>
      <c r="Q55" s="704"/>
      <c r="R55" s="731">
        <f ca="1">SUM(C55:Q55)</f>
        <v>1699.6321270646695</v>
      </c>
    </row>
    <row r="56" spans="1:18" ht="15.75" thickBot="1">
      <c r="A56" s="823" t="s">
        <v>849</v>
      </c>
      <c r="B56" s="836"/>
      <c r="C56" s="732">
        <f ca="1">SUM(C54:C55)</f>
        <v>463.2998138606257</v>
      </c>
      <c r="D56" s="732">
        <f t="shared" ref="D56:Q56" ca="1" si="7">SUM(D54:D55)</f>
        <v>0</v>
      </c>
      <c r="E56" s="732">
        <f t="shared" si="7"/>
        <v>1335.4418306301129</v>
      </c>
      <c r="F56" s="732">
        <f t="shared" si="7"/>
        <v>2.3232903304883021</v>
      </c>
      <c r="G56" s="732">
        <f t="shared" si="7"/>
        <v>387.35772172692754</v>
      </c>
      <c r="H56" s="732">
        <f t="shared" si="7"/>
        <v>0</v>
      </c>
      <c r="I56" s="732">
        <f t="shared" si="7"/>
        <v>0</v>
      </c>
      <c r="J56" s="732">
        <f t="shared" si="7"/>
        <v>0</v>
      </c>
      <c r="K56" s="732">
        <f t="shared" si="7"/>
        <v>20.227664464638828</v>
      </c>
      <c r="L56" s="732">
        <f t="shared" si="7"/>
        <v>0</v>
      </c>
      <c r="M56" s="732">
        <f t="shared" si="7"/>
        <v>0</v>
      </c>
      <c r="N56" s="732">
        <f t="shared" si="7"/>
        <v>0</v>
      </c>
      <c r="O56" s="732">
        <f t="shared" si="7"/>
        <v>0</v>
      </c>
      <c r="P56" s="732">
        <f t="shared" si="7"/>
        <v>0</v>
      </c>
      <c r="Q56" s="733">
        <f t="shared" si="7"/>
        <v>0</v>
      </c>
      <c r="R56" s="734">
        <f ca="1">SUM(R54:R55)</f>
        <v>2208.6503210127935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096"/>
      <c r="D58" s="1097"/>
      <c r="E58" s="1097"/>
      <c r="F58" s="1097"/>
      <c r="G58" s="1097"/>
      <c r="H58" s="1097"/>
      <c r="I58" s="1097"/>
      <c r="J58" s="1097"/>
      <c r="K58" s="1097"/>
      <c r="L58" s="1097"/>
      <c r="M58" s="1097"/>
      <c r="N58" s="1097"/>
      <c r="O58" s="1097"/>
      <c r="P58" s="1097"/>
      <c r="Q58" s="1097"/>
      <c r="R58" s="738"/>
    </row>
    <row r="59" spans="1:18" ht="15">
      <c r="A59" s="827" t="s">
        <v>239</v>
      </c>
      <c r="B59" s="814"/>
      <c r="C59" s="1098"/>
      <c r="D59" s="1099"/>
      <c r="E59" s="1099"/>
      <c r="F59" s="1099"/>
      <c r="G59" s="1099"/>
      <c r="H59" s="1099"/>
      <c r="I59" s="1099"/>
      <c r="J59" s="1099"/>
      <c r="K59" s="1099"/>
      <c r="L59" s="1099"/>
      <c r="M59" s="1099"/>
      <c r="N59" s="1099"/>
      <c r="O59" s="1099"/>
      <c r="P59" s="1099"/>
      <c r="Q59" s="1099"/>
      <c r="R59" s="739"/>
    </row>
    <row r="60" spans="1:18" ht="15" thickBot="1">
      <c r="A60" s="838" t="s">
        <v>240</v>
      </c>
      <c r="B60" s="839"/>
      <c r="C60" s="1098"/>
      <c r="D60" s="1099"/>
      <c r="E60" s="1099"/>
      <c r="F60" s="1099"/>
      <c r="G60" s="1099"/>
      <c r="H60" s="1099"/>
      <c r="I60" s="1099"/>
      <c r="J60" s="1099"/>
      <c r="K60" s="1099"/>
      <c r="L60" s="1099"/>
      <c r="M60" s="1099"/>
      <c r="N60" s="1099"/>
      <c r="O60" s="1099"/>
      <c r="P60" s="1099"/>
      <c r="Q60" s="1099"/>
      <c r="R60" s="731"/>
    </row>
    <row r="61" spans="1:18" ht="16.5" thickBot="1">
      <c r="A61" s="841" t="s">
        <v>116</v>
      </c>
      <c r="B61" s="842"/>
      <c r="C61" s="740">
        <f ca="1">C46+C52+C56</f>
        <v>28087.972601418856</v>
      </c>
      <c r="D61" s="740">
        <f t="shared" ref="D61:Q61" ca="1" si="8">D46+D52+D56</f>
        <v>222.073691251745</v>
      </c>
      <c r="E61" s="740">
        <f t="shared" ca="1" si="8"/>
        <v>48651.562865182161</v>
      </c>
      <c r="F61" s="740">
        <f t="shared" si="8"/>
        <v>2129.5744462587704</v>
      </c>
      <c r="G61" s="740">
        <f t="shared" ca="1" si="8"/>
        <v>8493.7609499680984</v>
      </c>
      <c r="H61" s="740">
        <f t="shared" si="8"/>
        <v>26319.846368364437</v>
      </c>
      <c r="I61" s="740">
        <f t="shared" si="8"/>
        <v>2853.964702459964</v>
      </c>
      <c r="J61" s="740">
        <f t="shared" si="8"/>
        <v>0</v>
      </c>
      <c r="K61" s="740">
        <f t="shared" si="8"/>
        <v>1557.7755714903353</v>
      </c>
      <c r="L61" s="740">
        <f t="shared" si="8"/>
        <v>0</v>
      </c>
      <c r="M61" s="740">
        <f t="shared" ca="1" si="8"/>
        <v>0</v>
      </c>
      <c r="N61" s="740">
        <f t="shared" si="8"/>
        <v>0</v>
      </c>
      <c r="O61" s="740">
        <f t="shared" ca="1" si="8"/>
        <v>0</v>
      </c>
      <c r="P61" s="740">
        <f t="shared" si="8"/>
        <v>0</v>
      </c>
      <c r="Q61" s="740">
        <f t="shared" si="8"/>
        <v>0</v>
      </c>
      <c r="R61" s="740">
        <f ca="1">R46+R52+R56</f>
        <v>118316.53119639438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0.21064060113786792</v>
      </c>
      <c r="D63" s="781">
        <f t="shared" ca="1" si="9"/>
        <v>0.23742128121606954</v>
      </c>
      <c r="E63" s="1023">
        <f t="shared" ca="1" si="9"/>
        <v>0.20200000000000001</v>
      </c>
      <c r="F63" s="781">
        <f t="shared" si="9"/>
        <v>0.22700000000000004</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16" t="s">
        <v>241</v>
      </c>
      <c r="B69" s="1119" t="s">
        <v>351</v>
      </c>
      <c r="C69" s="1120"/>
      <c r="D69" s="1123" t="s">
        <v>352</v>
      </c>
      <c r="E69" s="1124"/>
      <c r="F69" s="1124"/>
      <c r="G69" s="1124"/>
      <c r="H69" s="1124"/>
      <c r="I69" s="1124"/>
      <c r="J69" s="1124"/>
      <c r="K69" s="1124"/>
      <c r="L69" s="1124"/>
      <c r="M69" s="1124"/>
      <c r="N69" s="1124"/>
      <c r="O69" s="1125"/>
      <c r="P69" s="1024" t="s">
        <v>645</v>
      </c>
      <c r="Q69" s="1126" t="s">
        <v>644</v>
      </c>
      <c r="R69" s="1127"/>
    </row>
    <row r="70" spans="1:18" ht="61.5" thickTop="1" thickBot="1">
      <c r="A70" s="1118"/>
      <c r="B70" s="1121"/>
      <c r="C70" s="1122"/>
      <c r="D70" s="1128" t="s">
        <v>197</v>
      </c>
      <c r="E70" s="1129"/>
      <c r="F70" s="1129"/>
      <c r="G70" s="1129"/>
      <c r="H70" s="1130"/>
      <c r="I70" s="995" t="s">
        <v>246</v>
      </c>
      <c r="J70" s="995" t="s">
        <v>234</v>
      </c>
      <c r="K70" s="995" t="s">
        <v>209</v>
      </c>
      <c r="L70" s="995" t="s">
        <v>210</v>
      </c>
      <c r="M70" s="749" t="s">
        <v>245</v>
      </c>
      <c r="N70" s="995" t="s">
        <v>247</v>
      </c>
      <c r="O70" s="997" t="s">
        <v>127</v>
      </c>
      <c r="P70" s="1025"/>
      <c r="Q70" s="856"/>
      <c r="R70" s="857"/>
    </row>
    <row r="71" spans="1:18" ht="95.25" customHeight="1" thickTop="1" thickBot="1">
      <c r="A71" s="1117"/>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52"/>
      <c r="D72" s="1152"/>
      <c r="E72" s="1153"/>
      <c r="F72" s="1153"/>
      <c r="G72" s="1143"/>
      <c r="H72" s="1146"/>
      <c r="I72" s="1149"/>
      <c r="J72" s="998"/>
      <c r="K72" s="1131"/>
      <c r="L72" s="1131"/>
      <c r="M72" s="1131"/>
      <c r="N72" s="1131"/>
      <c r="O72" s="1134"/>
      <c r="P72" s="851">
        <v>0</v>
      </c>
      <c r="Q72" s="1030"/>
      <c r="R72" s="851">
        <v>0</v>
      </c>
    </row>
    <row r="73" spans="1:18" ht="15">
      <c r="A73" s="751" t="s">
        <v>250</v>
      </c>
      <c r="B73" s="750">
        <f>'lokale energieproductie'!B5</f>
        <v>0</v>
      </c>
      <c r="C73" s="1150"/>
      <c r="D73" s="1150"/>
      <c r="E73" s="1132"/>
      <c r="F73" s="1132"/>
      <c r="G73" s="1144"/>
      <c r="H73" s="1147"/>
      <c r="I73" s="1150"/>
      <c r="J73" s="999"/>
      <c r="K73" s="1132"/>
      <c r="L73" s="1132"/>
      <c r="M73" s="1132"/>
      <c r="N73" s="1132"/>
      <c r="O73" s="1135"/>
      <c r="P73" s="852">
        <v>0</v>
      </c>
      <c r="Q73" s="858"/>
      <c r="R73" s="852">
        <v>0</v>
      </c>
    </row>
    <row r="74" spans="1:18" ht="15">
      <c r="A74" s="751" t="s">
        <v>251</v>
      </c>
      <c r="B74" s="750">
        <f>'lokale energieproductie'!B6</f>
        <v>6941.8987989431389</v>
      </c>
      <c r="C74" s="1150"/>
      <c r="D74" s="1150"/>
      <c r="E74" s="1132"/>
      <c r="F74" s="1132"/>
      <c r="G74" s="1144"/>
      <c r="H74" s="1147"/>
      <c r="I74" s="1150"/>
      <c r="J74" s="999"/>
      <c r="K74" s="1132"/>
      <c r="L74" s="1132"/>
      <c r="M74" s="1132"/>
      <c r="N74" s="1132"/>
      <c r="O74" s="1135"/>
      <c r="P74" s="852">
        <v>0</v>
      </c>
      <c r="Q74" s="858"/>
      <c r="R74" s="852">
        <v>0</v>
      </c>
    </row>
    <row r="75" spans="1:18" ht="15.75" thickBot="1">
      <c r="A75" s="751" t="s">
        <v>851</v>
      </c>
      <c r="B75" s="750">
        <f>'lokale energieproductie'!B7</f>
        <v>0</v>
      </c>
      <c r="C75" s="1151"/>
      <c r="D75" s="1151"/>
      <c r="E75" s="1133"/>
      <c r="F75" s="1133"/>
      <c r="G75" s="1145"/>
      <c r="H75" s="1148"/>
      <c r="I75" s="1151"/>
      <c r="J75" s="1031"/>
      <c r="K75" s="1133"/>
      <c r="L75" s="1133"/>
      <c r="M75" s="1133"/>
      <c r="N75" s="1133"/>
      <c r="O75" s="1136"/>
      <c r="P75" s="852">
        <v>0</v>
      </c>
      <c r="Q75" s="1032"/>
      <c r="R75" s="852">
        <v>0</v>
      </c>
    </row>
    <row r="76" spans="1:18" ht="15">
      <c r="A76" s="752" t="s">
        <v>252</v>
      </c>
      <c r="B76" s="750">
        <f>'lokale energieproductie'!B8*IFERROR(SUM(I76:O76)/SUM(D76:O76),0)</f>
        <v>0</v>
      </c>
      <c r="C76" s="750">
        <f>'lokale energieproductie'!B8*IFERROR(SUM(D76:H76)/SUM(D76:O76),0)</f>
        <v>643.49999999999989</v>
      </c>
      <c r="D76" s="1033">
        <f>'lokale energieproductie'!C8</f>
        <v>756.3395765472311</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152.78059446254071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6941.8987989431389</v>
      </c>
      <c r="C78" s="755">
        <f>SUM(C72:C77)</f>
        <v>643.49999999999989</v>
      </c>
      <c r="D78" s="756">
        <f t="shared" ref="D78:H78" si="10">SUM(D76:D77)</f>
        <v>756.3395765472311</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152.78059446254071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16" t="s">
        <v>253</v>
      </c>
      <c r="B84" s="1119" t="s">
        <v>355</v>
      </c>
      <c r="C84" s="1137"/>
      <c r="D84" s="1140" t="s">
        <v>356</v>
      </c>
      <c r="E84" s="1141"/>
      <c r="F84" s="1141"/>
      <c r="G84" s="1141"/>
      <c r="H84" s="1141"/>
      <c r="I84" s="1141"/>
      <c r="J84" s="1141"/>
      <c r="K84" s="1141"/>
      <c r="L84" s="1141"/>
      <c r="M84" s="1141"/>
      <c r="N84" s="1141"/>
      <c r="O84" s="1142"/>
      <c r="P84" s="1024" t="s">
        <v>645</v>
      </c>
      <c r="Q84" s="1119" t="s">
        <v>644</v>
      </c>
      <c r="R84" s="1120"/>
    </row>
    <row r="85" spans="1:19" ht="16.5" customHeight="1" thickTop="1" thickBot="1">
      <c r="A85" s="1118"/>
      <c r="B85" s="1138"/>
      <c r="C85" s="1139"/>
      <c r="D85" s="1157" t="s">
        <v>197</v>
      </c>
      <c r="E85" s="1158"/>
      <c r="F85" s="1158"/>
      <c r="G85" s="1158"/>
      <c r="H85" s="1159"/>
      <c r="I85" s="1160" t="s">
        <v>246</v>
      </c>
      <c r="J85" s="1111" t="s">
        <v>234</v>
      </c>
      <c r="K85" s="1163" t="s">
        <v>209</v>
      </c>
      <c r="L85" s="1163" t="s">
        <v>210</v>
      </c>
      <c r="M85" s="1164" t="s">
        <v>245</v>
      </c>
      <c r="N85" s="1163" t="s">
        <v>257</v>
      </c>
      <c r="O85" s="1166" t="s">
        <v>127</v>
      </c>
      <c r="P85" s="1025"/>
      <c r="Q85" s="856"/>
      <c r="R85" s="857"/>
    </row>
    <row r="86" spans="1:19" ht="110.25" customHeight="1" thickTop="1" thickBot="1">
      <c r="A86" s="1117"/>
      <c r="B86" s="844" t="s">
        <v>643</v>
      </c>
      <c r="C86" s="844" t="s">
        <v>850</v>
      </c>
      <c r="D86" s="1003" t="s">
        <v>199</v>
      </c>
      <c r="E86" s="996" t="s">
        <v>200</v>
      </c>
      <c r="F86" s="994" t="s">
        <v>201</v>
      </c>
      <c r="G86" s="996" t="s">
        <v>203</v>
      </c>
      <c r="H86" s="764" t="s">
        <v>204</v>
      </c>
      <c r="I86" s="1161"/>
      <c r="J86" s="1162"/>
      <c r="K86" s="1112"/>
      <c r="L86" s="1112"/>
      <c r="M86" s="1165"/>
      <c r="N86" s="1112"/>
      <c r="O86" s="1167"/>
      <c r="P86" s="1029"/>
      <c r="Q86" s="1003" t="s">
        <v>646</v>
      </c>
      <c r="R86" s="1001" t="s">
        <v>647</v>
      </c>
    </row>
    <row r="87" spans="1:19" ht="15.75" thickTop="1">
      <c r="A87" s="765" t="s">
        <v>252</v>
      </c>
      <c r="B87" s="766">
        <f>'lokale energieproductie'!B17*IFERROR(SUM(I87:O87)/SUM(D87:O87),0)</f>
        <v>0</v>
      </c>
      <c r="C87" s="766">
        <f>'lokale energieproductie'!B17*IFERROR(SUM(D87:H87)/SUM(D87:O87),0)</f>
        <v>935.35714285714266</v>
      </c>
      <c r="D87" s="777">
        <f>'lokale energieproductie'!C17</f>
        <v>1099.3747091670543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4"/>
      <c r="Q87" s="859">
        <f>D87*EF_CO2_aardgas+E87*EF_VLgas_CO2+'SEAP template'!F87*EF_stookolie_CO2+EF_bruinkool_CO2*'SEAP template'!G87+'SEAP template'!H87*EF_steenkool_CO2+'EF brandstof'!M4*'SEAP template'!M87+'SEAP template'!O87*EF_anderfossiel_CO2</f>
        <v>222.073691251745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5"/>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6"/>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935.35714285714266</v>
      </c>
      <c r="D90" s="755">
        <f t="shared" ref="D90:H90" si="12">SUM(D87:D89)</f>
        <v>1099.3747091670543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222.073691251745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36643.515180740607</v>
      </c>
      <c r="C4" s="477">
        <f>huishoudens!C8</f>
        <v>0</v>
      </c>
      <c r="D4" s="477">
        <f>huishoudens!D8</f>
        <v>98452.881544160002</v>
      </c>
      <c r="E4" s="477">
        <f>huishoudens!E8</f>
        <v>6461.9459285458706</v>
      </c>
      <c r="F4" s="477">
        <f>huishoudens!F8</f>
        <v>12801.5388613009</v>
      </c>
      <c r="G4" s="477">
        <f>huishoudens!G8</f>
        <v>0</v>
      </c>
      <c r="H4" s="477">
        <f>huishoudens!H8</f>
        <v>0</v>
      </c>
      <c r="I4" s="477">
        <f>huishoudens!I8</f>
        <v>0</v>
      </c>
      <c r="J4" s="477">
        <f>huishoudens!J8</f>
        <v>4181.9637743365847</v>
      </c>
      <c r="K4" s="477">
        <f>huishoudens!K8</f>
        <v>0</v>
      </c>
      <c r="L4" s="477">
        <f>huishoudens!L8</f>
        <v>0</v>
      </c>
      <c r="M4" s="477">
        <f>huishoudens!M8</f>
        <v>0</v>
      </c>
      <c r="N4" s="477">
        <f>huishoudens!N8</f>
        <v>23023.860621505359</v>
      </c>
      <c r="O4" s="477">
        <f>huishoudens!O8</f>
        <v>146.95333333333335</v>
      </c>
      <c r="P4" s="478">
        <f>huishoudens!P8</f>
        <v>457.6</v>
      </c>
      <c r="Q4" s="479">
        <f>SUM(B4:P4)</f>
        <v>182170.25924392269</v>
      </c>
    </row>
    <row r="5" spans="1:17">
      <c r="A5" s="476" t="s">
        <v>156</v>
      </c>
      <c r="B5" s="477">
        <f ca="1">tertiair!B16</f>
        <v>33939.060316770003</v>
      </c>
      <c r="C5" s="477">
        <f ca="1">tertiair!C16</f>
        <v>935.35714285714266</v>
      </c>
      <c r="D5" s="477">
        <f ca="1">tertiair!D16</f>
        <v>45233.885721104321</v>
      </c>
      <c r="E5" s="477">
        <f>tertiair!E16</f>
        <v>592.95501877299137</v>
      </c>
      <c r="F5" s="477">
        <f ca="1">tertiair!F16</f>
        <v>8009.3363108181657</v>
      </c>
      <c r="G5" s="477">
        <f>tertiair!G16</f>
        <v>0</v>
      </c>
      <c r="H5" s="477">
        <f>tertiair!H16</f>
        <v>0</v>
      </c>
      <c r="I5" s="477">
        <f>tertiair!I16</f>
        <v>0</v>
      </c>
      <c r="J5" s="477">
        <f>tertiair!J16</f>
        <v>0</v>
      </c>
      <c r="K5" s="477">
        <f>tertiair!K16</f>
        <v>0</v>
      </c>
      <c r="L5" s="477">
        <f ca="1">tertiair!L16</f>
        <v>0</v>
      </c>
      <c r="M5" s="477">
        <f>tertiair!M16</f>
        <v>0</v>
      </c>
      <c r="N5" s="477">
        <f ca="1">tertiair!N16</f>
        <v>2436.4598206118044</v>
      </c>
      <c r="O5" s="477">
        <f>tertiair!O16</f>
        <v>0</v>
      </c>
      <c r="P5" s="478">
        <f>tertiair!P16</f>
        <v>0</v>
      </c>
      <c r="Q5" s="476">
        <f t="shared" ref="Q5:Q14" ca="1" si="0">SUM(B5:P5)</f>
        <v>91147.054330934436</v>
      </c>
    </row>
    <row r="6" spans="1:17">
      <c r="A6" s="476" t="s">
        <v>194</v>
      </c>
      <c r="B6" s="477">
        <f>'openbare verlichting'!B8</f>
        <v>1816.059</v>
      </c>
      <c r="C6" s="477"/>
      <c r="D6" s="477"/>
      <c r="E6" s="477"/>
      <c r="F6" s="477"/>
      <c r="G6" s="477"/>
      <c r="H6" s="477"/>
      <c r="I6" s="477"/>
      <c r="J6" s="477"/>
      <c r="K6" s="477"/>
      <c r="L6" s="477"/>
      <c r="M6" s="477"/>
      <c r="N6" s="477"/>
      <c r="O6" s="477"/>
      <c r="P6" s="478"/>
      <c r="Q6" s="476">
        <f t="shared" si="0"/>
        <v>1816.059</v>
      </c>
    </row>
    <row r="7" spans="1:17">
      <c r="A7" s="476" t="s">
        <v>112</v>
      </c>
      <c r="B7" s="477">
        <f>landbouw!B8</f>
        <v>396.90900036899995</v>
      </c>
      <c r="C7" s="477">
        <f>landbouw!C8</f>
        <v>0</v>
      </c>
      <c r="D7" s="477">
        <f>landbouw!D8</f>
        <v>76.754292036202003</v>
      </c>
      <c r="E7" s="477">
        <f>landbouw!E8</f>
        <v>10.234759165146706</v>
      </c>
      <c r="F7" s="477">
        <f>landbouw!F8</f>
        <v>1450.7779839959833</v>
      </c>
      <c r="G7" s="477">
        <f>landbouw!G8</f>
        <v>0</v>
      </c>
      <c r="H7" s="477">
        <f>landbouw!H8</f>
        <v>0</v>
      </c>
      <c r="I7" s="477">
        <f>landbouw!I8</f>
        <v>0</v>
      </c>
      <c r="J7" s="477">
        <f>landbouw!J8</f>
        <v>57.140295097849794</v>
      </c>
      <c r="K7" s="477">
        <f>landbouw!K8</f>
        <v>0</v>
      </c>
      <c r="L7" s="477">
        <f>landbouw!L8</f>
        <v>0</v>
      </c>
      <c r="M7" s="477">
        <f>landbouw!M8</f>
        <v>0</v>
      </c>
      <c r="N7" s="477">
        <f>landbouw!N8</f>
        <v>0</v>
      </c>
      <c r="O7" s="477">
        <f>landbouw!O8</f>
        <v>0</v>
      </c>
      <c r="P7" s="478">
        <f>landbouw!P8</f>
        <v>0</v>
      </c>
      <c r="Q7" s="476">
        <f t="shared" si="0"/>
        <v>1991.8163306641816</v>
      </c>
    </row>
    <row r="8" spans="1:17">
      <c r="A8" s="476" t="s">
        <v>638</v>
      </c>
      <c r="B8" s="477">
        <f>industrie!B18</f>
        <v>58729.175751129995</v>
      </c>
      <c r="C8" s="477">
        <f>industrie!C18</f>
        <v>0</v>
      </c>
      <c r="D8" s="477">
        <f>industrie!D18</f>
        <v>90508.731777974841</v>
      </c>
      <c r="E8" s="477">
        <f>industrie!E18</f>
        <v>2152.5854913760986</v>
      </c>
      <c r="F8" s="477">
        <f>industrie!F18</f>
        <v>9550.185607810412</v>
      </c>
      <c r="G8" s="477">
        <f>industrie!G18</f>
        <v>0</v>
      </c>
      <c r="H8" s="477">
        <f>industrie!H18</f>
        <v>0</v>
      </c>
      <c r="I8" s="477">
        <f>industrie!I18</f>
        <v>0</v>
      </c>
      <c r="J8" s="477">
        <f>industrie!J18</f>
        <v>161.39189522753028</v>
      </c>
      <c r="K8" s="477">
        <f>industrie!K18</f>
        <v>0</v>
      </c>
      <c r="L8" s="477">
        <f>industrie!L18</f>
        <v>0</v>
      </c>
      <c r="M8" s="477">
        <f>industrie!M18</f>
        <v>0</v>
      </c>
      <c r="N8" s="477">
        <f>industrie!N18</f>
        <v>5435.7403630083209</v>
      </c>
      <c r="O8" s="477">
        <f>industrie!O18</f>
        <v>0</v>
      </c>
      <c r="P8" s="478">
        <f>industrie!P18</f>
        <v>0</v>
      </c>
      <c r="Q8" s="476">
        <f t="shared" si="0"/>
        <v>166537.81088652721</v>
      </c>
    </row>
    <row r="9" spans="1:17" s="482" customFormat="1">
      <c r="A9" s="480" t="s">
        <v>564</v>
      </c>
      <c r="B9" s="481">
        <f>transport!B14</f>
        <v>18.192176017314793</v>
      </c>
      <c r="C9" s="481">
        <f>transport!C14</f>
        <v>0</v>
      </c>
      <c r="D9" s="481">
        <f>transport!D14</f>
        <v>42.723900087783434</v>
      </c>
      <c r="E9" s="481">
        <f>transport!E14</f>
        <v>163.66402794945247</v>
      </c>
      <c r="F9" s="481">
        <f>transport!F14</f>
        <v>0</v>
      </c>
      <c r="G9" s="481">
        <f>transport!G14</f>
        <v>97819.8269171188</v>
      </c>
      <c r="H9" s="481">
        <f>transport!H14</f>
        <v>11461.705632369334</v>
      </c>
      <c r="I9" s="481">
        <f>transport!I14</f>
        <v>0</v>
      </c>
      <c r="J9" s="481">
        <f>transport!J14</f>
        <v>0</v>
      </c>
      <c r="K9" s="481">
        <f>transport!K14</f>
        <v>0</v>
      </c>
      <c r="L9" s="481">
        <f>transport!L14</f>
        <v>0</v>
      </c>
      <c r="M9" s="481">
        <f>transport!M14</f>
        <v>3424.9788132310687</v>
      </c>
      <c r="N9" s="481">
        <f>transport!N14</f>
        <v>0</v>
      </c>
      <c r="O9" s="481">
        <f>transport!O14</f>
        <v>0</v>
      </c>
      <c r="P9" s="481">
        <f>transport!P14</f>
        <v>0</v>
      </c>
      <c r="Q9" s="480">
        <f>SUM(B9:P9)</f>
        <v>112931.09146677375</v>
      </c>
    </row>
    <row r="10" spans="1:17">
      <c r="A10" s="476" t="s">
        <v>554</v>
      </c>
      <c r="B10" s="477">
        <f>transport!B54</f>
        <v>0</v>
      </c>
      <c r="C10" s="477">
        <f>transport!C54</f>
        <v>0</v>
      </c>
      <c r="D10" s="477">
        <f>transport!D54</f>
        <v>0</v>
      </c>
      <c r="E10" s="477">
        <f>transport!E54</f>
        <v>0</v>
      </c>
      <c r="F10" s="477">
        <f>transport!F54</f>
        <v>0</v>
      </c>
      <c r="G10" s="477">
        <f>transport!G54</f>
        <v>756.37670971428486</v>
      </c>
      <c r="H10" s="477">
        <f>transport!H54</f>
        <v>0</v>
      </c>
      <c r="I10" s="477">
        <f>transport!I54</f>
        <v>0</v>
      </c>
      <c r="J10" s="477">
        <f>transport!J54</f>
        <v>0</v>
      </c>
      <c r="K10" s="477">
        <f>transport!K54</f>
        <v>0</v>
      </c>
      <c r="L10" s="477">
        <f>transport!L54</f>
        <v>0</v>
      </c>
      <c r="M10" s="477">
        <f>transport!M54</f>
        <v>23.461113382910266</v>
      </c>
      <c r="N10" s="477">
        <f>transport!N54</f>
        <v>0</v>
      </c>
      <c r="O10" s="477">
        <f>transport!O54</f>
        <v>0</v>
      </c>
      <c r="P10" s="478">
        <f>transport!P54</f>
        <v>0</v>
      </c>
      <c r="Q10" s="476">
        <f t="shared" si="0"/>
        <v>779.83782309719516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1802.5711157999999</v>
      </c>
      <c r="C14" s="484"/>
      <c r="D14" s="484">
        <f>'SEAP template'!E25</f>
        <v>6534.3438794000003</v>
      </c>
      <c r="E14" s="484"/>
      <c r="F14" s="484"/>
      <c r="G14" s="484"/>
      <c r="H14" s="484"/>
      <c r="I14" s="484"/>
      <c r="J14" s="484"/>
      <c r="K14" s="484"/>
      <c r="L14" s="484"/>
      <c r="M14" s="484"/>
      <c r="N14" s="484"/>
      <c r="O14" s="484"/>
      <c r="P14" s="485"/>
      <c r="Q14" s="476">
        <f t="shared" si="0"/>
        <v>8336.9149952000007</v>
      </c>
    </row>
    <row r="15" spans="1:17" s="486" customFormat="1">
      <c r="A15" s="1038" t="s">
        <v>558</v>
      </c>
      <c r="B15" s="978">
        <f ca="1">SUM(B4:B14)</f>
        <v>133345.48254082695</v>
      </c>
      <c r="C15" s="978">
        <f t="shared" ref="C15:Q15" ca="1" si="1">SUM(C4:C14)</f>
        <v>935.35714285714266</v>
      </c>
      <c r="D15" s="978">
        <f t="shared" ca="1" si="1"/>
        <v>240849.32111476315</v>
      </c>
      <c r="E15" s="978">
        <f t="shared" si="1"/>
        <v>9381.3852258095612</v>
      </c>
      <c r="F15" s="978">
        <f t="shared" ca="1" si="1"/>
        <v>31811.838763925458</v>
      </c>
      <c r="G15" s="978">
        <f t="shared" si="1"/>
        <v>98576.203626833085</v>
      </c>
      <c r="H15" s="978">
        <f t="shared" si="1"/>
        <v>11461.705632369334</v>
      </c>
      <c r="I15" s="978">
        <f t="shared" si="1"/>
        <v>0</v>
      </c>
      <c r="J15" s="978">
        <f t="shared" si="1"/>
        <v>4400.4959646619645</v>
      </c>
      <c r="K15" s="978">
        <f t="shared" si="1"/>
        <v>0</v>
      </c>
      <c r="L15" s="978">
        <f t="shared" ca="1" si="1"/>
        <v>0</v>
      </c>
      <c r="M15" s="978">
        <f t="shared" si="1"/>
        <v>3448.439926613979</v>
      </c>
      <c r="N15" s="978">
        <f t="shared" ca="1" si="1"/>
        <v>30896.060805125482</v>
      </c>
      <c r="O15" s="978">
        <f t="shared" si="1"/>
        <v>146.95333333333335</v>
      </c>
      <c r="P15" s="978">
        <f t="shared" si="1"/>
        <v>457.6</v>
      </c>
      <c r="Q15" s="978">
        <f t="shared" ca="1" si="1"/>
        <v>565710.8440771196</v>
      </c>
    </row>
    <row r="17" spans="1:17">
      <c r="A17" s="487" t="s">
        <v>559</v>
      </c>
      <c r="B17" s="786">
        <f ca="1">huishoudens!B10</f>
        <v>0.21064060113786792</v>
      </c>
      <c r="C17" s="786">
        <f ca="1">huishoudens!C10</f>
        <v>0.23742128121606954</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7718.6120654757906</v>
      </c>
      <c r="C22" s="477">
        <f t="shared" ref="C22:C32" ca="1" si="3">C4*$C$17</f>
        <v>0</v>
      </c>
      <c r="D22" s="477">
        <f t="shared" ref="D22:D32" si="4">D4*$D$17</f>
        <v>19887.48207192032</v>
      </c>
      <c r="E22" s="477">
        <f t="shared" ref="E22:E32" si="5">E4*$E$17</f>
        <v>1466.8617257799126</v>
      </c>
      <c r="F22" s="477">
        <f t="shared" ref="F22:F32" si="6">F4*$F$17</f>
        <v>3418.0108759673403</v>
      </c>
      <c r="G22" s="477">
        <f t="shared" ref="G22:G32" si="7">G4*$G$17</f>
        <v>0</v>
      </c>
      <c r="H22" s="477">
        <f t="shared" ref="H22:H32" si="8">H4*$H$17</f>
        <v>0</v>
      </c>
      <c r="I22" s="477">
        <f t="shared" ref="I22:I32" si="9">I4*$I$17</f>
        <v>0</v>
      </c>
      <c r="J22" s="477">
        <f t="shared" ref="J22:J32" si="10">J4*$J$17</f>
        <v>1480.4151761151509</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33971.381915258513</v>
      </c>
    </row>
    <row r="23" spans="1:17">
      <c r="A23" s="476" t="s">
        <v>156</v>
      </c>
      <c r="B23" s="477">
        <f t="shared" ca="1" si="2"/>
        <v>7148.9440671787916</v>
      </c>
      <c r="C23" s="477">
        <f t="shared" ca="1" si="3"/>
        <v>222.073691251745</v>
      </c>
      <c r="D23" s="477">
        <f t="shared" ca="1" si="4"/>
        <v>9137.2449156630737</v>
      </c>
      <c r="E23" s="477">
        <f t="shared" si="5"/>
        <v>134.60078926146903</v>
      </c>
      <c r="F23" s="477">
        <f t="shared" ca="1" si="6"/>
        <v>2138.4927949884504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18781.35625834353</v>
      </c>
    </row>
    <row r="24" spans="1:17">
      <c r="A24" s="476" t="s">
        <v>194</v>
      </c>
      <c r="B24" s="477">
        <f t="shared" ca="1" si="2"/>
        <v>382.53575946183526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382.53575946183526</v>
      </c>
    </row>
    <row r="25" spans="1:17">
      <c r="A25" s="476" t="s">
        <v>112</v>
      </c>
      <c r="B25" s="477">
        <f t="shared" ca="1" si="2"/>
        <v>83.605150434756396</v>
      </c>
      <c r="C25" s="477">
        <f t="shared" ca="1" si="3"/>
        <v>0</v>
      </c>
      <c r="D25" s="477">
        <f t="shared" si="4"/>
        <v>15.504366991312805</v>
      </c>
      <c r="E25" s="477">
        <f t="shared" si="5"/>
        <v>2.3232903304883021</v>
      </c>
      <c r="F25" s="477">
        <f t="shared" si="6"/>
        <v>387.35772172692754</v>
      </c>
      <c r="G25" s="477">
        <f t="shared" si="7"/>
        <v>0</v>
      </c>
      <c r="H25" s="477">
        <f t="shared" si="8"/>
        <v>0</v>
      </c>
      <c r="I25" s="477">
        <f t="shared" si="9"/>
        <v>0</v>
      </c>
      <c r="J25" s="477">
        <f t="shared" si="10"/>
        <v>20.227664464638828</v>
      </c>
      <c r="K25" s="477">
        <f t="shared" si="11"/>
        <v>0</v>
      </c>
      <c r="L25" s="477">
        <f t="shared" si="12"/>
        <v>0</v>
      </c>
      <c r="M25" s="477">
        <f t="shared" si="13"/>
        <v>0</v>
      </c>
      <c r="N25" s="477">
        <f t="shared" si="14"/>
        <v>0</v>
      </c>
      <c r="O25" s="477">
        <f t="shared" si="15"/>
        <v>0</v>
      </c>
      <c r="P25" s="478">
        <f t="shared" si="16"/>
        <v>0</v>
      </c>
      <c r="Q25" s="476">
        <f t="shared" ca="1" si="17"/>
        <v>509.01819394812389</v>
      </c>
    </row>
    <row r="26" spans="1:17">
      <c r="A26" s="476" t="s">
        <v>638</v>
      </c>
      <c r="B26" s="477">
        <f t="shared" ca="1" si="2"/>
        <v>12370.748884549517</v>
      </c>
      <c r="C26" s="477">
        <f t="shared" ca="1" si="3"/>
        <v>0</v>
      </c>
      <c r="D26" s="477">
        <f t="shared" si="4"/>
        <v>18282.763819150918</v>
      </c>
      <c r="E26" s="477">
        <f t="shared" si="5"/>
        <v>488.63690654237439</v>
      </c>
      <c r="F26" s="477">
        <f t="shared" si="6"/>
        <v>2549.8995572853801</v>
      </c>
      <c r="G26" s="477">
        <f t="shared" si="7"/>
        <v>0</v>
      </c>
      <c r="H26" s="477">
        <f t="shared" si="8"/>
        <v>0</v>
      </c>
      <c r="I26" s="477">
        <f t="shared" si="9"/>
        <v>0</v>
      </c>
      <c r="J26" s="477">
        <f t="shared" si="10"/>
        <v>57.132730910545718</v>
      </c>
      <c r="K26" s="477">
        <f t="shared" si="11"/>
        <v>0</v>
      </c>
      <c r="L26" s="477">
        <f t="shared" si="12"/>
        <v>0</v>
      </c>
      <c r="M26" s="477">
        <f t="shared" si="13"/>
        <v>0</v>
      </c>
      <c r="N26" s="477">
        <f t="shared" si="14"/>
        <v>0</v>
      </c>
      <c r="O26" s="477">
        <f t="shared" si="15"/>
        <v>0</v>
      </c>
      <c r="P26" s="478">
        <f t="shared" si="16"/>
        <v>0</v>
      </c>
      <c r="Q26" s="476">
        <f t="shared" ca="1" si="17"/>
        <v>33749.181898438736</v>
      </c>
    </row>
    <row r="27" spans="1:17" s="482" customFormat="1">
      <c r="A27" s="480" t="s">
        <v>564</v>
      </c>
      <c r="B27" s="780">
        <f t="shared" ca="1" si="2"/>
        <v>3.8320108922930918</v>
      </c>
      <c r="C27" s="481">
        <f t="shared" ca="1" si="3"/>
        <v>0</v>
      </c>
      <c r="D27" s="481">
        <f t="shared" si="4"/>
        <v>8.6302278177322549</v>
      </c>
      <c r="E27" s="481">
        <f t="shared" si="5"/>
        <v>37.151734344525714</v>
      </c>
      <c r="F27" s="481">
        <f t="shared" si="6"/>
        <v>0</v>
      </c>
      <c r="G27" s="481">
        <f t="shared" si="7"/>
        <v>26117.893786870722</v>
      </c>
      <c r="H27" s="481">
        <f t="shared" si="8"/>
        <v>2853.964702459964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29021.472462385238</v>
      </c>
    </row>
    <row r="28" spans="1:17">
      <c r="A28" s="476" t="s">
        <v>554</v>
      </c>
      <c r="B28" s="477">
        <f t="shared" ca="1" si="2"/>
        <v>0</v>
      </c>
      <c r="C28" s="477">
        <f t="shared" ca="1" si="3"/>
        <v>0</v>
      </c>
      <c r="D28" s="477">
        <f t="shared" si="4"/>
        <v>0</v>
      </c>
      <c r="E28" s="477">
        <f t="shared" si="5"/>
        <v>0</v>
      </c>
      <c r="F28" s="477">
        <f t="shared" si="6"/>
        <v>0</v>
      </c>
      <c r="G28" s="477">
        <f t="shared" si="7"/>
        <v>201.95258149371406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201.95258149371406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379.69466342586929</v>
      </c>
      <c r="C32" s="477">
        <f t="shared" ca="1" si="3"/>
        <v>0</v>
      </c>
      <c r="D32" s="477">
        <f t="shared" si="4"/>
        <v>1319.9374636388002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1699.6321270646695</v>
      </c>
    </row>
    <row r="33" spans="1:17" s="486" customFormat="1">
      <c r="A33" s="1038" t="s">
        <v>558</v>
      </c>
      <c r="B33" s="978">
        <f ca="1">SUM(B22:B32)</f>
        <v>28087.972601418856</v>
      </c>
      <c r="C33" s="978">
        <f t="shared" ref="C33:Q33" ca="1" si="18">SUM(C22:C32)</f>
        <v>222.073691251745</v>
      </c>
      <c r="D33" s="978">
        <f t="shared" ca="1" si="18"/>
        <v>48651.562865182161</v>
      </c>
      <c r="E33" s="978">
        <f t="shared" si="18"/>
        <v>2129.57444625877</v>
      </c>
      <c r="F33" s="978">
        <f t="shared" ca="1" si="18"/>
        <v>8493.7609499680984</v>
      </c>
      <c r="G33" s="978">
        <f t="shared" si="18"/>
        <v>26319.846368364437</v>
      </c>
      <c r="H33" s="978">
        <f t="shared" si="18"/>
        <v>2853.964702459964</v>
      </c>
      <c r="I33" s="978">
        <f t="shared" si="18"/>
        <v>0</v>
      </c>
      <c r="J33" s="978">
        <f t="shared" si="18"/>
        <v>1557.7755714903353</v>
      </c>
      <c r="K33" s="978">
        <f t="shared" si="18"/>
        <v>0</v>
      </c>
      <c r="L33" s="978">
        <f t="shared" ca="1" si="18"/>
        <v>0</v>
      </c>
      <c r="M33" s="978">
        <f t="shared" si="18"/>
        <v>0</v>
      </c>
      <c r="N33" s="978">
        <f t="shared" ca="1" si="18"/>
        <v>0</v>
      </c>
      <c r="O33" s="978">
        <f t="shared" si="18"/>
        <v>0</v>
      </c>
      <c r="P33" s="978">
        <f t="shared" si="18"/>
        <v>0</v>
      </c>
      <c r="Q33" s="978">
        <f t="shared" ca="1" si="18"/>
        <v>118316.53119639435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60">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6941.8987989431389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643.49999999999989</v>
      </c>
      <c r="D8" s="1055">
        <f>'SEAP template'!D76</f>
        <v>756.3395765472311</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152.78059446254071</v>
      </c>
    </row>
    <row r="9" spans="1:16">
      <c r="A9" s="1058" t="s">
        <v>864</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6941.8987989431389</v>
      </c>
      <c r="C10" s="1059">
        <f>SUM(C4:C9)</f>
        <v>643.49999999999989</v>
      </c>
      <c r="D10" s="1059">
        <f t="shared" ref="D10:H10" si="0">SUM(D8:D9)</f>
        <v>756.3395765472311</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152.78059446254071</v>
      </c>
    </row>
    <row r="11" spans="1:16">
      <c r="A11" s="896"/>
      <c r="B11" s="896"/>
      <c r="C11" s="896"/>
      <c r="D11" s="896"/>
      <c r="E11" s="896"/>
      <c r="F11" s="896"/>
      <c r="G11" s="896"/>
      <c r="H11" s="896"/>
      <c r="I11" s="896"/>
      <c r="J11" s="896"/>
      <c r="K11" s="896"/>
      <c r="L11" s="896"/>
      <c r="M11" s="896"/>
      <c r="N11" s="896"/>
      <c r="O11" s="896"/>
      <c r="P11" s="896"/>
    </row>
    <row r="12" spans="1:16">
      <c r="A12" s="487" t="s">
        <v>865</v>
      </c>
      <c r="B12" s="786" t="s">
        <v>866</v>
      </c>
      <c r="C12" s="786">
        <f ca="1">'EF ele_warmte'!B12</f>
        <v>0.21064060113786792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c r="A17" s="1060" t="s">
        <v>252</v>
      </c>
      <c r="B17" s="1061">
        <f>'SEAP template'!B87</f>
        <v>0</v>
      </c>
      <c r="C17" s="1061">
        <f>'SEAP template'!C87</f>
        <v>935.35714285714266</v>
      </c>
      <c r="D17" s="1056">
        <f>'SEAP template'!D87</f>
        <v>1099.3747091670543</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222.073691251745</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871</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935.35714285714266</v>
      </c>
      <c r="D20" s="1059">
        <f t="shared" ref="D20:H20" si="2">SUM(D17:D19)</f>
        <v>1099.3747091670543</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222.073691251745</v>
      </c>
    </row>
    <row r="22" spans="1:16">
      <c r="A22" s="487" t="s">
        <v>872</v>
      </c>
      <c r="B22" s="786" t="s">
        <v>866</v>
      </c>
      <c r="C22" s="786">
        <f ca="1">'EF ele_warmte'!B22</f>
        <v>0.23742128121606954</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15.75">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ht="135">
      <c r="A4" s="1064" t="s">
        <v>249</v>
      </c>
      <c r="B4" s="1065" t="s">
        <v>873</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874</v>
      </c>
    </row>
    <row r="5" spans="1:16" ht="135">
      <c r="A5" s="1068" t="s">
        <v>250</v>
      </c>
      <c r="B5" s="1065" t="s">
        <v>873</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874</v>
      </c>
    </row>
    <row r="6" spans="1:16" ht="135">
      <c r="A6" s="1068" t="s">
        <v>251</v>
      </c>
      <c r="B6" s="1065" t="s">
        <v>873</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874</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874</v>
      </c>
    </row>
    <row r="8" spans="1:16" ht="210">
      <c r="A8" s="1064" t="s">
        <v>252</v>
      </c>
      <c r="B8" s="1065" t="s">
        <v>875</v>
      </c>
      <c r="C8" s="1065" t="s">
        <v>875</v>
      </c>
      <c r="D8" s="1065" t="s">
        <v>875</v>
      </c>
      <c r="E8" s="1065" t="s">
        <v>875</v>
      </c>
      <c r="F8" s="1065" t="s">
        <v>875</v>
      </c>
      <c r="G8" s="1065" t="s">
        <v>875</v>
      </c>
      <c r="H8" s="1065" t="s">
        <v>875</v>
      </c>
      <c r="I8" s="1065" t="s">
        <v>875</v>
      </c>
      <c r="J8" s="1065" t="s">
        <v>875</v>
      </c>
      <c r="K8" s="1066" t="s">
        <v>815</v>
      </c>
      <c r="L8" s="1066" t="s">
        <v>815</v>
      </c>
      <c r="M8" s="1066" t="s">
        <v>815</v>
      </c>
      <c r="N8" s="1065" t="s">
        <v>876</v>
      </c>
      <c r="O8" s="1065" t="s">
        <v>876</v>
      </c>
      <c r="P8" s="1069"/>
    </row>
    <row r="9" spans="1:16" ht="210">
      <c r="A9" s="1070" t="s">
        <v>864</v>
      </c>
      <c r="B9" s="1065" t="s">
        <v>876</v>
      </c>
      <c r="C9" s="1065" t="s">
        <v>876</v>
      </c>
      <c r="D9" s="1065" t="s">
        <v>876</v>
      </c>
      <c r="E9" s="1065" t="s">
        <v>876</v>
      </c>
      <c r="F9" s="1065" t="s">
        <v>876</v>
      </c>
      <c r="G9" s="1065" t="s">
        <v>876</v>
      </c>
      <c r="H9" s="1065" t="s">
        <v>876</v>
      </c>
      <c r="I9" s="1065" t="s">
        <v>876</v>
      </c>
      <c r="J9" s="1065" t="s">
        <v>876</v>
      </c>
      <c r="K9" s="1066" t="s">
        <v>815</v>
      </c>
      <c r="L9" s="1065" t="s">
        <v>876</v>
      </c>
      <c r="M9" s="1065" t="s">
        <v>876</v>
      </c>
      <c r="N9" s="1065" t="s">
        <v>876</v>
      </c>
      <c r="O9" s="1065" t="s">
        <v>876</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865</v>
      </c>
      <c r="B12" s="786" t="s">
        <v>866</v>
      </c>
      <c r="C12" s="1072" t="s">
        <v>877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ht="210">
      <c r="A17" s="1060" t="s">
        <v>252</v>
      </c>
      <c r="B17" s="1065" t="s">
        <v>876</v>
      </c>
      <c r="C17" s="1065" t="s">
        <v>876</v>
      </c>
      <c r="D17" s="1065" t="s">
        <v>876</v>
      </c>
      <c r="E17" s="1065" t="s">
        <v>876</v>
      </c>
      <c r="F17" s="1065" t="s">
        <v>876</v>
      </c>
      <c r="G17" s="1065" t="s">
        <v>876</v>
      </c>
      <c r="H17" s="1065" t="s">
        <v>876</v>
      </c>
      <c r="I17" s="1065" t="s">
        <v>876</v>
      </c>
      <c r="J17" s="1065" t="s">
        <v>876</v>
      </c>
      <c r="K17" s="1066" t="s">
        <v>815</v>
      </c>
      <c r="L17" s="1066" t="s">
        <v>815</v>
      </c>
      <c r="M17" s="1066" t="s">
        <v>815</v>
      </c>
      <c r="N17" s="1065" t="s">
        <v>876</v>
      </c>
      <c r="O17" s="1065" t="s">
        <v>876</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871</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872</v>
      </c>
      <c r="B22" s="786" t="s">
        <v>866</v>
      </c>
      <c r="C22" s="1072" t="s">
        <v>878</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0.21064060113786792</v>
      </c>
      <c r="C17" s="524">
        <f ca="1">'EF ele_warmte'!B22</f>
        <v>0.23742128121606954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3</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4.6900000000000004</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0.21064060113786792</v>
      </c>
      <c r="C17" s="524">
        <f ca="1">'EF ele_warmte'!B22</f>
        <v>0.23742128121606954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0.21064060113786792</v>
      </c>
      <c r="C29" s="525">
        <f ca="1">'EF ele_warmte'!B22</f>
        <v>0.23742128121606954</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45041</v>
      </c>
      <c r="B1" s="332"/>
      <c r="C1" s="332"/>
      <c r="D1" s="332"/>
      <c r="E1" s="332"/>
      <c r="F1" s="333"/>
    </row>
    <row r="3" spans="1:6" ht="19.5">
      <c r="A3" s="335" t="s">
        <v>0</v>
      </c>
    </row>
    <row r="4" spans="1:6" ht="22.5">
      <c r="A4" s="1292" t="s">
        <v>879</v>
      </c>
    </row>
    <row r="5" spans="1:6" ht="22.5">
      <c r="A5" s="1292" t="s">
        <v>880</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10562</v>
      </c>
      <c r="C9" s="342">
        <v>11364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1462.56</v>
      </c>
    </row>
    <row r="15" spans="1:6">
      <c r="A15" s="348" t="s">
        <v>184</v>
      </c>
      <c r="B15" s="334">
        <v>12</v>
      </c>
    </row>
    <row r="16" spans="1:6">
      <c r="A16" s="348" t="s">
        <v>6</v>
      </c>
      <c r="B16" s="334">
        <v>317</v>
      </c>
    </row>
    <row r="17" spans="1:6">
      <c r="A17" s="348" t="s">
        <v>7</v>
      </c>
      <c r="B17" s="334">
        <v>440</v>
      </c>
    </row>
    <row r="18" spans="1:6">
      <c r="A18" s="348" t="s">
        <v>8</v>
      </c>
      <c r="B18" s="334">
        <v>586</v>
      </c>
    </row>
    <row r="19" spans="1:6">
      <c r="A19" s="348" t="s">
        <v>9</v>
      </c>
      <c r="B19" s="334">
        <v>459</v>
      </c>
    </row>
    <row r="20" spans="1:6">
      <c r="A20" s="348" t="s">
        <v>10</v>
      </c>
      <c r="B20" s="334">
        <v>350</v>
      </c>
    </row>
    <row r="21" spans="1:6">
      <c r="A21" s="348" t="s">
        <v>11</v>
      </c>
      <c r="B21" s="334">
        <v>240</v>
      </c>
    </row>
    <row r="22" spans="1:6">
      <c r="A22" s="348" t="s">
        <v>12</v>
      </c>
      <c r="B22" s="334">
        <v>755</v>
      </c>
    </row>
    <row r="23" spans="1:6">
      <c r="A23" s="348" t="s">
        <v>13</v>
      </c>
      <c r="B23" s="334">
        <v>12</v>
      </c>
    </row>
    <row r="24" spans="1:6">
      <c r="A24" s="348" t="s">
        <v>14</v>
      </c>
      <c r="B24" s="334">
        <v>1</v>
      </c>
    </row>
    <row r="25" spans="1:6">
      <c r="A25" s="348" t="s">
        <v>15</v>
      </c>
      <c r="B25" s="334">
        <v>104</v>
      </c>
    </row>
    <row r="26" spans="1:6">
      <c r="A26" s="348" t="s">
        <v>16</v>
      </c>
      <c r="B26" s="334">
        <v>197</v>
      </c>
    </row>
    <row r="27" spans="1:6">
      <c r="A27" s="348" t="s">
        <v>17</v>
      </c>
      <c r="B27" s="334">
        <v>61</v>
      </c>
    </row>
    <row r="28" spans="1:6" s="356" customFormat="1">
      <c r="A28" s="355" t="s">
        <v>18</v>
      </c>
      <c r="B28" s="355">
        <v>10</v>
      </c>
    </row>
    <row r="29" spans="1:6">
      <c r="A29" s="355" t="s">
        <v>881</v>
      </c>
      <c r="B29" s="355">
        <v>44</v>
      </c>
      <c r="C29" s="356"/>
      <c r="D29" s="356"/>
      <c r="E29" s="356"/>
      <c r="F29" s="356"/>
    </row>
    <row r="30" spans="1:6">
      <c r="A30" s="355" t="s">
        <v>882</v>
      </c>
      <c r="B30" s="341">
        <v>21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784344.41312000004</v>
      </c>
      <c r="E36" s="334">
        <v>4</v>
      </c>
      <c r="F36" s="334">
        <v>11668.650626000001</v>
      </c>
    </row>
    <row r="37" spans="1:6">
      <c r="A37" s="348" t="s">
        <v>25</v>
      </c>
      <c r="B37" s="348" t="s">
        <v>28</v>
      </c>
      <c r="C37" s="334">
        <v>0</v>
      </c>
      <c r="D37" s="334">
        <v>0</v>
      </c>
      <c r="E37" s="334">
        <v>0</v>
      </c>
      <c r="F37" s="334">
        <v>0</v>
      </c>
    </row>
    <row r="38" spans="1:6">
      <c r="A38" s="348" t="s">
        <v>25</v>
      </c>
      <c r="B38" s="348" t="s">
        <v>29</v>
      </c>
      <c r="C38" s="334">
        <v>0</v>
      </c>
      <c r="D38" s="334">
        <v>0</v>
      </c>
      <c r="E38" s="334">
        <v>2</v>
      </c>
      <c r="F38" s="334">
        <v>11491.260703</v>
      </c>
    </row>
    <row r="39" spans="1:6">
      <c r="A39" s="348" t="s">
        <v>30</v>
      </c>
      <c r="B39" s="348" t="s">
        <v>31</v>
      </c>
      <c r="C39" s="334">
        <v>7968</v>
      </c>
      <c r="D39" s="334">
        <v>109149536.08</v>
      </c>
      <c r="E39" s="334">
        <v>10692</v>
      </c>
      <c r="F39" s="334">
        <v>34963606.549999997</v>
      </c>
    </row>
    <row r="40" spans="1:6">
      <c r="A40" s="348" t="s">
        <v>30</v>
      </c>
      <c r="B40" s="348" t="s">
        <v>29</v>
      </c>
      <c r="C40" s="334">
        <v>0</v>
      </c>
      <c r="D40" s="334">
        <v>0</v>
      </c>
      <c r="E40" s="334">
        <v>0</v>
      </c>
      <c r="F40" s="334">
        <v>0</v>
      </c>
    </row>
    <row r="41" spans="1:6">
      <c r="A41" s="348" t="s">
        <v>32</v>
      </c>
      <c r="B41" s="348" t="s">
        <v>33</v>
      </c>
      <c r="C41" s="334">
        <v>76</v>
      </c>
      <c r="D41" s="334">
        <v>1497782.3894</v>
      </c>
      <c r="E41" s="334">
        <v>193</v>
      </c>
      <c r="F41" s="334">
        <v>3961294.4838</v>
      </c>
    </row>
    <row r="42" spans="1:6">
      <c r="A42" s="348" t="s">
        <v>32</v>
      </c>
      <c r="B42" s="348" t="s">
        <v>34</v>
      </c>
      <c r="C42" s="334">
        <v>3</v>
      </c>
      <c r="D42" s="334">
        <v>717775.87225999997</v>
      </c>
      <c r="E42" s="334">
        <v>3</v>
      </c>
      <c r="F42" s="334">
        <v>182806.75335000001</v>
      </c>
    </row>
    <row r="43" spans="1:6">
      <c r="A43" s="348" t="s">
        <v>32</v>
      </c>
      <c r="B43" s="348" t="s">
        <v>35</v>
      </c>
      <c r="C43" s="334">
        <v>0</v>
      </c>
      <c r="D43" s="334">
        <v>0</v>
      </c>
      <c r="E43" s="334">
        <v>0</v>
      </c>
      <c r="F43" s="334">
        <v>0</v>
      </c>
    </row>
    <row r="44" spans="1:6">
      <c r="A44" s="348" t="s">
        <v>32</v>
      </c>
      <c r="B44" s="348" t="s">
        <v>36</v>
      </c>
      <c r="C44" s="334">
        <v>0</v>
      </c>
      <c r="D44" s="334">
        <v>0</v>
      </c>
      <c r="E44" s="334">
        <v>7</v>
      </c>
      <c r="F44" s="334">
        <v>183195.70579000001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141174.39515999999</v>
      </c>
      <c r="E47" s="334">
        <v>11</v>
      </c>
      <c r="F47" s="334">
        <v>107840.13331</v>
      </c>
    </row>
    <row r="48" spans="1:6">
      <c r="A48" s="348" t="s">
        <v>32</v>
      </c>
      <c r="B48" s="348" t="s">
        <v>29</v>
      </c>
      <c r="C48" s="334">
        <v>46</v>
      </c>
      <c r="D48" s="334">
        <v>77893675.957000002</v>
      </c>
      <c r="E48" s="334">
        <v>48</v>
      </c>
      <c r="F48" s="334">
        <v>19016947.373</v>
      </c>
    </row>
    <row r="49" spans="1:6">
      <c r="A49" s="348" t="s">
        <v>32</v>
      </c>
      <c r="B49" s="348" t="s">
        <v>40</v>
      </c>
      <c r="C49" s="334">
        <v>3</v>
      </c>
      <c r="D49" s="334">
        <v>19567206.883000001</v>
      </c>
      <c r="E49" s="334">
        <v>30</v>
      </c>
      <c r="F49" s="334">
        <v>35042911.303999998</v>
      </c>
    </row>
    <row r="50" spans="1:6">
      <c r="A50" s="348" t="s">
        <v>32</v>
      </c>
      <c r="B50" s="348" t="s">
        <v>41</v>
      </c>
      <c r="C50" s="334">
        <v>9</v>
      </c>
      <c r="D50" s="334">
        <v>524659.20160000003</v>
      </c>
      <c r="E50" s="334">
        <v>10</v>
      </c>
      <c r="F50" s="334">
        <v>234179.99788000001</v>
      </c>
    </row>
    <row r="51" spans="1:6">
      <c r="A51" s="348" t="s">
        <v>42</v>
      </c>
      <c r="B51" s="348" t="s">
        <v>43</v>
      </c>
      <c r="C51" s="334">
        <v>3</v>
      </c>
      <c r="D51" s="334">
        <v>49388.741207999999</v>
      </c>
      <c r="E51" s="334">
        <v>34</v>
      </c>
      <c r="F51" s="334">
        <v>380392.27425999998</v>
      </c>
    </row>
    <row r="52" spans="1:6">
      <c r="A52" s="348" t="s">
        <v>42</v>
      </c>
      <c r="B52" s="348" t="s">
        <v>29</v>
      </c>
      <c r="C52" s="334">
        <v>2</v>
      </c>
      <c r="D52" s="334">
        <v>35704.708942999998</v>
      </c>
      <c r="E52" s="334">
        <v>5</v>
      </c>
      <c r="F52" s="334">
        <v>16516.726108999999</v>
      </c>
    </row>
    <row r="53" spans="1:6">
      <c r="A53" s="348" t="s">
        <v>44</v>
      </c>
      <c r="B53" s="348" t="s">
        <v>45</v>
      </c>
      <c r="C53" s="334">
        <v>250</v>
      </c>
      <c r="D53" s="334">
        <v>6534343.8794</v>
      </c>
      <c r="E53" s="334">
        <v>443</v>
      </c>
      <c r="F53" s="334">
        <v>1802571.1158</v>
      </c>
    </row>
    <row r="54" spans="1:6">
      <c r="A54" s="348" t="s">
        <v>46</v>
      </c>
      <c r="B54" s="348" t="s">
        <v>47</v>
      </c>
      <c r="C54" s="334">
        <v>0</v>
      </c>
      <c r="D54" s="334">
        <v>0</v>
      </c>
      <c r="E54" s="334">
        <v>1</v>
      </c>
      <c r="F54" s="334">
        <v>1816059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83</v>
      </c>
      <c r="D57" s="334">
        <v>4110768.7895</v>
      </c>
      <c r="E57" s="334">
        <v>128</v>
      </c>
      <c r="F57" s="334">
        <v>2673532.6943999999</v>
      </c>
    </row>
    <row r="58" spans="1:6">
      <c r="A58" s="348" t="s">
        <v>49</v>
      </c>
      <c r="B58" s="348" t="s">
        <v>51</v>
      </c>
      <c r="C58" s="334">
        <v>50</v>
      </c>
      <c r="D58" s="334">
        <v>8531125.7468999997</v>
      </c>
      <c r="E58" s="334">
        <v>75</v>
      </c>
      <c r="F58" s="334">
        <v>6102079.8598999996</v>
      </c>
    </row>
    <row r="59" spans="1:6">
      <c r="A59" s="348" t="s">
        <v>49</v>
      </c>
      <c r="B59" s="348" t="s">
        <v>52</v>
      </c>
      <c r="C59" s="334">
        <v>200</v>
      </c>
      <c r="D59" s="334">
        <v>6945015.6946</v>
      </c>
      <c r="E59" s="334">
        <v>357</v>
      </c>
      <c r="F59" s="334">
        <v>11749710.318</v>
      </c>
    </row>
    <row r="60" spans="1:6">
      <c r="A60" s="348" t="s">
        <v>49</v>
      </c>
      <c r="B60" s="348" t="s">
        <v>53</v>
      </c>
      <c r="C60" s="334">
        <v>85</v>
      </c>
      <c r="D60" s="334">
        <v>3264719.6973000001</v>
      </c>
      <c r="E60" s="334">
        <v>114</v>
      </c>
      <c r="F60" s="334">
        <v>2362413.8579000002</v>
      </c>
    </row>
    <row r="61" spans="1:6">
      <c r="A61" s="348" t="s">
        <v>49</v>
      </c>
      <c r="B61" s="348" t="s">
        <v>54</v>
      </c>
      <c r="C61" s="334">
        <v>257</v>
      </c>
      <c r="D61" s="334">
        <v>20007991.579999998</v>
      </c>
      <c r="E61" s="334">
        <v>518</v>
      </c>
      <c r="F61" s="334">
        <v>6939545.2615999999</v>
      </c>
    </row>
    <row r="62" spans="1:6">
      <c r="A62" s="348" t="s">
        <v>49</v>
      </c>
      <c r="B62" s="348" t="s">
        <v>55</v>
      </c>
      <c r="C62" s="334">
        <v>15</v>
      </c>
      <c r="D62" s="334">
        <v>2940963.4421000001</v>
      </c>
      <c r="E62" s="334">
        <v>26</v>
      </c>
      <c r="F62" s="334">
        <v>806441.33956999995</v>
      </c>
    </row>
    <row r="63" spans="1:6">
      <c r="A63" s="348" t="s">
        <v>49</v>
      </c>
      <c r="B63" s="348" t="s">
        <v>29</v>
      </c>
      <c r="C63" s="334">
        <v>103</v>
      </c>
      <c r="D63" s="334">
        <v>6405180.0239000004</v>
      </c>
      <c r="E63" s="334">
        <v>90</v>
      </c>
      <c r="F63" s="334">
        <v>2661836.9854000001</v>
      </c>
    </row>
    <row r="64" spans="1:6">
      <c r="A64" s="348" t="s">
        <v>56</v>
      </c>
      <c r="B64" s="348" t="s">
        <v>57</v>
      </c>
      <c r="C64" s="334">
        <v>0</v>
      </c>
      <c r="D64" s="334">
        <v>0</v>
      </c>
      <c r="E64" s="334">
        <v>0</v>
      </c>
      <c r="F64" s="334">
        <v>0</v>
      </c>
    </row>
    <row r="65" spans="1:6">
      <c r="A65" s="348" t="s">
        <v>56</v>
      </c>
      <c r="B65" s="348" t="s">
        <v>29</v>
      </c>
      <c r="C65" s="334">
        <v>5</v>
      </c>
      <c r="D65" s="334">
        <v>160086.99136000001</v>
      </c>
      <c r="E65" s="334">
        <v>2</v>
      </c>
      <c r="F65" s="334">
        <v>8787.9966979000001</v>
      </c>
    </row>
    <row r="66" spans="1:6">
      <c r="A66" s="348" t="s">
        <v>56</v>
      </c>
      <c r="B66" s="348" t="s">
        <v>58</v>
      </c>
      <c r="C66" s="334">
        <v>0</v>
      </c>
      <c r="D66" s="334">
        <v>0</v>
      </c>
      <c r="E66" s="334">
        <v>8</v>
      </c>
      <c r="F66" s="334">
        <v>35727.249881000003</v>
      </c>
    </row>
    <row r="67" spans="1:6">
      <c r="A67" s="355" t="s">
        <v>56</v>
      </c>
      <c r="B67" s="355" t="s">
        <v>59</v>
      </c>
      <c r="C67" s="334">
        <v>0</v>
      </c>
      <c r="D67" s="334">
        <v>0</v>
      </c>
      <c r="E67" s="334">
        <v>0</v>
      </c>
      <c r="F67" s="334">
        <v>0</v>
      </c>
    </row>
    <row r="68" spans="1:6">
      <c r="A68" s="341" t="s">
        <v>56</v>
      </c>
      <c r="B68" s="341" t="s">
        <v>60</v>
      </c>
      <c r="C68" s="334">
        <v>0</v>
      </c>
      <c r="D68" s="334">
        <v>0</v>
      </c>
      <c r="E68" s="334">
        <v>3</v>
      </c>
      <c r="F68" s="334">
        <v>16636.370992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59307627</v>
      </c>
      <c r="E73" s="475">
        <v>63561894.717664666</v>
      </c>
    </row>
    <row r="74" spans="1:6">
      <c r="A74" s="348" t="s">
        <v>64</v>
      </c>
      <c r="B74" s="348" t="s">
        <v>667</v>
      </c>
      <c r="C74" s="1294" t="s">
        <v>669</v>
      </c>
      <c r="D74" s="475">
        <v>19789954.09615685</v>
      </c>
      <c r="E74" s="475">
        <v>20629291.245825086</v>
      </c>
    </row>
    <row r="75" spans="1:6">
      <c r="A75" s="348" t="s">
        <v>65</v>
      </c>
      <c r="B75" s="348" t="s">
        <v>666</v>
      </c>
      <c r="C75" s="1294" t="s">
        <v>670</v>
      </c>
      <c r="D75" s="475">
        <v>18325493</v>
      </c>
      <c r="E75" s="475">
        <v>19662647.3508876</v>
      </c>
    </row>
    <row r="76" spans="1:6">
      <c r="A76" s="348" t="s">
        <v>65</v>
      </c>
      <c r="B76" s="348" t="s">
        <v>667</v>
      </c>
      <c r="C76" s="1294" t="s">
        <v>671</v>
      </c>
      <c r="D76" s="475">
        <v>2088687.0961568509</v>
      </c>
      <c r="E76" s="475">
        <v>2185807.6998851704</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883</v>
      </c>
      <c r="D81" s="337"/>
      <c r="E81" s="337"/>
      <c r="F81" s="344"/>
    </row>
    <row r="82" spans="1:6" ht="16.5" thickTop="1" thickBot="1">
      <c r="A82" s="345" t="s">
        <v>335</v>
      </c>
      <c r="B82" s="361">
        <v>2015</v>
      </c>
      <c r="C82" s="361">
        <v>2020</v>
      </c>
      <c r="D82" s="346"/>
      <c r="E82" s="346"/>
      <c r="F82" s="347"/>
    </row>
    <row r="83" spans="1:6">
      <c r="A83" s="348" t="s">
        <v>336</v>
      </c>
      <c r="B83" s="475">
        <v>209453.80768629795</v>
      </c>
      <c r="C83" s="475">
        <v>209453.80768629795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884</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1679.9086307406121</v>
      </c>
    </row>
    <row r="92" spans="1:6">
      <c r="A92" s="341" t="s">
        <v>69</v>
      </c>
      <c r="B92" s="342">
        <v>5261.9901682025265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5479</v>
      </c>
    </row>
    <row r="98" spans="1:6">
      <c r="A98" s="348" t="s">
        <v>72</v>
      </c>
      <c r="B98" s="334">
        <v>0</v>
      </c>
    </row>
    <row r="99" spans="1:6">
      <c r="A99" s="348" t="s">
        <v>73</v>
      </c>
      <c r="B99" s="334">
        <v>110</v>
      </c>
    </row>
    <row r="100" spans="1:6">
      <c r="A100" s="348" t="s">
        <v>74</v>
      </c>
      <c r="B100" s="334">
        <v>487</v>
      </c>
    </row>
    <row r="101" spans="1:6">
      <c r="A101" s="348" t="s">
        <v>75</v>
      </c>
      <c r="B101" s="334">
        <v>138</v>
      </c>
    </row>
    <row r="102" spans="1:6">
      <c r="A102" s="348" t="s">
        <v>76</v>
      </c>
      <c r="B102" s="334">
        <v>237</v>
      </c>
    </row>
    <row r="103" spans="1:6">
      <c r="A103" s="348" t="s">
        <v>77</v>
      </c>
      <c r="B103" s="334">
        <v>384</v>
      </c>
    </row>
    <row r="104" spans="1:6">
      <c r="A104" s="348" t="s">
        <v>78</v>
      </c>
      <c r="B104" s="334">
        <v>2766</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885</v>
      </c>
      <c r="D108" s="337"/>
      <c r="E108" s="337"/>
      <c r="F108" s="344"/>
    </row>
    <row r="109" spans="1:6" ht="16.5" thickTop="1" thickBot="1">
      <c r="A109" s="345" t="s">
        <v>4</v>
      </c>
      <c r="B109" s="346" t="s">
        <v>5</v>
      </c>
      <c r="C109" s="346"/>
      <c r="D109" s="346"/>
      <c r="E109" s="346"/>
      <c r="F109" s="347"/>
    </row>
    <row r="110" spans="1:6">
      <c r="A110" s="348" t="s">
        <v>649</v>
      </c>
      <c r="B110" s="334">
        <v>3</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885</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0</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B1"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133345.48254082692</v>
      </c>
      <c r="C3" s="43" t="s">
        <v>170</v>
      </c>
      <c r="D3" s="43"/>
      <c r="E3" s="154"/>
      <c r="F3" s="43"/>
      <c r="G3" s="43"/>
      <c r="H3" s="43"/>
      <c r="I3" s="43"/>
      <c r="J3" s="43"/>
      <c r="K3" s="96"/>
    </row>
    <row r="4" spans="1:11">
      <c r="A4" s="383" t="s">
        <v>171</v>
      </c>
      <c r="B4" s="49">
        <f>IF(ISERROR('SEAP template'!B78),0,'SEAP template'!B78)</f>
        <v>6941.8987989431389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152.78059446254071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0.21064060113786792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222.073691251745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935.35714285714266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0.23742128121606954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1816.059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1816.059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0.21064060113786792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382.53575946183526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34963.606549999997</v>
      </c>
      <c r="C5" s="17">
        <f>IF(ISERROR('Eigen informatie GS &amp; warmtenet'!B57),0,'Eigen informatie GS &amp; warmtenet'!B57)</f>
        <v>0</v>
      </c>
      <c r="D5" s="30">
        <f>(SUM(HH_hh_gas_kWh,HH_rest_gas_kWh)/1000)*0.902</f>
        <v>98452.881544160002</v>
      </c>
      <c r="E5" s="17">
        <f>B46*B57</f>
        <v>6461.9459285458706</v>
      </c>
      <c r="F5" s="17">
        <f>B51*B62</f>
        <v>12801.5388613009</v>
      </c>
      <c r="G5" s="18"/>
      <c r="H5" s="17"/>
      <c r="I5" s="17"/>
      <c r="J5" s="17">
        <f>B50*B61+C50*C61</f>
        <v>4181.9637743365847</v>
      </c>
      <c r="K5" s="17"/>
      <c r="L5" s="17"/>
      <c r="M5" s="17"/>
      <c r="N5" s="17">
        <f>B48*B59+C48*C59</f>
        <v>23023.860621505359</v>
      </c>
      <c r="O5" s="17">
        <f>B69*B70*B71</f>
        <v>146.95333333333335</v>
      </c>
      <c r="P5" s="17">
        <f>B77*B78*B79/1000-B77*B78*B79/1000/B80</f>
        <v>457.6</v>
      </c>
    </row>
    <row r="6" spans="1:16">
      <c r="A6" s="16" t="s">
        <v>624</v>
      </c>
      <c r="B6" s="788">
        <f>kWh_PV_kleiner_dan_10kW</f>
        <v>1679.9086307406121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36643.515180740607</v>
      </c>
      <c r="C8" s="21">
        <f>C5</f>
        <v>0</v>
      </c>
      <c r="D8" s="21">
        <f>D5</f>
        <v>98452.881544160002</v>
      </c>
      <c r="E8" s="21">
        <f>E5</f>
        <v>6461.9459285458706</v>
      </c>
      <c r="F8" s="21">
        <f>F5</f>
        <v>12801.5388613009</v>
      </c>
      <c r="G8" s="21"/>
      <c r="H8" s="21"/>
      <c r="I8" s="21"/>
      <c r="J8" s="21">
        <f>J5</f>
        <v>4181.9637743365847</v>
      </c>
      <c r="K8" s="21"/>
      <c r="L8" s="21">
        <f>L5</f>
        <v>0</v>
      </c>
      <c r="M8" s="21">
        <f>M5</f>
        <v>0</v>
      </c>
      <c r="N8" s="21">
        <f>N5</f>
        <v>23023.860621505359</v>
      </c>
      <c r="O8" s="21">
        <f>O5</f>
        <v>146.95333333333335</v>
      </c>
      <c r="P8" s="21">
        <f>P5</f>
        <v>457.6</v>
      </c>
    </row>
    <row r="9" spans="1:16">
      <c r="B9" s="19"/>
      <c r="C9" s="19"/>
      <c r="D9" s="258"/>
      <c r="E9" s="19"/>
      <c r="F9" s="19"/>
      <c r="G9" s="19"/>
      <c r="H9" s="19"/>
      <c r="I9" s="19"/>
      <c r="J9" s="19"/>
      <c r="K9" s="19"/>
      <c r="L9" s="19"/>
      <c r="M9" s="19"/>
      <c r="N9" s="19"/>
      <c r="O9" s="19"/>
      <c r="P9" s="19"/>
    </row>
    <row r="10" spans="1:16">
      <c r="A10" s="24" t="s">
        <v>214</v>
      </c>
      <c r="B10" s="25">
        <f ca="1">'EF ele_warmte'!B12</f>
        <v>0.21064060113786792</v>
      </c>
      <c r="C10" s="25">
        <f ca="1">'EF ele_warmte'!B22</f>
        <v>0.23742128121606954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7718.6120654757906</v>
      </c>
      <c r="C12" s="23">
        <f ca="1">C10*C8</f>
        <v>0</v>
      </c>
      <c r="D12" s="23">
        <f>D8*D10</f>
        <v>19887.48207192032</v>
      </c>
      <c r="E12" s="23">
        <f>E10*E8</f>
        <v>1466.8617257799126</v>
      </c>
      <c r="F12" s="23">
        <f>F10*F8</f>
        <v>3418.0108759673403</v>
      </c>
      <c r="G12" s="23"/>
      <c r="H12" s="23"/>
      <c r="I12" s="23"/>
      <c r="J12" s="23">
        <f>J10*J8</f>
        <v>1480.4151761151509</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5479</v>
      </c>
      <c r="C18" s="166" t="s">
        <v>111</v>
      </c>
      <c r="D18" s="228"/>
      <c r="E18" s="15"/>
    </row>
    <row r="19" spans="1:7">
      <c r="A19" s="171" t="s">
        <v>72</v>
      </c>
      <c r="B19" s="37">
        <f>aantalw2001_ander</f>
        <v>0</v>
      </c>
      <c r="C19" s="166" t="s">
        <v>111</v>
      </c>
      <c r="D19" s="229"/>
      <c r="E19" s="15"/>
    </row>
    <row r="20" spans="1:7">
      <c r="A20" s="171" t="s">
        <v>73</v>
      </c>
      <c r="B20" s="37">
        <f>aantalw2001_propaan</f>
        <v>110</v>
      </c>
      <c r="C20" s="167">
        <f>IF(ISERROR(B20/SUM($B$20,$B$21,$B$22)*100),0,B20/SUM($B$20,$B$21,$B$22)*100)</f>
        <v>14.965986394557824</v>
      </c>
      <c r="D20" s="229"/>
      <c r="E20" s="15"/>
    </row>
    <row r="21" spans="1:7">
      <c r="A21" s="171" t="s">
        <v>74</v>
      </c>
      <c r="B21" s="37">
        <f>aantalw2001_elektriciteit</f>
        <v>487</v>
      </c>
      <c r="C21" s="167">
        <f>IF(ISERROR(B21/SUM($B$20,$B$21,$B$22)*100),0,B21/SUM($B$20,$B$21,$B$22)*100)</f>
        <v>66.258503401360542</v>
      </c>
      <c r="D21" s="229"/>
      <c r="E21" s="15"/>
    </row>
    <row r="22" spans="1:7">
      <c r="A22" s="171" t="s">
        <v>75</v>
      </c>
      <c r="B22" s="37">
        <f>aantalw2001_hout</f>
        <v>138</v>
      </c>
      <c r="C22" s="167">
        <f>IF(ISERROR(B22/SUM($B$20,$B$21,$B$22)*100),0,B22/SUM($B$20,$B$21,$B$22)*100)</f>
        <v>18.775510204081634</v>
      </c>
      <c r="D22" s="229"/>
      <c r="E22" s="15"/>
    </row>
    <row r="23" spans="1:7">
      <c r="A23" s="171" t="s">
        <v>76</v>
      </c>
      <c r="B23" s="37">
        <f>aantalw2001_niet_gespec</f>
        <v>237</v>
      </c>
      <c r="C23" s="166" t="s">
        <v>111</v>
      </c>
      <c r="D23" s="228"/>
      <c r="E23" s="15"/>
    </row>
    <row r="24" spans="1:7">
      <c r="A24" s="171" t="s">
        <v>77</v>
      </c>
      <c r="B24" s="37">
        <f>aantalw2001_steenkool</f>
        <v>384</v>
      </c>
      <c r="C24" s="166" t="s">
        <v>111</v>
      </c>
      <c r="D24" s="229"/>
      <c r="E24" s="15"/>
    </row>
    <row r="25" spans="1:7">
      <c r="A25" s="171" t="s">
        <v>78</v>
      </c>
      <c r="B25" s="37">
        <f>aantalw2001_stookolie</f>
        <v>2766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10562</v>
      </c>
      <c r="C28" s="36"/>
      <c r="D28" s="228"/>
    </row>
    <row r="29" spans="1:7" s="15" customFormat="1">
      <c r="A29" s="230" t="s">
        <v>699</v>
      </c>
      <c r="B29" s="37">
        <f>SUM(HH_hh_gas_aantal,HH_rest_gas_aantal)</f>
        <v>7968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7968</v>
      </c>
      <c r="C32" s="167">
        <f>IF(ISERROR(B32/SUM($B$32,$B$34,$B$35,$B$36,$B$38,$B$39)*100),0,B32/SUM($B$32,$B$34,$B$35,$B$36,$B$38,$B$39)*100)</f>
        <v>75.612070601632198</v>
      </c>
      <c r="D32" s="233"/>
      <c r="G32" s="15"/>
    </row>
    <row r="33" spans="1:7">
      <c r="A33" s="171" t="s">
        <v>72</v>
      </c>
      <c r="B33" s="34" t="s">
        <v>111</v>
      </c>
      <c r="C33" s="167"/>
      <c r="D33" s="233"/>
      <c r="G33" s="15"/>
    </row>
    <row r="34" spans="1:7">
      <c r="A34" s="171" t="s">
        <v>73</v>
      </c>
      <c r="B34" s="33">
        <f>IF((($B$28-$B$32-$B$39-$B$77-$B$38)*C20/100)&lt;0,0,($B$28-$B$32-$B$39-$B$77-$B$38)*C20/100)</f>
        <v>285.70068027210885</v>
      </c>
      <c r="C34" s="167">
        <f>IF(ISERROR(B34/SUM($B$32,$B$34,$B$35,$B$36,$B$38,$B$39)*100),0,B34/SUM($B$32,$B$34,$B$35,$B$36,$B$38,$B$39)*100)</f>
        <v>2.7111470893158938</v>
      </c>
      <c r="D34" s="233"/>
      <c r="G34" s="15"/>
    </row>
    <row r="35" spans="1:7">
      <c r="A35" s="171" t="s">
        <v>74</v>
      </c>
      <c r="B35" s="33">
        <f>IF((($B$28-$B$32-$B$39-$B$77-$B$38)*C21/100)&lt;0,0,($B$28-$B$32-$B$39-$B$77-$B$38)*C21/100)</f>
        <v>1264.8748299319727</v>
      </c>
      <c r="C35" s="167">
        <f>IF(ISERROR(B35/SUM($B$32,$B$34,$B$35,$B$36,$B$38,$B$39)*100),0,B35/SUM($B$32,$B$34,$B$35,$B$36,$B$38,$B$39)*100)</f>
        <v>12.002987568153094</v>
      </c>
      <c r="D35" s="233"/>
      <c r="G35" s="15"/>
    </row>
    <row r="36" spans="1:7">
      <c r="A36" s="171" t="s">
        <v>75</v>
      </c>
      <c r="B36" s="33">
        <f>IF((($B$28-$B$32-$B$39-$B$77-$B$38)*C22/100)&lt;0,0,($B$28-$B$32-$B$39-$B$77-$B$38)*C22/100)</f>
        <v>358.42448979591842</v>
      </c>
      <c r="C36" s="167">
        <f>IF(ISERROR(B36/SUM($B$32,$B$34,$B$35,$B$36,$B$38,$B$39)*100),0,B36/SUM($B$32,$B$34,$B$35,$B$36,$B$38,$B$39)*100)</f>
        <v>3.4012572575053945</v>
      </c>
      <c r="D36" s="233"/>
      <c r="G36" s="15"/>
    </row>
    <row r="37" spans="1:7">
      <c r="A37" s="171" t="s">
        <v>76</v>
      </c>
      <c r="B37" s="34" t="s">
        <v>111</v>
      </c>
      <c r="C37" s="167"/>
      <c r="D37" s="173"/>
      <c r="G37" s="15"/>
    </row>
    <row r="38" spans="1:7">
      <c r="A38" s="171" t="s">
        <v>77</v>
      </c>
      <c r="B38" s="33">
        <f>IF((B24-(B29-B18)*0.1)&lt;0,0,B24-(B29-B18)*0.1)</f>
        <v>135.1</v>
      </c>
      <c r="C38" s="167">
        <f>IF(ISERROR(B38/SUM($B$32,$B$34,$B$35,$B$36,$B$38,$B$39)*100),0,B38/SUM($B$32,$B$34,$B$35,$B$36,$B$38,$B$39)*100)</f>
        <v>1.2820269500854053</v>
      </c>
      <c r="D38" s="234"/>
      <c r="G38" s="15"/>
    </row>
    <row r="39" spans="1:7">
      <c r="A39" s="171" t="s">
        <v>78</v>
      </c>
      <c r="B39" s="33">
        <f>IF((B25-(B29-B18))&lt;0,0,B25-(B29-B18)*0.9)</f>
        <v>525.90000000000009</v>
      </c>
      <c r="C39" s="167">
        <f>IF(ISERROR(B39/SUM($B$32,$B$34,$B$35,$B$36,$B$38,$B$39)*100),0,B39/SUM($B$32,$B$34,$B$35,$B$36,$B$38,$B$39)*100)</f>
        <v>4.9905105333080302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7968</v>
      </c>
      <c r="C44" s="34" t="s">
        <v>111</v>
      </c>
      <c r="D44" s="174"/>
    </row>
    <row r="45" spans="1:7">
      <c r="A45" s="171" t="s">
        <v>72</v>
      </c>
      <c r="B45" s="33" t="str">
        <f t="shared" si="0"/>
        <v>-</v>
      </c>
      <c r="C45" s="34" t="s">
        <v>111</v>
      </c>
      <c r="D45" s="174"/>
    </row>
    <row r="46" spans="1:7">
      <c r="A46" s="171" t="s">
        <v>73</v>
      </c>
      <c r="B46" s="33">
        <f t="shared" si="0"/>
        <v>285.70068027210885</v>
      </c>
      <c r="C46" s="34" t="s">
        <v>111</v>
      </c>
      <c r="D46" s="174"/>
    </row>
    <row r="47" spans="1:7">
      <c r="A47" s="171" t="s">
        <v>74</v>
      </c>
      <c r="B47" s="33">
        <f t="shared" si="0"/>
        <v>1264.8748299319727</v>
      </c>
      <c r="C47" s="34" t="s">
        <v>111</v>
      </c>
      <c r="D47" s="174"/>
    </row>
    <row r="48" spans="1:7">
      <c r="A48" s="171" t="s">
        <v>75</v>
      </c>
      <c r="B48" s="33">
        <f t="shared" si="0"/>
        <v>358.42448979591842</v>
      </c>
      <c r="C48" s="33">
        <f>B48*10</f>
        <v>3584.2448979591841</v>
      </c>
      <c r="D48" s="234"/>
    </row>
    <row r="49" spans="1:6">
      <c r="A49" s="171" t="s">
        <v>76</v>
      </c>
      <c r="B49" s="33" t="str">
        <f t="shared" si="0"/>
        <v>-</v>
      </c>
      <c r="C49" s="34" t="s">
        <v>111</v>
      </c>
      <c r="D49" s="234"/>
    </row>
    <row r="50" spans="1:6">
      <c r="A50" s="171" t="s">
        <v>77</v>
      </c>
      <c r="B50" s="33">
        <f t="shared" si="0"/>
        <v>135.1</v>
      </c>
      <c r="C50" s="33">
        <f>B50*2</f>
        <v>270.2</v>
      </c>
      <c r="D50" s="234"/>
    </row>
    <row r="51" spans="1:6">
      <c r="A51" s="171" t="s">
        <v>78</v>
      </c>
      <c r="B51" s="33">
        <f t="shared" si="0"/>
        <v>525.90000000000009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33295.560316770003</v>
      </c>
      <c r="C5" s="17">
        <f>IF(ISERROR('Eigen informatie GS &amp; warmtenet'!B58),0,'Eigen informatie GS &amp; warmtenet'!B58)</f>
        <v>0</v>
      </c>
      <c r="D5" s="30">
        <f>SUM(D6:D12)</f>
        <v>47089.600006818604</v>
      </c>
      <c r="E5" s="17">
        <f>SUM(E6:E12)</f>
        <v>592.95501877299137</v>
      </c>
      <c r="F5" s="17">
        <f>SUM(F6:F12)</f>
        <v>8009.3363108181657</v>
      </c>
      <c r="G5" s="18"/>
      <c r="H5" s="17"/>
      <c r="I5" s="17"/>
      <c r="J5" s="17">
        <f>SUM(J6:J12)</f>
        <v>0</v>
      </c>
      <c r="K5" s="17"/>
      <c r="L5" s="17"/>
      <c r="M5" s="17"/>
      <c r="N5" s="17">
        <f>SUM(N6:N12)</f>
        <v>2436.4598206118044</v>
      </c>
      <c r="O5" s="17">
        <f>B38*B39*B40</f>
        <v>0</v>
      </c>
      <c r="P5" s="17">
        <f>B46*B47*B48/1000-B46*B47*B48/1000/B49</f>
        <v>0</v>
      </c>
      <c r="R5" s="32"/>
    </row>
    <row r="6" spans="1:18">
      <c r="A6" s="32" t="s">
        <v>54</v>
      </c>
      <c r="B6" s="37">
        <f>B26</f>
        <v>6939.5452616000002</v>
      </c>
      <c r="C6" s="33"/>
      <c r="D6" s="37">
        <f>IF(ISERROR(TER_kantoor_gas_kWh/1000),0,TER_kantoor_gas_kWh/1000)*0.902</f>
        <v>18047.20840516</v>
      </c>
      <c r="E6" s="33">
        <f>$C$26*'E Balans VL '!I12/100/3.6*1000000</f>
        <v>90.847195754571274</v>
      </c>
      <c r="F6" s="33">
        <f>$C$26*('E Balans VL '!L12+'E Balans VL '!N12)/100/3.6*1000000</f>
        <v>1769.5123311260081</v>
      </c>
      <c r="G6" s="34"/>
      <c r="H6" s="33"/>
      <c r="I6" s="33"/>
      <c r="J6" s="33">
        <f>$C$26*('E Balans VL '!D12+'E Balans VL '!E12)/100/3.6*1000000</f>
        <v>0</v>
      </c>
      <c r="K6" s="33"/>
      <c r="L6" s="33"/>
      <c r="M6" s="33"/>
      <c r="N6" s="33">
        <f>$C$26*'E Balans VL '!Y12/100/3.6*1000000</f>
        <v>6.9629138085668991</v>
      </c>
      <c r="O6" s="33"/>
      <c r="P6" s="33"/>
      <c r="R6" s="32"/>
    </row>
    <row r="7" spans="1:18">
      <c r="A7" s="32" t="s">
        <v>53</v>
      </c>
      <c r="B7" s="37">
        <f t="shared" ref="B7:B12" si="0">B27</f>
        <v>2362.4138579</v>
      </c>
      <c r="C7" s="33"/>
      <c r="D7" s="37">
        <f>IF(ISERROR(TER_horeca_gas_kWh/1000),0,TER_horeca_gas_kWh/1000)*0.902</f>
        <v>2944.7771669645999</v>
      </c>
      <c r="E7" s="33">
        <f>$C$27*'E Balans VL '!I9/100/3.6*1000000</f>
        <v>78.181528615050297</v>
      </c>
      <c r="F7" s="33">
        <f>$C$27*('E Balans VL '!L9+'E Balans VL '!N9)/100/3.6*1000000</f>
        <v>1015.8289050304174</v>
      </c>
      <c r="G7" s="34"/>
      <c r="H7" s="33"/>
      <c r="I7" s="33"/>
      <c r="J7" s="33">
        <f>$C$27*('E Balans VL '!D9+'E Balans VL '!E9)/100/3.6*1000000</f>
        <v>0</v>
      </c>
      <c r="K7" s="33"/>
      <c r="L7" s="33"/>
      <c r="M7" s="33"/>
      <c r="N7" s="33">
        <f>$C$27*'E Balans VL '!Y9/100/3.6*1000000</f>
        <v>0.56866732161051881</v>
      </c>
      <c r="O7" s="33"/>
      <c r="P7" s="33"/>
      <c r="R7" s="32"/>
    </row>
    <row r="8" spans="1:18">
      <c r="A8" s="6" t="s">
        <v>52</v>
      </c>
      <c r="B8" s="37">
        <f t="shared" si="0"/>
        <v>11749.710317999999</v>
      </c>
      <c r="C8" s="33"/>
      <c r="D8" s="37">
        <f>IF(ISERROR(TER_handel_gas_kWh/1000),0,TER_handel_gas_kWh/1000)*0.902</f>
        <v>6264.4041565292</v>
      </c>
      <c r="E8" s="33">
        <f>$C$28*'E Balans VL '!I13/100/3.6*1000000</f>
        <v>370.83881065904563</v>
      </c>
      <c r="F8" s="33">
        <f>$C$28*('E Balans VL '!L13+'E Balans VL '!N13)/100/3.6*1000000</f>
        <v>2304.3250929130363</v>
      </c>
      <c r="G8" s="34"/>
      <c r="H8" s="33"/>
      <c r="I8" s="33"/>
      <c r="J8" s="33">
        <f>$C$28*('E Balans VL '!D13+'E Balans VL '!E13)/100/3.6*1000000</f>
        <v>0</v>
      </c>
      <c r="K8" s="33"/>
      <c r="L8" s="33"/>
      <c r="M8" s="33"/>
      <c r="N8" s="33">
        <f>$C$28*'E Balans VL '!Y13/100/3.6*1000000</f>
        <v>13.944624969212565</v>
      </c>
      <c r="O8" s="33"/>
      <c r="P8" s="33"/>
      <c r="R8" s="32"/>
    </row>
    <row r="9" spans="1:18">
      <c r="A9" s="32" t="s">
        <v>51</v>
      </c>
      <c r="B9" s="37">
        <f t="shared" si="0"/>
        <v>6102.0798599</v>
      </c>
      <c r="C9" s="33"/>
      <c r="D9" s="37">
        <f>IF(ISERROR(TER_gezond_gas_kWh/1000),0,TER_gezond_gas_kWh/1000)*0.902</f>
        <v>7695.0754237038</v>
      </c>
      <c r="E9" s="33">
        <f>$C$29*'E Balans VL '!I10/100/3.6*1000000</f>
        <v>0.78124473445264619</v>
      </c>
      <c r="F9" s="33">
        <f>$C$29*('E Balans VL '!L10+'E Balans VL '!N10)/100/3.6*1000000</f>
        <v>1271.3189964229571</v>
      </c>
      <c r="G9" s="34"/>
      <c r="H9" s="33"/>
      <c r="I9" s="33"/>
      <c r="J9" s="33">
        <f>$C$29*('E Balans VL '!D10+'E Balans VL '!E10)/100/3.6*1000000</f>
        <v>0</v>
      </c>
      <c r="K9" s="33"/>
      <c r="L9" s="33"/>
      <c r="M9" s="33"/>
      <c r="N9" s="33">
        <f>$C$29*'E Balans VL '!Y10/100/3.6*1000000</f>
        <v>71.671812176643911</v>
      </c>
      <c r="O9" s="33"/>
      <c r="P9" s="33"/>
      <c r="R9" s="32"/>
    </row>
    <row r="10" spans="1:18">
      <c r="A10" s="32" t="s">
        <v>50</v>
      </c>
      <c r="B10" s="37">
        <f t="shared" si="0"/>
        <v>2673.5326943999999</v>
      </c>
      <c r="C10" s="33"/>
      <c r="D10" s="37">
        <f>IF(ISERROR(TER_ander_gas_kWh/1000),0,TER_ander_gas_kWh/1000)*0.902</f>
        <v>3707.9134481290002</v>
      </c>
      <c r="E10" s="33">
        <f>$C$30*'E Balans VL '!I14/100/3.6*1000000</f>
        <v>4.0203644494896968</v>
      </c>
      <c r="F10" s="33">
        <f>$C$30*('E Balans VL '!L14+'E Balans VL '!N14)/100/3.6*1000000</f>
        <v>590.22983867458299</v>
      </c>
      <c r="G10" s="34"/>
      <c r="H10" s="33"/>
      <c r="I10" s="33"/>
      <c r="J10" s="33">
        <f>$C$30*('E Balans VL '!D14+'E Balans VL '!E14)/100/3.6*1000000</f>
        <v>0</v>
      </c>
      <c r="K10" s="33"/>
      <c r="L10" s="33"/>
      <c r="M10" s="33"/>
      <c r="N10" s="33">
        <f>$C$30*'E Balans VL '!Y14/100/3.6*1000000</f>
        <v>2106.9236851537999</v>
      </c>
      <c r="O10" s="33"/>
      <c r="P10" s="33"/>
      <c r="R10" s="32"/>
    </row>
    <row r="11" spans="1:18">
      <c r="A11" s="32" t="s">
        <v>55</v>
      </c>
      <c r="B11" s="37">
        <f t="shared" si="0"/>
        <v>806.44133956999997</v>
      </c>
      <c r="C11" s="33"/>
      <c r="D11" s="37">
        <f>IF(ISERROR(TER_onderwijs_gas_kWh/1000),0,TER_onderwijs_gas_kWh/1000)*0.902</f>
        <v>2652.7490247742003</v>
      </c>
      <c r="E11" s="33">
        <f>$C$31*'E Balans VL '!I11/100/3.6*1000000</f>
        <v>1.4202107785334277</v>
      </c>
      <c r="F11" s="33">
        <f>$C$31*('E Balans VL '!L11+'E Balans VL '!N11)/100/3.6*1000000</f>
        <v>372.34855901137354</v>
      </c>
      <c r="G11" s="34"/>
      <c r="H11" s="33"/>
      <c r="I11" s="33"/>
      <c r="J11" s="33">
        <f>$C$31*('E Balans VL '!D11+'E Balans VL '!E11)/100/3.6*1000000</f>
        <v>0</v>
      </c>
      <c r="K11" s="33"/>
      <c r="L11" s="33"/>
      <c r="M11" s="33"/>
      <c r="N11" s="33">
        <f>$C$31*'E Balans VL '!Y11/100/3.6*1000000</f>
        <v>1.5024113677177382</v>
      </c>
      <c r="O11" s="33"/>
      <c r="P11" s="33"/>
      <c r="R11" s="32"/>
    </row>
    <row r="12" spans="1:18">
      <c r="A12" s="32" t="s">
        <v>260</v>
      </c>
      <c r="B12" s="37">
        <f t="shared" si="0"/>
        <v>2661.8369854000002</v>
      </c>
      <c r="C12" s="33"/>
      <c r="D12" s="37">
        <f>IF(ISERROR(TER_rest_gas_kWh/1000),0,TER_rest_gas_kWh/1000)*0.902</f>
        <v>5777.4723815578009</v>
      </c>
      <c r="E12" s="33">
        <f>$C$32*'E Balans VL '!I8/100/3.6*1000000</f>
        <v>46.865663781848525</v>
      </c>
      <c r="F12" s="33">
        <f>$C$32*('E Balans VL '!L8+'E Balans VL '!N8)/100/3.6*1000000</f>
        <v>685.77258763979034</v>
      </c>
      <c r="G12" s="34"/>
      <c r="H12" s="33"/>
      <c r="I12" s="33"/>
      <c r="J12" s="33">
        <f>$C$32*('E Balans VL '!D8+'E Balans VL '!E8)/100/3.6*1000000</f>
        <v>0</v>
      </c>
      <c r="K12" s="33"/>
      <c r="L12" s="33"/>
      <c r="M12" s="33"/>
      <c r="N12" s="33">
        <f>$C$32*'E Balans VL '!Y8/100/3.6*1000000</f>
        <v>234.88570581425301</v>
      </c>
      <c r="O12" s="33"/>
      <c r="P12" s="33"/>
      <c r="R12" s="32"/>
    </row>
    <row r="13" spans="1:18">
      <c r="A13" s="16" t="s">
        <v>491</v>
      </c>
      <c r="B13" s="247">
        <f ca="1">'lokale energieproductie'!N91+'lokale energieproductie'!N60</f>
        <v>643.49999999999989</v>
      </c>
      <c r="C13" s="247">
        <f ca="1">'lokale energieproductie'!O91+'lokale energieproductie'!O60</f>
        <v>935.35714285714266</v>
      </c>
      <c r="D13" s="310">
        <f ca="1">('lokale energieproductie'!P60+'lokale energieproductie'!P91)*(-1)</f>
        <v>-1855.7142857142856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33939.060316770003</v>
      </c>
      <c r="C16" s="21">
        <f t="shared" ca="1" si="1"/>
        <v>935.35714285714266</v>
      </c>
      <c r="D16" s="21">
        <f t="shared" ca="1" si="1"/>
        <v>45233.885721104321</v>
      </c>
      <c r="E16" s="21">
        <f t="shared" si="1"/>
        <v>592.95501877299137</v>
      </c>
      <c r="F16" s="21">
        <f t="shared" ca="1" si="1"/>
        <v>8009.3363108181657</v>
      </c>
      <c r="G16" s="21">
        <f t="shared" si="1"/>
        <v>0</v>
      </c>
      <c r="H16" s="21">
        <f t="shared" si="1"/>
        <v>0</v>
      </c>
      <c r="I16" s="21">
        <f t="shared" si="1"/>
        <v>0</v>
      </c>
      <c r="J16" s="21">
        <f t="shared" si="1"/>
        <v>0</v>
      </c>
      <c r="K16" s="21">
        <f t="shared" si="1"/>
        <v>0</v>
      </c>
      <c r="L16" s="21">
        <f t="shared" ca="1" si="1"/>
        <v>0</v>
      </c>
      <c r="M16" s="21">
        <f t="shared" si="1"/>
        <v>0</v>
      </c>
      <c r="N16" s="21">
        <f t="shared" ca="1" si="1"/>
        <v>2436.4598206118044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0.21064060113786792</v>
      </c>
      <c r="C18" s="25">
        <f ca="1">'EF ele_warmte'!B22</f>
        <v>0.23742128121606954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7148.9440671787916</v>
      </c>
      <c r="C20" s="23">
        <f t="shared" ref="C20:P20" ca="1" si="2">C16*C18</f>
        <v>222.073691251745</v>
      </c>
      <c r="D20" s="23">
        <f t="shared" ca="1" si="2"/>
        <v>9137.2449156630737</v>
      </c>
      <c r="E20" s="23">
        <f t="shared" si="2"/>
        <v>134.60078926146903</v>
      </c>
      <c r="F20" s="23">
        <f t="shared" ca="1" si="2"/>
        <v>2138.4927949884504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6939.5452616000002</v>
      </c>
      <c r="C26" s="39">
        <f>IF(ISERROR(B26*3.6/1000000/'E Balans VL '!Z12*100),0,B26*3.6/1000000/'E Balans VL '!Z12*100)</f>
        <v>0.14865045062625795</v>
      </c>
      <c r="D26" s="237" t="s">
        <v>660</v>
      </c>
      <c r="F26" s="6"/>
    </row>
    <row r="27" spans="1:18">
      <c r="A27" s="231" t="s">
        <v>53</v>
      </c>
      <c r="B27" s="33">
        <f>IF(ISERROR(TER_horeca_ele_kWh/1000),0,TER_horeca_ele_kWh/1000)</f>
        <v>2362.4138579</v>
      </c>
      <c r="C27" s="39">
        <f>IF(ISERROR(B27*3.6/1000000/'E Balans VL '!Z9*100),0,B27*3.6/1000000/'E Balans VL '!Z9*100)</f>
        <v>0.18957550042972277</v>
      </c>
      <c r="D27" s="237" t="s">
        <v>660</v>
      </c>
      <c r="F27" s="6"/>
    </row>
    <row r="28" spans="1:18">
      <c r="A28" s="171" t="s">
        <v>52</v>
      </c>
      <c r="B28" s="33">
        <f>IF(ISERROR(TER_handel_ele_kWh/1000),0,TER_handel_ele_kWh/1000)</f>
        <v>11749.710317999999</v>
      </c>
      <c r="C28" s="39">
        <f>IF(ISERROR(B28*3.6/1000000/'E Balans VL '!Z13*100),0,B28*3.6/1000000/'E Balans VL '!Z13*100)</f>
        <v>0.34654906073073022</v>
      </c>
      <c r="D28" s="237" t="s">
        <v>660</v>
      </c>
      <c r="F28" s="6"/>
    </row>
    <row r="29" spans="1:18">
      <c r="A29" s="231" t="s">
        <v>51</v>
      </c>
      <c r="B29" s="33">
        <f>IF(ISERROR(TER_gezond_ele_kWh/1000),0,TER_gezond_ele_kWh/1000)</f>
        <v>6102.0798599</v>
      </c>
      <c r="C29" s="39">
        <f>IF(ISERROR(B29*3.6/1000000/'E Balans VL '!Z10*100),0,B29*3.6/1000000/'E Balans VL '!Z10*100)</f>
        <v>0.65153852614121799</v>
      </c>
      <c r="D29" s="237" t="s">
        <v>660</v>
      </c>
      <c r="F29" s="6"/>
    </row>
    <row r="30" spans="1:18">
      <c r="A30" s="231" t="s">
        <v>50</v>
      </c>
      <c r="B30" s="33">
        <f>IF(ISERROR(TER_ander_ele_kWh/1000),0,TER_ander_ele_kWh/1000)</f>
        <v>2673.5326943999999</v>
      </c>
      <c r="C30" s="39">
        <f>IF(ISERROR(B30*3.6/1000000/'E Balans VL '!Z14*100),0,B30*3.6/1000000/'E Balans VL '!Z14*100)</f>
        <v>0.20194242294744674</v>
      </c>
      <c r="D30" s="237" t="s">
        <v>660</v>
      </c>
      <c r="F30" s="6"/>
    </row>
    <row r="31" spans="1:18">
      <c r="A31" s="231" t="s">
        <v>55</v>
      </c>
      <c r="B31" s="33">
        <f>IF(ISERROR(TER_onderwijs_ele_kWh/1000),0,TER_onderwijs_ele_kWh/1000)</f>
        <v>806.44133956999997</v>
      </c>
      <c r="C31" s="39">
        <f>IF(ISERROR(B31*3.6/1000000/'E Balans VL '!Z11*100),0,B31*3.6/1000000/'E Balans VL '!Z11*100)</f>
        <v>0.16284742755086556</v>
      </c>
      <c r="D31" s="237" t="s">
        <v>660</v>
      </c>
    </row>
    <row r="32" spans="1:18">
      <c r="A32" s="231" t="s">
        <v>260</v>
      </c>
      <c r="B32" s="33">
        <f>IF(ISERROR(TER_rest_ele_kWh/1000),0,TER_rest_ele_kWh/1000)</f>
        <v>2661.8369854000002</v>
      </c>
      <c r="C32" s="39">
        <f>IF(ISERROR(B32*3.6/1000000/'E Balans VL '!Z8*100),0,B32*3.6/1000000/'E Balans VL '!Z8*100)</f>
        <v>2.2070335190228451E-2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58729.175751129995</v>
      </c>
      <c r="C5" s="17">
        <f>IF(ISERROR('Eigen informatie GS &amp; warmtenet'!B59),0,'Eigen informatie GS &amp; warmtenet'!B59)</f>
        <v>0</v>
      </c>
      <c r="D5" s="30">
        <f>SUM(D6:D15)</f>
        <v>90508.731777974841</v>
      </c>
      <c r="E5" s="17">
        <f>SUM(E6:E15)</f>
        <v>2152.5854913760986</v>
      </c>
      <c r="F5" s="17">
        <f>SUM(F6:F15)</f>
        <v>9550.185607810412</v>
      </c>
      <c r="G5" s="18"/>
      <c r="H5" s="17"/>
      <c r="I5" s="17"/>
      <c r="J5" s="17">
        <f>SUM(J6:J15)</f>
        <v>161.39189522753028</v>
      </c>
      <c r="K5" s="17"/>
      <c r="L5" s="17"/>
      <c r="M5" s="17"/>
      <c r="N5" s="17">
        <f>SUM(N6:N15)</f>
        <v>5435.7403630083209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183.19570579000001</v>
      </c>
      <c r="C8" s="33"/>
      <c r="D8" s="37">
        <f>IF( ISERROR(IND_metaal_Gas_kWH/1000),0,IND_metaal_Gas_kWH/1000)*0.902</f>
        <v>0</v>
      </c>
      <c r="E8" s="33">
        <f>C30*'E Balans VL '!I18/100/3.6*1000000</f>
        <v>6.5919356989026392</v>
      </c>
      <c r="F8" s="33">
        <f>C30*'E Balans VL '!L18/100/3.6*1000000+C30*'E Balans VL '!N18/100/3.6*1000000</f>
        <v>79.995626152640824</v>
      </c>
      <c r="G8" s="34"/>
      <c r="H8" s="33"/>
      <c r="I8" s="33"/>
      <c r="J8" s="40">
        <f>C30*'E Balans VL '!D18/100/3.6*1000000+C30*'E Balans VL '!E18/100/3.6*1000000</f>
        <v>0</v>
      </c>
      <c r="K8" s="33"/>
      <c r="L8" s="33"/>
      <c r="M8" s="33"/>
      <c r="N8" s="33">
        <f>C30*'E Balans VL '!Y18/100/3.6*1000000</f>
        <v>9.1816442795213078</v>
      </c>
      <c r="O8" s="33"/>
      <c r="P8" s="33"/>
      <c r="R8" s="32"/>
    </row>
    <row r="9" spans="1:18">
      <c r="A9" s="6" t="s">
        <v>33</v>
      </c>
      <c r="B9" s="37">
        <f t="shared" si="0"/>
        <v>3961.2944837999999</v>
      </c>
      <c r="C9" s="33"/>
      <c r="D9" s="37">
        <f>IF( ISERROR(IND_andere_gas_kWh/1000),0,IND_andere_gas_kWh/1000)*0.902</f>
        <v>1350.9997152388</v>
      </c>
      <c r="E9" s="33">
        <f>C31*'E Balans VL '!I19/100/3.6*1000000</f>
        <v>1010.8327254677108</v>
      </c>
      <c r="F9" s="33">
        <f>C31*'E Balans VL '!L19/100/3.6*1000000+C31*'E Balans VL '!N19/100/3.6*1000000</f>
        <v>3410.3768080831646</v>
      </c>
      <c r="G9" s="34"/>
      <c r="H9" s="33"/>
      <c r="I9" s="33"/>
      <c r="J9" s="40">
        <f>C31*'E Balans VL '!D19/100/3.6*1000000+C31*'E Balans VL '!E19/100/3.6*1000000</f>
        <v>0</v>
      </c>
      <c r="K9" s="33"/>
      <c r="L9" s="33"/>
      <c r="M9" s="33"/>
      <c r="N9" s="33">
        <f>C31*'E Balans VL '!Y19/100/3.6*1000000</f>
        <v>1238.8324452521479</v>
      </c>
      <c r="O9" s="33"/>
      <c r="P9" s="33"/>
      <c r="R9" s="32"/>
    </row>
    <row r="10" spans="1:18">
      <c r="A10" s="6" t="s">
        <v>41</v>
      </c>
      <c r="B10" s="37">
        <f t="shared" si="0"/>
        <v>234.17999788</v>
      </c>
      <c r="C10" s="33"/>
      <c r="D10" s="37">
        <f>IF( ISERROR(IND_voed_gas_kWh/1000),0,IND_voed_gas_kWh/1000)*0.902</f>
        <v>473.24259984320008</v>
      </c>
      <c r="E10" s="33">
        <f>C32*'E Balans VL '!I20/100/3.6*1000000</f>
        <v>5.9531771015976176</v>
      </c>
      <c r="F10" s="33">
        <f>C32*'E Balans VL '!L20/100/3.6*1000000+C32*'E Balans VL '!N20/100/3.6*1000000</f>
        <v>52.991418175312269</v>
      </c>
      <c r="G10" s="34"/>
      <c r="H10" s="33"/>
      <c r="I10" s="33"/>
      <c r="J10" s="40">
        <f>C32*'E Balans VL '!D20/100/3.6*1000000+C32*'E Balans VL '!E20/100/3.6*1000000</f>
        <v>0</v>
      </c>
      <c r="K10" s="33"/>
      <c r="L10" s="33"/>
      <c r="M10" s="33"/>
      <c r="N10" s="33">
        <f>C32*'E Balans VL '!Y20/100/3.6*1000000</f>
        <v>87.823846903520732</v>
      </c>
      <c r="O10" s="33"/>
      <c r="P10" s="33"/>
      <c r="R10" s="32"/>
    </row>
    <row r="11" spans="1:18">
      <c r="A11" s="6" t="s">
        <v>40</v>
      </c>
      <c r="B11" s="37">
        <f t="shared" si="0"/>
        <v>35042.911304000001</v>
      </c>
      <c r="C11" s="33"/>
      <c r="D11" s="37">
        <f>IF( ISERROR(IND_textiel_gas_kWh/1000),0,IND_textiel_gas_kWh/1000)*0.902</f>
        <v>17649.620608466004</v>
      </c>
      <c r="E11" s="33">
        <f>C33*'E Balans VL '!I21/100/3.6*1000000</f>
        <v>96.20221536906665</v>
      </c>
      <c r="F11" s="33">
        <f>C33*'E Balans VL '!L21/100/3.6*1000000+C33*'E Balans VL '!N21/100/3.6*1000000</f>
        <v>1857.8291147085069</v>
      </c>
      <c r="G11" s="34"/>
      <c r="H11" s="33"/>
      <c r="I11" s="33"/>
      <c r="J11" s="40">
        <f>C33*'E Balans VL '!D21/100/3.6*1000000+C33*'E Balans VL '!E21/100/3.6*1000000</f>
        <v>0</v>
      </c>
      <c r="K11" s="33"/>
      <c r="L11" s="33"/>
      <c r="M11" s="33"/>
      <c r="N11" s="33">
        <f>C33*'E Balans VL '!Y21/100/3.6*1000000</f>
        <v>70.430452728746587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107.84013331</v>
      </c>
      <c r="C13" s="33"/>
      <c r="D13" s="37">
        <f>IF( ISERROR(IND_papier_gas_kWh/1000),0,IND_papier_gas_kWh/1000)*0.902</f>
        <v>127.33930443432</v>
      </c>
      <c r="E13" s="33">
        <f>C35*'E Balans VL '!I23/100/3.6*1000000</f>
        <v>0.4624949591540275</v>
      </c>
      <c r="F13" s="33">
        <f>C35*'E Balans VL '!L23/100/3.6*1000000+C35*'E Balans VL '!N23/100/3.6*1000000</f>
        <v>2.7103572645461567</v>
      </c>
      <c r="G13" s="34"/>
      <c r="H13" s="33"/>
      <c r="I13" s="33"/>
      <c r="J13" s="40">
        <f>C35*'E Balans VL '!D23/100/3.6*1000000+C35*'E Balans VL '!E23/100/3.6*1000000</f>
        <v>7.2193054463043422</v>
      </c>
      <c r="K13" s="33"/>
      <c r="L13" s="33"/>
      <c r="M13" s="33"/>
      <c r="N13" s="33">
        <f>C35*'E Balans VL '!Y23/100/3.6*1000000</f>
        <v>196.29468798633238</v>
      </c>
      <c r="O13" s="33"/>
      <c r="P13" s="33"/>
      <c r="R13" s="32"/>
    </row>
    <row r="14" spans="1:18">
      <c r="A14" s="6" t="s">
        <v>34</v>
      </c>
      <c r="B14" s="37">
        <f t="shared" si="0"/>
        <v>182.80675335000001</v>
      </c>
      <c r="C14" s="33"/>
      <c r="D14" s="37">
        <f>IF( ISERROR(IND_chemie_gas_kWh/1000),0,IND_chemie_gas_kWh/1000)*0.902</f>
        <v>647.43383677852</v>
      </c>
      <c r="E14" s="33">
        <f>C36*'E Balans VL '!I24/100/3.6*1000000</f>
        <v>0.43825055688788206</v>
      </c>
      <c r="F14" s="33">
        <f>C36*'E Balans VL '!L24/100/3.6*1000000+C36*'E Balans VL '!N24/100/3.6*1000000</f>
        <v>1.4670655472944494</v>
      </c>
      <c r="G14" s="34"/>
      <c r="H14" s="33"/>
      <c r="I14" s="33"/>
      <c r="J14" s="40">
        <f>C36*'E Balans VL '!D24/100/3.6*1000000+C36*'E Balans VL '!E24/100/3.6*1000000</f>
        <v>0</v>
      </c>
      <c r="K14" s="33"/>
      <c r="L14" s="33"/>
      <c r="M14" s="33"/>
      <c r="N14" s="33">
        <f>C36*'E Balans VL '!Y24/100/3.6*1000000</f>
        <v>3.7784738688387365</v>
      </c>
      <c r="O14" s="33"/>
      <c r="P14" s="33"/>
      <c r="R14" s="32"/>
    </row>
    <row r="15" spans="1:18">
      <c r="A15" s="6" t="s">
        <v>270</v>
      </c>
      <c r="B15" s="37">
        <f t="shared" si="0"/>
        <v>19016.947372999999</v>
      </c>
      <c r="C15" s="33"/>
      <c r="D15" s="37">
        <f>IF( ISERROR(IND_rest_gas_kWh/1000),0,IND_rest_gas_kWh/1000)*0.902</f>
        <v>70260.095713214003</v>
      </c>
      <c r="E15" s="33">
        <f>C37*'E Balans VL '!I15/100/3.6*1000000</f>
        <v>1032.104692222779</v>
      </c>
      <c r="F15" s="33">
        <f>C37*'E Balans VL '!L15/100/3.6*1000000+C37*'E Balans VL '!N15/100/3.6*1000000</f>
        <v>4144.815217878946</v>
      </c>
      <c r="G15" s="34"/>
      <c r="H15" s="33"/>
      <c r="I15" s="33"/>
      <c r="J15" s="40">
        <f>C37*'E Balans VL '!D15/100/3.6*1000000+C37*'E Balans VL '!E15/100/3.6*1000000</f>
        <v>154.17258978122595</v>
      </c>
      <c r="K15" s="33"/>
      <c r="L15" s="33"/>
      <c r="M15" s="33"/>
      <c r="N15" s="33">
        <f>C37*'E Balans VL '!Y15/100/3.6*1000000</f>
        <v>3829.3988119892128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58729.175751129995</v>
      </c>
      <c r="C18" s="21">
        <f>C5+C16</f>
        <v>0</v>
      </c>
      <c r="D18" s="21">
        <f>MAX((D5+D16),0)</f>
        <v>90508.731777974841</v>
      </c>
      <c r="E18" s="21">
        <f>MAX((E5+E16),0)</f>
        <v>2152.5854913760986</v>
      </c>
      <c r="F18" s="21">
        <f>MAX((F5+F16),0)</f>
        <v>9550.185607810412</v>
      </c>
      <c r="G18" s="21"/>
      <c r="H18" s="21"/>
      <c r="I18" s="21"/>
      <c r="J18" s="21">
        <f>MAX((J5+J16),0)</f>
        <v>161.39189522753028</v>
      </c>
      <c r="K18" s="21"/>
      <c r="L18" s="21">
        <f>MAX((L5+L16),0)</f>
        <v>0</v>
      </c>
      <c r="M18" s="21"/>
      <c r="N18" s="21">
        <f>MAX((N5+N16),0)</f>
        <v>5435.7403630083209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0.21064060113786792</v>
      </c>
      <c r="C20" s="25">
        <f ca="1">'EF ele_warmte'!B22</f>
        <v>0.23742128121606954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12370.748884549517</v>
      </c>
      <c r="C22" s="23">
        <f ca="1">C18*C20</f>
        <v>0</v>
      </c>
      <c r="D22" s="23">
        <f>D18*D20</f>
        <v>18282.763819150918</v>
      </c>
      <c r="E22" s="23">
        <f>E18*E20</f>
        <v>488.63690654237439</v>
      </c>
      <c r="F22" s="23">
        <f>F18*F20</f>
        <v>2549.8995572853801</v>
      </c>
      <c r="G22" s="23"/>
      <c r="H22" s="23"/>
      <c r="I22" s="23"/>
      <c r="J22" s="23">
        <f>J18*J20</f>
        <v>57.132730910545718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183.19570579000001</v>
      </c>
      <c r="C30" s="39">
        <f>IF(ISERROR(B30*3.6/1000000/'E Balans VL '!Z18*100),0,B30*3.6/1000000/'E Balans VL '!Z18*100)</f>
        <v>3.8815242444483221E-2</v>
      </c>
      <c r="D30" s="237" t="s">
        <v>660</v>
      </c>
    </row>
    <row r="31" spans="1:18">
      <c r="A31" s="6" t="s">
        <v>33</v>
      </c>
      <c r="B31" s="37">
        <f>IF( ISERROR(IND_ander_ele_kWh/1000),0,IND_ander_ele_kWh/1000)</f>
        <v>3961.2944837999999</v>
      </c>
      <c r="C31" s="39">
        <f>IF(ISERROR(B31*3.6/1000000/'E Balans VL '!Z19*100),0,B31*3.6/1000000/'E Balans VL '!Z19*100)</f>
        <v>0.16673987959642059</v>
      </c>
      <c r="D31" s="237" t="s">
        <v>660</v>
      </c>
    </row>
    <row r="32" spans="1:18">
      <c r="A32" s="171" t="s">
        <v>41</v>
      </c>
      <c r="B32" s="37">
        <f>IF( ISERROR(IND_voed_ele_kWh/1000),0,IND_voed_ele_kWh/1000)</f>
        <v>234.17999788</v>
      </c>
      <c r="C32" s="39">
        <f>IF(ISERROR(B32*3.6/1000000/'E Balans VL '!Z20*100),0,B32*3.6/1000000/'E Balans VL '!Z20*100)</f>
        <v>3.9122418210301782E-2</v>
      </c>
      <c r="D32" s="237" t="s">
        <v>660</v>
      </c>
    </row>
    <row r="33" spans="1:5">
      <c r="A33" s="171" t="s">
        <v>40</v>
      </c>
      <c r="B33" s="37">
        <f>IF( ISERROR(IND_textiel_ele_kWh/1000),0,IND_textiel_ele_kWh/1000)</f>
        <v>35042.911304000001</v>
      </c>
      <c r="C33" s="39">
        <f>IF(ISERROR(B33*3.6/1000000/'E Balans VL '!Z21*100),0,B33*3.6/1000000/'E Balans VL '!Z21*100)</f>
        <v>2.045910028431273</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107.84013331</v>
      </c>
      <c r="C35" s="39">
        <f>IF(ISERROR(B35*3.6/1000000/'E Balans VL '!Z22*100),0,B35*3.6/1000000/'E Balans VL '!Z22*100)</f>
        <v>1.3669318477163765E-2</v>
      </c>
      <c r="D35" s="237" t="s">
        <v>660</v>
      </c>
    </row>
    <row r="36" spans="1:5">
      <c r="A36" s="171" t="s">
        <v>34</v>
      </c>
      <c r="B36" s="37">
        <f>IF( ISERROR(IND_chemie_ele_kWh/1000),0,IND_chemie_ele_kWh/1000)</f>
        <v>182.80675335000001</v>
      </c>
      <c r="C36" s="39">
        <f>IF(ISERROR(B36*3.6/1000000/'E Balans VL '!Z24*100),0,B36*3.6/1000000/'E Balans VL '!Z24*100)</f>
        <v>5.9375692439086556E-3</v>
      </c>
      <c r="D36" s="237" t="s">
        <v>660</v>
      </c>
    </row>
    <row r="37" spans="1:5">
      <c r="A37" s="171" t="s">
        <v>270</v>
      </c>
      <c r="B37" s="37">
        <f>IF( ISERROR(IND_rest_ele_kWh/1000),0,IND_rest_ele_kWh/1000)</f>
        <v>19016.947372999999</v>
      </c>
      <c r="C37" s="39">
        <f>IF(ISERROR(B37*3.6/1000000/'E Balans VL '!Z15*100),0,B37*3.6/1000000/'E Balans VL '!Z15*100)</f>
        <v>0.15353117984175776</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396.90900036899995</v>
      </c>
      <c r="C5" s="17">
        <f>'Eigen informatie GS &amp; warmtenet'!B60</f>
        <v>0</v>
      </c>
      <c r="D5" s="30">
        <f>IF(ISERROR(SUM(LB_lb_gas_kWh,LB_rest_gas_kWh)/1000),0,SUM(LB_lb_gas_kWh,LB_rest_gas_kWh)/1000)*0.902</f>
        <v>76.754292036202003</v>
      </c>
      <c r="E5" s="17">
        <f>B17*'E Balans VL '!I25/3.6*1000000/100</f>
        <v>10.234759165146706</v>
      </c>
      <c r="F5" s="17">
        <f>B17*('E Balans VL '!L25/3.6*1000000+'E Balans VL '!N25/3.6*1000000)/100</f>
        <v>1450.7779839959833</v>
      </c>
      <c r="G5" s="18"/>
      <c r="H5" s="17"/>
      <c r="I5" s="17"/>
      <c r="J5" s="17">
        <f>('E Balans VL '!D25+'E Balans VL '!E25)/3.6*1000000*landbouw!B17/100</f>
        <v>57.140295097849794</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396.90900036899995</v>
      </c>
      <c r="C8" s="21">
        <f>C5+C6</f>
        <v>0</v>
      </c>
      <c r="D8" s="21">
        <f>MAX((D5+D6),0)</f>
        <v>76.754292036202003</v>
      </c>
      <c r="E8" s="21">
        <f>MAX((E5+E6),0)</f>
        <v>10.234759165146706</v>
      </c>
      <c r="F8" s="21">
        <f>MAX((F5+F6),0)</f>
        <v>1450.7779839959833</v>
      </c>
      <c r="G8" s="21"/>
      <c r="H8" s="21"/>
      <c r="I8" s="21"/>
      <c r="J8" s="21">
        <f>MAX((J5+J6),0)</f>
        <v>57.140295097849794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0.21064060113786792</v>
      </c>
      <c r="C10" s="31">
        <f ca="1">'EF ele_warmte'!B22</f>
        <v>0.23742128121606954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83.605150434756396</v>
      </c>
      <c r="C12" s="23">
        <f ca="1">C8*C10</f>
        <v>0</v>
      </c>
      <c r="D12" s="23">
        <f>D8*D10</f>
        <v>15.504366991312805</v>
      </c>
      <c r="E12" s="23">
        <f>E8*E10</f>
        <v>2.3232903304883021</v>
      </c>
      <c r="F12" s="23">
        <f>F8*F10</f>
        <v>387.35772172692754</v>
      </c>
      <c r="G12" s="23"/>
      <c r="H12" s="23"/>
      <c r="I12" s="23"/>
      <c r="J12" s="23">
        <f>J8*J10</f>
        <v>20.227664464638828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5.5966798118296218E-2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150.7320879965234</v>
      </c>
      <c r="C26" s="247">
        <f>B26*'GWP N2O_CH4'!B5</f>
        <v>3165.3738479269914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22.858342447486542</v>
      </c>
      <c r="C27" s="247">
        <f>B27*'GWP N2O_CH4'!B5</f>
        <v>480.02519139721738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1.9954762155995389</v>
      </c>
      <c r="C28" s="247">
        <f>B28*'GWP N2O_CH4'!B4</f>
        <v>618.59762683585711</v>
      </c>
      <c r="D28" s="50"/>
    </row>
    <row r="29" spans="1:4">
      <c r="A29" s="41" t="s">
        <v>277</v>
      </c>
      <c r="B29" s="247">
        <f>B34*'ha_N2O bodem landbouw'!B4</f>
        <v>9.6486262255449873</v>
      </c>
      <c r="C29" s="247">
        <f>B29*'GWP N2O_CH4'!B4</f>
        <v>2991.0741299189463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2.1714652223489166E-3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6.5491833662333258E-5</v>
      </c>
      <c r="C5" s="463" t="s">
        <v>211</v>
      </c>
      <c r="D5" s="448">
        <f>SUM(D6:D11)</f>
        <v>1.5380604031602036E-4</v>
      </c>
      <c r="E5" s="448">
        <f>SUM(E6:E11)</f>
        <v>5.8919050061802887E-4</v>
      </c>
      <c r="F5" s="461" t="s">
        <v>211</v>
      </c>
      <c r="G5" s="448">
        <f>SUM(G6:G11)</f>
        <v>0.35215137690162768</v>
      </c>
      <c r="H5" s="448">
        <f>SUM(H6:H11)</f>
        <v>4.1262140276529601E-2</v>
      </c>
      <c r="I5" s="463" t="s">
        <v>211</v>
      </c>
      <c r="J5" s="463" t="s">
        <v>211</v>
      </c>
      <c r="K5" s="463" t="s">
        <v>211</v>
      </c>
      <c r="L5" s="463" t="s">
        <v>211</v>
      </c>
      <c r="M5" s="448">
        <f>SUM(M6:M11)</f>
        <v>1.2329923727631847E-2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5.0032321802752548E-5</v>
      </c>
      <c r="C6" s="449"/>
      <c r="D6" s="892">
        <f>vkm_2011_GW_PW*SUMIFS(TableVerdeelsleutelVkm[CNG],TableVerdeelsleutelVkm[Voertuigtype],"Lichte voertuigen")*SUMIFS(TableECFTransport[EnergieConsumptieFactor (PJ per km)],TableECFTransport[Index],CONCATENATE($A6,"_CNG_CNG"))</f>
        <v>9.9415099814958351E-5</v>
      </c>
      <c r="E6" s="892">
        <f>vkm_2011_GW_PW*SUMIFS(TableVerdeelsleutelVkm[LPG],TableVerdeelsleutelVkm[Voertuigtype],"Lichte voertuigen")*SUMIFS(TableECFTransport[EnergieConsumptieFactor (PJ per km)],TableECFTransport[Index],CONCATENATE($A6,"_LPG_LPG"))</f>
        <v>3.9123405541358801E-4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9.3022034354132421E-2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2.6914658357066051E-2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3.7373380960422998E-3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0.18963125231882136</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6.1258994314951029E-5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5.97499061032555E-3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1.545951185958071E-5</v>
      </c>
      <c r="C8" s="449"/>
      <c r="D8" s="451">
        <f>vkm_2011_NGW_PW*SUMIFS(TableVerdeelsleutelVkm[CNG],TableVerdeelsleutelVkm[Voertuigtype],"Lichte voertuigen")*SUMIFS(TableECFTransport[EnergieConsumptieFactor (PJ per km)],TableECFTransport[Index],CONCATENATE($A8,"_CNG_CNG"))</f>
        <v>5.4390940501061998E-5</v>
      </c>
      <c r="E8" s="451">
        <f>vkm_2011_NGW_PW*SUMIFS(TableVerdeelsleutelVkm[LPG],TableVerdeelsleutelVkm[Voertuigtype],"Lichte voertuigen")*SUMIFS(TableECFTransport[EnergieConsumptieFactor (PJ per km)],TableECFTransport[Index],CONCATENATE($A8,"_LPG_LPG"))</f>
        <v>1.9795644520444086E-4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4.3951895593660889E-2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1.4278418346078721E-2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1.8126869508902454E-3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2.5546194635013043E-2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7.8045790698721398E-6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8.0490807037375187E-4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18.192176017314793</v>
      </c>
      <c r="C14" s="21"/>
      <c r="D14" s="21">
        <f t="shared" ref="D14:M14" si="0">((D5)*10^9/3600)+D12</f>
        <v>42.723900087783434</v>
      </c>
      <c r="E14" s="21">
        <f t="shared" si="0"/>
        <v>163.66402794945247</v>
      </c>
      <c r="F14" s="21"/>
      <c r="G14" s="21">
        <f t="shared" si="0"/>
        <v>97819.8269171188</v>
      </c>
      <c r="H14" s="21">
        <f t="shared" si="0"/>
        <v>11461.705632369334</v>
      </c>
      <c r="I14" s="21"/>
      <c r="J14" s="21"/>
      <c r="K14" s="21"/>
      <c r="L14" s="21"/>
      <c r="M14" s="21">
        <f t="shared" si="0"/>
        <v>3424.9788132310687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0.21064060113786792</v>
      </c>
      <c r="C16" s="56">
        <f ca="1">'EF ele_warmte'!B22</f>
        <v>0.23742128121606954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3.8320108922930918</v>
      </c>
      <c r="C18" s="23"/>
      <c r="D18" s="23">
        <f t="shared" ref="D18:M18" si="1">D14*D16</f>
        <v>8.6302278177322549</v>
      </c>
      <c r="E18" s="23">
        <f t="shared" si="1"/>
        <v>37.151734344525714</v>
      </c>
      <c r="F18" s="23"/>
      <c r="G18" s="23">
        <f t="shared" si="1"/>
        <v>26117.893786870722</v>
      </c>
      <c r="H18" s="23">
        <f t="shared" si="1"/>
        <v>2853.964702459964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2.7229561549714254E-3</v>
      </c>
      <c r="H50" s="321">
        <f t="shared" si="2"/>
        <v>0</v>
      </c>
      <c r="I50" s="321">
        <f t="shared" si="2"/>
        <v>0</v>
      </c>
      <c r="J50" s="321">
        <f t="shared" si="2"/>
        <v>0</v>
      </c>
      <c r="K50" s="321">
        <f t="shared" si="2"/>
        <v>0</v>
      </c>
      <c r="L50" s="321">
        <f t="shared" si="2"/>
        <v>0</v>
      </c>
      <c r="M50" s="321">
        <f t="shared" si="2"/>
        <v>8.4460008178476953E-5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2.7229561549714254E-3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8.4460008178476953E-5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756.37670971428486</v>
      </c>
      <c r="H54" s="21">
        <f t="shared" si="3"/>
        <v>0</v>
      </c>
      <c r="I54" s="21">
        <f t="shared" si="3"/>
        <v>0</v>
      </c>
      <c r="J54" s="21">
        <f t="shared" si="3"/>
        <v>0</v>
      </c>
      <c r="K54" s="21">
        <f t="shared" si="3"/>
        <v>0</v>
      </c>
      <c r="L54" s="21">
        <f t="shared" si="3"/>
        <v>0</v>
      </c>
      <c r="M54" s="21">
        <f t="shared" si="3"/>
        <v>23.461113382910266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0.21064060113786792</v>
      </c>
      <c r="C56" s="56">
        <f ca="1">'EF ele_warmte'!B22</f>
        <v>0.23742128121606954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201.95258149371406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36" t="s">
        <v>241</v>
      </c>
      <c r="B1" s="1239" t="s">
        <v>242</v>
      </c>
      <c r="C1" s="1250" t="s">
        <v>243</v>
      </c>
      <c r="D1" s="1251"/>
      <c r="E1" s="1251"/>
      <c r="F1" s="1251"/>
      <c r="G1" s="1251"/>
      <c r="H1" s="1251"/>
      <c r="I1" s="1251"/>
      <c r="J1" s="1251"/>
      <c r="K1" s="1251"/>
      <c r="L1" s="1251"/>
      <c r="M1" s="1251"/>
      <c r="N1" s="1252"/>
      <c r="O1" s="1253" t="s">
        <v>244</v>
      </c>
      <c r="P1" s="1239" t="s">
        <v>550</v>
      </c>
      <c r="Q1" s="1253"/>
      <c r="S1" s="1231"/>
      <c r="T1" s="1231"/>
      <c r="U1" s="1231"/>
    </row>
    <row r="2" spans="1:21" s="559" customFormat="1" ht="15.75" thickBot="1">
      <c r="A2" s="1237"/>
      <c r="B2" s="1237"/>
      <c r="C2" s="1241" t="s">
        <v>197</v>
      </c>
      <c r="D2" s="1242"/>
      <c r="E2" s="1242"/>
      <c r="F2" s="1242"/>
      <c r="G2" s="1243"/>
      <c r="H2" s="1244" t="s">
        <v>245</v>
      </c>
      <c r="I2" s="1234" t="s">
        <v>246</v>
      </c>
      <c r="J2" s="1234" t="s">
        <v>234</v>
      </c>
      <c r="K2" s="1234" t="s">
        <v>247</v>
      </c>
      <c r="L2" s="1234" t="s">
        <v>127</v>
      </c>
      <c r="M2" s="1234" t="s">
        <v>853</v>
      </c>
      <c r="N2" s="1246" t="s">
        <v>854</v>
      </c>
      <c r="O2" s="1254"/>
      <c r="P2" s="1256"/>
      <c r="Q2" s="1254"/>
      <c r="S2" s="1231"/>
      <c r="T2" s="1231"/>
      <c r="U2" s="1231"/>
    </row>
    <row r="3" spans="1:21" s="559" customFormat="1" ht="53.45" customHeight="1" thickBot="1">
      <c r="A3" s="1238"/>
      <c r="B3" s="1240"/>
      <c r="C3" s="560" t="s">
        <v>199</v>
      </c>
      <c r="D3" s="1011" t="s">
        <v>200</v>
      </c>
      <c r="E3" s="561" t="s">
        <v>201</v>
      </c>
      <c r="F3" s="562" t="s">
        <v>203</v>
      </c>
      <c r="G3" s="563" t="s">
        <v>204</v>
      </c>
      <c r="H3" s="1245"/>
      <c r="I3" s="1235"/>
      <c r="J3" s="1235"/>
      <c r="K3" s="1235"/>
      <c r="L3" s="1235"/>
      <c r="M3" s="1235"/>
      <c r="N3" s="1247"/>
      <c r="O3" s="1255"/>
      <c r="P3" s="1240"/>
      <c r="Q3" s="1255"/>
      <c r="S3" s="1231"/>
      <c r="T3" s="1231"/>
      <c r="U3" s="1231"/>
    </row>
    <row r="4" spans="1:21" s="559" customFormat="1" ht="15.75" thickTop="1">
      <c r="A4" s="564" t="s">
        <v>249</v>
      </c>
      <c r="B4" s="565">
        <f>IF(ISERROR(kWh_wind_land),0,kWh_wind_land)</f>
        <v>0</v>
      </c>
      <c r="C4" s="1257"/>
      <c r="D4" s="1260"/>
      <c r="E4" s="1260"/>
      <c r="F4" s="1263"/>
      <c r="G4" s="1266"/>
      <c r="H4" s="1269"/>
      <c r="I4" s="1260"/>
      <c r="J4" s="1260"/>
      <c r="K4" s="1260"/>
      <c r="L4" s="1260"/>
      <c r="M4" s="1260"/>
      <c r="N4" s="1040"/>
      <c r="O4" s="566"/>
      <c r="P4" s="1272"/>
      <c r="Q4" s="1273"/>
      <c r="S4" s="1007"/>
      <c r="T4" s="1274"/>
      <c r="U4" s="1274"/>
    </row>
    <row r="5" spans="1:21" s="559" customFormat="1">
      <c r="A5" s="567" t="s">
        <v>250</v>
      </c>
      <c r="B5" s="565">
        <f>IF(ISERROR(kWh_waterkracht),0,kWh_waterkracht)</f>
        <v>0</v>
      </c>
      <c r="C5" s="1258"/>
      <c r="D5" s="1261"/>
      <c r="E5" s="1261"/>
      <c r="F5" s="1264"/>
      <c r="G5" s="1267"/>
      <c r="H5" s="1270"/>
      <c r="I5" s="1261"/>
      <c r="J5" s="1261"/>
      <c r="K5" s="1261"/>
      <c r="L5" s="1261"/>
      <c r="M5" s="1261"/>
      <c r="N5" s="1040"/>
      <c r="O5" s="568"/>
      <c r="P5" s="1232"/>
      <c r="Q5" s="1233"/>
      <c r="S5" s="1007"/>
      <c r="T5" s="1274"/>
      <c r="U5" s="1274"/>
    </row>
    <row r="6" spans="1:21" s="559" customFormat="1">
      <c r="A6" s="567" t="s">
        <v>251</v>
      </c>
      <c r="B6" s="565">
        <f>IF(ISERROR((kWh_PV_kleiner_dan_10kW+kWh_PV_groter_dan_10kW)),0,(kWh_PV_kleiner_dan_10kW+kWh_PV_groter_dan_10kW))</f>
        <v>6941.8987989431389</v>
      </c>
      <c r="C6" s="1258"/>
      <c r="D6" s="1261"/>
      <c r="E6" s="1261"/>
      <c r="F6" s="1264"/>
      <c r="G6" s="1267"/>
      <c r="H6" s="1270"/>
      <c r="I6" s="1261"/>
      <c r="J6" s="1261"/>
      <c r="K6" s="1261"/>
      <c r="L6" s="1261"/>
      <c r="M6" s="1261"/>
      <c r="N6" s="1040"/>
      <c r="O6" s="568"/>
      <c r="P6" s="1232"/>
      <c r="Q6" s="1233"/>
      <c r="S6" s="1007"/>
      <c r="T6" s="1274"/>
      <c r="U6" s="1274"/>
    </row>
    <row r="7" spans="1:21" s="559" customFormat="1">
      <c r="A7" s="567" t="s">
        <v>851</v>
      </c>
      <c r="B7" s="565"/>
      <c r="C7" s="1259"/>
      <c r="D7" s="1262"/>
      <c r="E7" s="1262"/>
      <c r="F7" s="1265"/>
      <c r="G7" s="1268"/>
      <c r="H7" s="1271"/>
      <c r="I7" s="1262"/>
      <c r="J7" s="1262"/>
      <c r="K7" s="1262"/>
      <c r="L7" s="1262"/>
      <c r="M7" s="1262"/>
      <c r="N7" s="1041"/>
      <c r="O7" s="568"/>
      <c r="P7" s="1008"/>
      <c r="Q7" s="1009"/>
      <c r="S7" s="1007"/>
      <c r="T7" s="1007"/>
      <c r="U7" s="1007"/>
    </row>
    <row r="8" spans="1:21" s="559" customFormat="1">
      <c r="A8" s="569" t="s">
        <v>252</v>
      </c>
      <c r="B8" s="1042">
        <f>N58</f>
        <v>643.49999999999989</v>
      </c>
      <c r="C8" s="570">
        <f>B101</f>
        <v>756.3395765472311</v>
      </c>
      <c r="D8" s="1043"/>
      <c r="E8" s="1043">
        <f>E101</f>
        <v>0</v>
      </c>
      <c r="F8" s="1044"/>
      <c r="G8" s="571"/>
      <c r="H8" s="1043">
        <f>I101</f>
        <v>0</v>
      </c>
      <c r="I8" s="1043">
        <f>G101+F101</f>
        <v>0</v>
      </c>
      <c r="J8" s="1043">
        <f>H101+D101+C101</f>
        <v>0</v>
      </c>
      <c r="K8" s="1043"/>
      <c r="L8" s="1043"/>
      <c r="M8" s="1043"/>
      <c r="N8" s="572"/>
      <c r="O8" s="573">
        <f>C8*$C$12+D8*$D$12+E8*$E$12+F8*$F$12+G8*$G$12+H8*$H$12+I8*$I$12+J8*$J$12</f>
        <v>152.78059446254071</v>
      </c>
      <c r="P8" s="1232"/>
      <c r="Q8" s="1233"/>
      <c r="S8" s="1007"/>
      <c r="T8" s="1274"/>
      <c r="U8" s="1274"/>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75"/>
      <c r="Q9" s="1276"/>
      <c r="R9" s="580"/>
      <c r="S9" s="1007"/>
      <c r="T9" s="1274"/>
      <c r="U9" s="1274"/>
    </row>
    <row r="10" spans="1:21" s="559" customFormat="1" ht="16.5" thickTop="1" thickBot="1">
      <c r="A10" s="581" t="s">
        <v>116</v>
      </c>
      <c r="B10" s="582">
        <f>SUM(B4:B9)</f>
        <v>7585.3987989431389</v>
      </c>
      <c r="C10" s="583">
        <f t="shared" ref="C10:L10" si="0">SUM(C8:C9)</f>
        <v>756.3395765472311</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152.78059446254071</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36" t="s">
        <v>253</v>
      </c>
      <c r="B14" s="1236" t="s">
        <v>254</v>
      </c>
      <c r="C14" s="1277" t="s">
        <v>255</v>
      </c>
      <c r="D14" s="1278"/>
      <c r="E14" s="1278"/>
      <c r="F14" s="1278"/>
      <c r="G14" s="1278"/>
      <c r="H14" s="1278"/>
      <c r="I14" s="1278"/>
      <c r="J14" s="1278"/>
      <c r="K14" s="1278"/>
      <c r="L14" s="1278"/>
      <c r="M14" s="1278"/>
      <c r="N14" s="1279"/>
      <c r="O14" s="1253" t="s">
        <v>244</v>
      </c>
      <c r="P14" s="1239" t="s">
        <v>256</v>
      </c>
      <c r="Q14" s="1253"/>
      <c r="R14" s="1231"/>
      <c r="S14" s="1231"/>
      <c r="T14" s="1231"/>
    </row>
    <row r="15" spans="1:21" s="559" customFormat="1" ht="15.75" customHeight="1" thickBot="1">
      <c r="A15" s="1237"/>
      <c r="B15" s="1237"/>
      <c r="C15" s="1280" t="s">
        <v>197</v>
      </c>
      <c r="D15" s="1281"/>
      <c r="E15" s="1281"/>
      <c r="F15" s="1281"/>
      <c r="G15" s="1282"/>
      <c r="H15" s="1283" t="s">
        <v>245</v>
      </c>
      <c r="I15" s="1283" t="s">
        <v>246</v>
      </c>
      <c r="J15" s="1283" t="s">
        <v>234</v>
      </c>
      <c r="K15" s="1283" t="s">
        <v>257</v>
      </c>
      <c r="L15" s="1283" t="s">
        <v>127</v>
      </c>
      <c r="M15" s="1283" t="s">
        <v>853</v>
      </c>
      <c r="N15" s="1246" t="s">
        <v>854</v>
      </c>
      <c r="O15" s="1254"/>
      <c r="P15" s="1256"/>
      <c r="Q15" s="1254"/>
      <c r="R15" s="1231"/>
      <c r="S15" s="1231"/>
      <c r="T15" s="1231"/>
    </row>
    <row r="16" spans="1:21" s="559" customFormat="1" ht="40.700000000000003" customHeight="1" thickBot="1">
      <c r="A16" s="1238"/>
      <c r="B16" s="1238"/>
      <c r="C16" s="591" t="s">
        <v>199</v>
      </c>
      <c r="D16" s="1011" t="s">
        <v>200</v>
      </c>
      <c r="E16" s="1010" t="s">
        <v>201</v>
      </c>
      <c r="F16" s="1011" t="s">
        <v>203</v>
      </c>
      <c r="G16" s="592" t="s">
        <v>204</v>
      </c>
      <c r="H16" s="1245"/>
      <c r="I16" s="1245"/>
      <c r="J16" s="1245"/>
      <c r="K16" s="1245"/>
      <c r="L16" s="1245"/>
      <c r="M16" s="1245"/>
      <c r="N16" s="1247"/>
      <c r="O16" s="1255"/>
      <c r="P16" s="1240"/>
      <c r="Q16" s="1255"/>
      <c r="R16" s="1231"/>
      <c r="S16" s="1231"/>
      <c r="T16" s="1231"/>
    </row>
    <row r="17" spans="1:26" s="559" customFormat="1" ht="15.75" thickTop="1">
      <c r="A17" s="593" t="s">
        <v>252</v>
      </c>
      <c r="B17" s="594">
        <f>O58</f>
        <v>935.35714285714266</v>
      </c>
      <c r="C17" s="595">
        <f>B102</f>
        <v>1099.3747091670543</v>
      </c>
      <c r="D17" s="596"/>
      <c r="E17" s="596">
        <f>E102</f>
        <v>0</v>
      </c>
      <c r="F17" s="1049"/>
      <c r="G17" s="597"/>
      <c r="H17" s="595">
        <f>I102</f>
        <v>0</v>
      </c>
      <c r="I17" s="596">
        <f>G102+F102</f>
        <v>0</v>
      </c>
      <c r="J17" s="596">
        <f>H102+D102+C102</f>
        <v>0</v>
      </c>
      <c r="K17" s="596"/>
      <c r="L17" s="596"/>
      <c r="M17" s="596"/>
      <c r="N17" s="1050"/>
      <c r="O17" s="598">
        <f>C17*$C$22+E17*$E$22+H17*$H$22+I17*$I$22+J17*$J$22+D17*$D$22+F17*$F$22+G17*$G$22+K17*$K$22+L17*$L$22</f>
        <v>222.073691251745</v>
      </c>
      <c r="P17" s="1248"/>
      <c r="Q17" s="1249"/>
      <c r="R17" s="1006"/>
      <c r="S17" s="1287"/>
      <c r="T17" s="1287"/>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88"/>
      <c r="Q18" s="1289"/>
      <c r="R18" s="1007"/>
      <c r="S18" s="1274"/>
      <c r="T18" s="1274"/>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90"/>
      <c r="Q19" s="1291"/>
      <c r="R19" s="1007"/>
      <c r="S19" s="1274"/>
      <c r="T19" s="1274"/>
    </row>
    <row r="20" spans="1:26" s="559" customFormat="1" ht="16.5" thickTop="1" thickBot="1">
      <c r="A20" s="581" t="s">
        <v>116</v>
      </c>
      <c r="B20" s="582">
        <f>SUM(B17:B19)</f>
        <v>935.35714285714266</v>
      </c>
      <c r="C20" s="582">
        <f>SUM(C17:C19)</f>
        <v>1099.3747091670543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222.073691251745</v>
      </c>
      <c r="P20" s="1284"/>
      <c r="Q20" s="1285"/>
      <c r="R20" s="1007"/>
      <c r="S20" s="1286"/>
      <c r="T20" s="1286"/>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45041</v>
      </c>
      <c r="C28" s="796">
        <v>9600</v>
      </c>
      <c r="D28" s="653" t="s">
        <v>887</v>
      </c>
      <c r="E28" s="652" t="s">
        <v>888</v>
      </c>
      <c r="F28" s="652" t="s">
        <v>889</v>
      </c>
      <c r="G28" s="652" t="s">
        <v>890</v>
      </c>
      <c r="H28" s="652" t="s">
        <v>890</v>
      </c>
      <c r="I28" s="652" t="s">
        <v>891</v>
      </c>
      <c r="J28" s="795">
        <v>41031</v>
      </c>
      <c r="K28" s="795">
        <v>41091</v>
      </c>
      <c r="L28" s="652" t="s">
        <v>892</v>
      </c>
      <c r="M28" s="652">
        <v>1</v>
      </c>
      <c r="N28" s="652">
        <v>4.5</v>
      </c>
      <c r="O28" s="652">
        <v>22.5</v>
      </c>
      <c r="P28" s="652">
        <v>30</v>
      </c>
      <c r="Q28" s="652">
        <v>0</v>
      </c>
      <c r="R28" s="652">
        <v>0</v>
      </c>
      <c r="S28" s="652">
        <v>0</v>
      </c>
      <c r="T28" s="652">
        <v>0</v>
      </c>
      <c r="U28" s="652">
        <v>0</v>
      </c>
      <c r="V28" s="652">
        <v>0</v>
      </c>
      <c r="W28" s="652">
        <v>0</v>
      </c>
      <c r="X28" s="652">
        <v>1300</v>
      </c>
      <c r="Y28" s="652" t="s">
        <v>54</v>
      </c>
      <c r="Z28" s="654" t="s">
        <v>156</v>
      </c>
    </row>
    <row r="29" spans="1:26" s="606" customFormat="1" ht="51">
      <c r="A29" s="605"/>
      <c r="B29" s="796">
        <v>45041</v>
      </c>
      <c r="C29" s="796">
        <v>9600</v>
      </c>
      <c r="D29" s="653" t="s">
        <v>893</v>
      </c>
      <c r="E29" s="652" t="s">
        <v>894</v>
      </c>
      <c r="F29" s="652" t="s">
        <v>895</v>
      </c>
      <c r="G29" s="652" t="s">
        <v>896</v>
      </c>
      <c r="H29" s="652" t="s">
        <v>897</v>
      </c>
      <c r="I29" s="652" t="s">
        <v>898</v>
      </c>
      <c r="J29" s="795">
        <v>41151</v>
      </c>
      <c r="K29" s="795">
        <v>41585</v>
      </c>
      <c r="L29" s="652" t="s">
        <v>892</v>
      </c>
      <c r="M29" s="652">
        <v>142</v>
      </c>
      <c r="N29" s="652">
        <v>638.99999999999989</v>
      </c>
      <c r="O29" s="652">
        <v>912.85714285714266</v>
      </c>
      <c r="P29" s="652">
        <v>1825.7142857142856</v>
      </c>
      <c r="Q29" s="652">
        <v>0</v>
      </c>
      <c r="R29" s="652">
        <v>0</v>
      </c>
      <c r="S29" s="652">
        <v>0</v>
      </c>
      <c r="T29" s="652">
        <v>0</v>
      </c>
      <c r="U29" s="652">
        <v>0</v>
      </c>
      <c r="V29" s="652">
        <v>0</v>
      </c>
      <c r="W29" s="652">
        <v>0</v>
      </c>
      <c r="X29" s="652">
        <v>1500</v>
      </c>
      <c r="Y29" s="652" t="s">
        <v>51</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143</v>
      </c>
      <c r="N58" s="610">
        <f>SUM(N28:N57)</f>
        <v>643.49999999999989</v>
      </c>
      <c r="O58" s="610">
        <f t="shared" ref="O58:W58" si="2">SUM(O28:O57)</f>
        <v>935.35714285714266</v>
      </c>
      <c r="P58" s="610">
        <f t="shared" si="2"/>
        <v>1855.7142857142856</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143</v>
      </c>
      <c r="N60" s="610">
        <f ca="1">SUMIF($Z$28:AD57,"tertiair",N28:N57)</f>
        <v>643.49999999999989</v>
      </c>
      <c r="O60" s="610">
        <f ca="1">SUMIF($Z$28:AE57,"tertiair",O28:O57)</f>
        <v>935.35714285714266</v>
      </c>
      <c r="P60" s="610">
        <f ca="1">SUMIF($Z$28:AF57,"tertiair",P28:P57)</f>
        <v>1855.7142857142856</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0.59242671009771986</v>
      </c>
      <c r="C98" s="635">
        <f>IF(ISERROR(N58/(O58+N58)),0,N58/(N58+O58))</f>
        <v>0.40757328990228009</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756.3395765472311</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1099.3747091670543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N15:N16"/>
    <mergeCell ref="P17:Q17"/>
    <mergeCell ref="C1:N1"/>
    <mergeCell ref="O1:O3"/>
    <mergeCell ref="P1:Q3"/>
    <mergeCell ref="P9:Q9"/>
    <mergeCell ref="S1:S3"/>
    <mergeCell ref="P5:Q5"/>
    <mergeCell ref="L2:L3"/>
    <mergeCell ref="A1:A3"/>
    <mergeCell ref="B1:B3"/>
    <mergeCell ref="C2:G2"/>
    <mergeCell ref="H2:H3"/>
    <mergeCell ref="I2:I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6" sqref="C1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c r="B17" s="915"/>
      <c r="C17" s="915"/>
      <c r="D17" s="943"/>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2019-06-29T16:58:07Z</dcterms:modified>
</cp:coreProperties>
</file>