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O4"/>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O22" i="48"/>
  <c r="C20" i="14"/>
  <c r="B9" i="48"/>
  <c r="K23"/>
  <c r="K33" s="1"/>
  <c r="K15"/>
  <c r="F4"/>
  <c r="F22" s="1"/>
  <c r="G11" i="14"/>
  <c r="I5" i="48"/>
  <c r="J10" i="14"/>
  <c r="J16" s="1"/>
  <c r="J27" s="1"/>
  <c r="C22"/>
  <c r="M12" i="22"/>
  <c r="M13" i="48"/>
  <c r="M31" s="1"/>
  <c r="N18" i="14"/>
  <c r="G13" i="48"/>
  <c r="H18" i="14"/>
  <c r="H13" i="48"/>
  <c r="H31" s="1"/>
  <c r="I18" i="14"/>
  <c r="P8" i="48"/>
  <c r="P26" s="1"/>
  <c r="Q13" i="14"/>
  <c r="F20"/>
  <c r="F22" s="1"/>
  <c r="E9" i="48"/>
  <c r="E27" s="1"/>
  <c r="P15"/>
  <c r="P22"/>
  <c r="P33" s="1"/>
  <c r="J12" i="17"/>
  <c r="K54" i="14" s="1"/>
  <c r="K56" s="1"/>
  <c r="Q16"/>
  <c r="Q27" s="1"/>
  <c r="Q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H20"/>
  <c r="G9" i="48"/>
  <c r="I20" i="14"/>
  <c r="H9" i="48"/>
  <c r="G31"/>
  <c r="Q13"/>
  <c r="M10"/>
  <c r="M28" s="1"/>
  <c r="N19" i="14"/>
  <c r="H22"/>
  <c r="H27" s="1"/>
  <c r="R18"/>
  <c r="I23" i="48"/>
  <c r="I33" s="1"/>
  <c r="I15"/>
  <c r="G10"/>
  <c r="H19" i="14"/>
  <c r="R19" s="1"/>
  <c r="J4" i="48"/>
  <c r="K11" i="14"/>
  <c r="F24"/>
  <c r="F26" s="1"/>
  <c r="E7" i="48"/>
  <c r="E25" s="1"/>
  <c r="O22" i="16"/>
  <c r="P43" i="14" s="1"/>
  <c r="P46" s="1"/>
  <c r="P61" s="1"/>
  <c r="P63" s="1"/>
  <c r="O8" i="48"/>
  <c r="P13" i="14"/>
  <c r="P16" s="1"/>
  <c r="P27" s="1"/>
  <c r="J63"/>
  <c r="I22"/>
  <c r="I27" s="1"/>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R20"/>
  <c r="N20"/>
  <c r="N22" s="1"/>
  <c r="N27" s="1"/>
  <c r="M9" i="48"/>
  <c r="F10" i="14"/>
  <c r="E5" i="48"/>
  <c r="E23" s="1"/>
  <c r="G27"/>
  <c r="G15"/>
  <c r="J5"/>
  <c r="J23" s="1"/>
  <c r="K10" i="14"/>
  <c r="O26" i="48"/>
  <c r="O33" s="1"/>
  <c r="O15"/>
  <c r="H27"/>
  <c r="H33" s="1"/>
  <c r="H15"/>
  <c r="G28"/>
  <c r="Q10"/>
  <c r="J22"/>
  <c r="E22"/>
  <c r="Q4"/>
  <c r="I63" i="14"/>
  <c r="R22"/>
  <c r="Q9" i="48"/>
  <c r="R24" i="14"/>
  <c r="R26" s="1"/>
  <c r="M18" i="22"/>
  <c r="N50" i="14" s="1"/>
  <c r="R11"/>
  <c r="Q7" i="48"/>
  <c r="E20" i="15"/>
  <c r="F40" i="14" s="1"/>
  <c r="J18" i="16"/>
  <c r="E18"/>
  <c r="F18"/>
  <c r="F22" s="1"/>
  <c r="G43" i="14" s="1"/>
  <c r="N18" i="16"/>
  <c r="G18" i="22"/>
  <c r="H50" i="14" s="1"/>
  <c r="H52" s="1"/>
  <c r="H61" s="1"/>
  <c r="H63" s="1"/>
  <c r="H18" i="22"/>
  <c r="I50" i="14" s="1"/>
  <c r="I52" s="1"/>
  <c r="I61" s="1"/>
  <c r="J22" i="16" l="1"/>
  <c r="K43" i="14" s="1"/>
  <c r="K46" s="1"/>
  <c r="K61" s="1"/>
  <c r="K63" s="1"/>
  <c r="J8" i="48"/>
  <c r="K13" i="14"/>
  <c r="E8" i="48"/>
  <c r="E26" s="1"/>
  <c r="F13" i="14"/>
  <c r="M27" i="48"/>
  <c r="M33" s="1"/>
  <c r="M15"/>
  <c r="F46" i="14"/>
  <c r="F61" s="1"/>
  <c r="G33" i="48"/>
  <c r="K16" i="14"/>
  <c r="K27" s="1"/>
  <c r="E33" i="48"/>
  <c r="E22" i="16"/>
  <c r="F43" i="14" s="1"/>
  <c r="E15" i="48"/>
  <c r="F16" i="14"/>
  <c r="F27" s="1"/>
  <c r="N8" i="48"/>
  <c r="N26" s="1"/>
  <c r="O13" i="14"/>
  <c r="N22" i="16"/>
  <c r="O43" i="14" s="1"/>
  <c r="G13"/>
  <c r="F8" i="48"/>
  <c r="J26" l="1"/>
  <c r="J33" s="1"/>
  <c r="J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<sst xmlns="http://schemas.openxmlformats.org/spreadsheetml/2006/main" count="2389" uniqueCount="887">
  <si>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</si>
  <si>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</si>
  <si>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</si>
  <si>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</si>
  <si>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</si>
  <si>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</si>
  <si>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</si>
  <si>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</si>
  <si>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</si>
  <si>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</si>
  <si>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</si>
  <si>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</si>
  <si>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</si>
  <si>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</si>
  <si>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</si>
  <si>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</si>
  <si>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</si>
  <si>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</si>
  <si>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</si>
  <si>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</si>
  <si>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</si>
  <si>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</si>
  <si>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</si>
  <si>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</si>
  <si>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</si>
  <si>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</si>
  <si>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</si>
  <si>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</si>
  <si>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</si>
  <si>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</si>
  <si>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</si>
  <si>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</si>
  <si>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</si>
  <si>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</si>
  <si>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</si>
  <si>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</si>
  <si>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</si>
  <si>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</si>
  <si>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</si>
  <si>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</si>
  <si>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</si>
  <si>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</si>
  <si>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</si>
  <si>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</si>
  <si>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</si>
  <si>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</si>
  <si>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</si>
  <si>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</si>
  <si>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</si>
  <si>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</si>
  <si>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</si>
  <si>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</si>
  <si>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</si>
  <si>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</si>
  <si>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</si>
  <si>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</si>
  <si>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</si>
  <si>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</si>
  <si>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</si>
  <si>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</si>
  <si>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</si>
  <si>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</si>
  <si>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</si>
  <si>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</si>
  <si>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</si>
  <si>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</si>
  <si>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</si>
  <si>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</si>
  <si>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</si>
  <si>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</si>
  <si>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</si>
  <si>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</si>
  <si>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</si>
  <si>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</si>
  <si>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</si>
  <si>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</si>
  <si>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</si>
  <si>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</si>
  <si>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</si>
  <si>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</si>
  <si>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</si>
  <si>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</si>
  <si>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</si>
  <si>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</si>
  <si>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</si>
  <si>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</si>
  <si>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</si>
  <si>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</si>
  <si>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</si>
  <si>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</si>
  <si>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</si>
  <si>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</si>
  <si>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</si>
  <si>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</si>
  <si>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</si>
  <si>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</si>
  <si>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</si>
  <si>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</si>
  <si>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</si>
  <si>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</si>
  <si>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</si>
  <si>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</si>
  <si>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</si>
  <si>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</si>
  <si>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</si>
  <si>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</si>
  <si>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</si>
  <si>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</si>
  <si>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</si>
  <si>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</si>
  <si>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</si>
  <si>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</si>
  <si>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</si>
  <si>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</si>
  <si>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</si>
  <si>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</si>
  <si>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</si>
  <si>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</si>
  <si>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</si>
  <si>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</si>
  <si>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</si>
  <si>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</si>
  <si>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</si>
  <si>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</si>
  <si>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</si>
  <si>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</si>
  <si>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</si>
  <si>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</si>
  <si>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</si>
  <si>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</si>
  <si>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</si>
  <si>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</si>
  <si>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</si>
  <si>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</si>
  <si>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</si>
  <si>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</si>
  <si>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</si>
  <si>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</si>
  <si>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</si>
  <si>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</si>
  <si>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</si>
  <si>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</si>
  <si>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</si>
  <si>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</si>
  <si>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</si>
  <si>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</si>
  <si>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</si>
  <si>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</si>
  <si>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</si>
  <si>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</si>
  <si>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</si>
  <si>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</si>
  <si>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</si>
  <si>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</si>
  <si>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</si>
  <si>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</si>
  <si>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</si>
  <si>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</si>
  <si>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</si>
  <si>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</si>
  <si>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</si>
  <si>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</si>
  <si>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</si>
  <si>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</si>
  <si>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</si>
  <si>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</si>
  <si>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</si>
  <si>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</si>
  <si>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</si>
  <si>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</si>
  <si>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</si>
  <si>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</si>
  <si>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</si>
  <si>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</si>
  <si>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</si>
  <si>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</si>
  <si>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</si>
  <si>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</si>
  <si>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</si>
  <si>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</si>
  <si>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</si>
  <si>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</si>
  <si>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</si>
  <si>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</si>
  <si>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</si>
  <si>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</si>
  <si>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</si>
  <si>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</si>
  <si>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</si>
  <si>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</si>
  <si>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</si>
  <si>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</si>
  <si>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</si>
  <si>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</si>
  <si>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</si>
  <si>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</si>
  <si>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</si>
  <si>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</si>
  <si>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</si>
  <si>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</si>
  <si>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</si>
  <si>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</si>
  <si>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</si>
  <si>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</si>
  <si>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</si>
  <si>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</si>
  <si>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</si>
  <si>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</si>
  <si>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</si>
  <si>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</si>
  <si>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</si>
  <si>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</si>
  <si>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</si>
  <si>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</si>
  <si>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</si>
  <si>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</si>
  <si>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</si>
  <si>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</si>
  <si>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</si>
  <si>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</si>
  <si>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</si>
  <si>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</si>
  <si>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</si>
  <si>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</si>
  <si>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</si>
  <si>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</si>
  <si>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</si>
  <si>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</si>
  <si>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</si>
  <si>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</si>
  <si>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</si>
  <si>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</si>
  <si>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</si>
  <si>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</si>
  <si>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</si>
  <si>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</si>
  <si>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</si>
  <si>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</si>
  <si>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</si>
  <si>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</si>
  <si>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</si>
  <si>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</si>
  <si>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</si>
  <si>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</si>
  <si>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</si>
  <si>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</si>
  <si>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</si>
  <si>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</si>
  <si>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</si>
  <si>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</si>
  <si>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</si>
  <si>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</si>
  <si>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</si>
  <si>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</si>
  <si>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</si>
  <si>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</si>
  <si>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</si>
  <si>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</si>
  <si>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</si>
  <si>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</si>
  <si>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</si>
  <si>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</si>
  <si>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</si>
  <si>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</si>
  <si>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</si>
  <si>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</si>
  <si>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</si>
  <si>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</si>
  <si>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</si>
  <si>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</si>
  <si>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</si>
  <si>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</si>
  <si>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</si>
  <si>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</si>
  <si>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</si>
  <si>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</si>
  <si>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</si>
  <si>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</si>
  <si>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</si>
  <si>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</si>
  <si>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</si>
  <si>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</si>
  <si>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</si>
  <si>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</si>
  <si>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</si>
  <si>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</si>
  <si>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</si>
  <si>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</si>
  <si>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</si>
  <si>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</si>
  <si>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</si>
  <si>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</si>
  <si>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</si>
  <si>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</si>
  <si>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</si>
  <si>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</si>
  <si>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</si>
  <si>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</si>
  <si>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</si>
  <si>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</si>
  <si>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</si>
  <si>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</si>
  <si>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</si>
  <si>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</si>
  <si>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</si>
  <si>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</si>
  <si>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</si>
  <si>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</si>
  <si>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</si>
  <si>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</si>
  <si>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</si>
  <si>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</si>
  <si>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</si>
  <si>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</si>
  <si>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</si>
  <si>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</si>
  <si>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</si>
  <si>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</si>
  <si>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</si>
  <si>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</si>
  <si>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</si>
  <si>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</si>
  <si>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</si>
  <si>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</si>
  <si>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</si>
  <si>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</si>
  <si>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</si>
  <si>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</si>
  <si>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</si>
  <si>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</si>
  <si>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</si>
  <si>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</si>
  <si>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</si>
  <si>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</si>
  <si>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</si>
  <si>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</si>
  <si>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</si>
  <si>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</si>
  <si>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</si>
  <si>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</si>
  <si>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</si>
  <si>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</si>
  <si>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</si>
  <si>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</si>
  <si>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</si>
  <si>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</si>
  <si>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</si>
  <si>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</si>
  <si>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</si>
  <si>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</si>
  <si>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</si>
  <si>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</si>
  <si>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</si>
  <si>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</si>
  <si>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</si>
  <si>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</si>
  <si>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</si>
  <si>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</si>
  <si>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</si>
  <si>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</si>
  <si>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</si>
  <si>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</si>
  <si>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</si>
  <si>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</si>
  <si>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</si>
  <si>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</si>
  <si>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</si>
  <si>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</si>
  <si>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</si>
  <si>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</si>
  <si>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</si>
  <si>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</si>
  <si>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</si>
  <si>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</si>
  <si>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</si>
  <si>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</si>
  <si>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</si>
  <si>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</si>
  <si>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</si>
  <si>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</si>
  <si>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</si>
  <si>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</si>
  <si>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</si>
  <si>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</si>
  <si>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</si>
  <si>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</si>
  <si>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</si>
  <si>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</si>
  <si>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</si>
  <si>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</si>
  <si>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</si>
  <si>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</si>
  <si>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</si>
  <si>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</si>
  <si>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</si>
  <si>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</si>
  <si>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</si>
  <si>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</si>
  <si>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</si>
  <si>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</si>
  <si>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</si>
  <si>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</si>
  <si>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</si>
  <si>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</si>
  <si>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</si>
  <si>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</si>
  <si>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</si>
  <si>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</si>
  <si>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</si>
  <si>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</si>
  <si>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</si>
  <si>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</si>
  <si>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</si>
  <si>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</si>
  <si>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</si>
  <si>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</si>
  <si>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</si>
  <si>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</si>
  <si>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</si>
  <si>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</si>
  <si>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</si>
  <si>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</si>
  <si>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</si>
  <si>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</si>
  <si>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</si>
  <si>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</si>
  <si>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</si>
  <si>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</si>
  <si>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</si>
  <si>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</si>
  <si>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</si>
  <si>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</si>
  <si>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</si>
  <si>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</si>
  <si>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</si>
  <si>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</si>
  <si>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</si>
  <si>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</si>
  <si>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</si>
  <si>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</si>
  <si>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</si>
  <si>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</si>
  <si>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</si>
  <si>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</si>
  <si>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</si>
  <si>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</si>
  <si>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</si>
  <si>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</si>
  <si>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</si>
  <si>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</si>
  <si>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</si>
  <si>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</si>
  <si>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</si>
  <si>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</si>
  <si>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</si>
  <si>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</si>
  <si>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</si>
  <si>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</si>
  <si>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</si>
  <si>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</si>
  <si>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</si>
  <si>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</si>
  <si>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</si>
  <si>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</si>
  <si>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</si>
  <si>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</si>
  <si>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</si>
  <si>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</si>
  <si>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</si>
  <si>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</si>
  <si>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</si>
  <si>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</si>
  <si>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</si>
  <si>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</si>
  <si>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</si>
  <si>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</si>
  <si>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</si>
  <si>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</si>
  <si>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</si>
  <si>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</si>
  <si>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</si>
  <si>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</si>
  <si>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</si>
  <si>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</si>
  <si>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</si>
  <si>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</si>
  <si>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</si>
  <si>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</si>
  <si>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</si>
  <si>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</si>
  <si>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</si>
  <si>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</si>
  <si>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</si>
  <si>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</si>
  <si>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</si>
  <si>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</si>
  <si>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</si>
  <si>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</si>
  <si>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</si>
  <si>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</si>
  <si>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</si>
  <si>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</si>
  <si>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</si>
  <si>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</si>
  <si>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</si>
  <si>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</si>
  <si>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</si>
  <si>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</si>
  <si>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</si>
  <si>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</si>
  <si>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</si>
  <si>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</si>
  <si>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</si>
  <si>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</si>
  <si>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</si>
  <si>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</si>
  <si>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</si>
  <si>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</si>
  <si>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</si>
  <si>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</si>
  <si>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</si>
  <si>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</si>
  <si>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</si>
  <si>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</si>
  <si>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</si>
  <si>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</si>
  <si>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</si>
  <si>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</si>
  <si>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</si>
  <si>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</si>
  <si>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</si>
  <si>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</si>
  <si>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</si>
  <si>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</si>
  <si>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</si>
  <si>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</si>
  <si>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</si>
  <si>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</si>
  <si>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</si>
  <si>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</si>
  <si>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</si>
  <si>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</si>
  <si>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</si>
  <si>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</si>
  <si>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</si>
  <si>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</si>
  <si>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</si>
  <si>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</si>
  <si>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</si>
  <si>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</si>
  <si>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</si>
  <si>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</si>
  <si>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</si>
  <si>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</si>
  <si>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</si>
  <si>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</si>
  <si>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</si>
  <si>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</si>
  <si>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</si>
  <si>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</si>
  <si>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</si>
  <si>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</si>
  <si>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</si>
  <si>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</si>
  <si>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</si>
  <si>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</si>
  <si>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</si>
  <si>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</si>
  <si>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</si>
  <si>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</si>
  <si>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</si>
  <si>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</si>
  <si>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</si>
  <si>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</si>
  <si>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</si>
  <si>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</si>
  <si>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</si>
  <si>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</si>
  <si>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</si>
  <si>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</si>
  <si>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</si>
  <si>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</si>
  <si>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</si>
  <si>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</si>
  <si>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</si>
  <si>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</si>
  <si>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</si>
  <si>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</si>
  <si>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</si>
  <si>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</si>
  <si>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</si>
  <si>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</si>
  <si>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</si>
  <si>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</si>
  <si>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</si>
  <si>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</si>
  <si>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</si>
  <si>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</si>
  <si>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</si>
  <si>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</si>
  <si>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</si>
  <si>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</si>
  <si>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</si>
  <si>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</si>
  <si>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</si>
  <si>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</si>
  <si>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</si>
  <si>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</si>
  <si>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</si>
  <si>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</si>
  <si>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</si>
  <si>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</si>
  <si>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</si>
  <si>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</si>
  <si>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</si>
  <si>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</si>
  <si>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</si>
  <si>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</si>
  <si>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</si>
  <si>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</si>
  <si>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</si>
  <si>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</si>
  <si>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</si>
  <si>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</si>
  <si>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</si>
  <si>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</si>
  <si>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</si>
  <si>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</si>
  <si>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</si>
  <si>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</si>
  <si>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</si>
  <si>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</si>
  <si>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</si>
  <si>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</si>
  <si>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</si>
  <si>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</si>
  <si>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</si>
  <si>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</si>
  <si>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</si>
  <si>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</si>
  <si>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</si>
  <si>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</si>
  <si>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</si>
  <si>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</si>
  <si>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</si>
  <si>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</si>
  <si>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</si>
  <si>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</si>
  <si>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</si>
  <si>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</si>
  <si>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</si>
  <si>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</si>
  <si>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</si>
  <si>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</si>
  <si>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</si>
  <si>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</si>
  <si>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</si>
  <si>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</si>
  <si>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</si>
  <si>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</si>
  <si>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</si>
  <si>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</si>
  <si>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</si>
  <si>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</si>
  <si>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</si>
  <si>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</si>
  <si>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</si>
  <si>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</si>
  <si>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</si>
  <si>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</si>
  <si>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</si>
  <si>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</si>
  <si>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</si>
  <si>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</si>
  <si>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</si>
  <si>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</si>
  <si>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</si>
  <si>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</si>
  <si>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</si>
  <si>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</si>
  <si>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</si>
  <si>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</si>
  <si>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</si>
  <si>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</si>
  <si>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</si>
  <si>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</si>
  <si>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</si>
  <si>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</si>
  <si>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</si>
  <si>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</si>
  <si>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</si>
  <si>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</si>
  <si>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</si>
  <si>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</si>
  <si>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</si>
  <si>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</si>
  <si>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</si>
  <si>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</si>
  <si>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</si>
  <si>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</si>
  <si>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</si>
  <si>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</si>
  <si>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</si>
  <si>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</si>
  <si>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</si>
  <si>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</si>
  <si>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</si>
  <si>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</si>
  <si>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</si>
  <si>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</si>
  <si>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</si>
  <si>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</si>
  <si>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</si>
  <si>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</si>
  <si>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</si>
  <si>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</si>
  <si>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</si>
  <si>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</si>
  <si>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</si>
  <si>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</si>
  <si>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</si>
  <si>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</si>
  <si>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</si>
  <si>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</si>
  <si>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</si>
  <si>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</si>
  <si>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</si>
  <si>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</si>
  <si>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</si>
  <si>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</si>
  <si>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</si>
  <si>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</si>
  <si>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</si>
  <si>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</si>
  <si>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</si>
  <si>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</si>
  <si>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</si>
  <si>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</si>
  <si>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</si>
  <si>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</si>
  <si>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</si>
  <si>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</si>
  <si>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</si>
  <si>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</si>
  <si>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</si>
  <si>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</si>
  <si>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</si>
  <si>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</si>
  <si>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</si>
  <si>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</si>
  <si>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</si>
  <si>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</si>
  <si>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</si>
  <si>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</si>
  <si>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</si>
  <si>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</si>
  <si>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</si>
  <si>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</si>
  <si>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</si>
  <si>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</si>
  <si>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</si>
  <si>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</si>
  <si>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</si>
  <si>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</si>
  <si>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</si>
  <si>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</si>
  <si>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</si>
  <si>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</si>
  <si>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</si>
  <si>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</si>
  <si>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</si>
  <si>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</si>
  <si>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</si>
  <si>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</si>
  <si>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</si>
  <si>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</si>
  <si>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</si>
  <si>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</si>
  <si>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</si>
  <si>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</si>
  <si>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</si>
  <si>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</si>
  <si>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</si>
  <si>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</si>
  <si>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</si>
  <si>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</si>
  <si>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</si>
  <si>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</si>
  <si>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</si>
  <si>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</si>
  <si>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</si>
  <si>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</si>
  <si>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</si>
  <si>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</si>
  <si>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</si>
  <si>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</si>
  <si>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</si>
  <si>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</si>
  <si>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</si>
  <si>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</si>
  <si>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</si>
  <si>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</si>
  <si>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</si>
  <si>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</si>
  <si>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</si>
  <si>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</si>
  <si>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</si>
  <si>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</si>
  <si>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</si>
  <si>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</si>
  <si>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</si>
  <si>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</si>
  <si>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</si>
  <si>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</si>
  <si>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</si>
  <si>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</si>
  <si>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</si>
  <si>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</si>
  <si>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</si>
  <si>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</si>
  <si>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</si>
  <si>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</si>
  <si>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</si>
  <si>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</si>
  <si>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</si>
  <si>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</si>
  <si>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</si>
  <si>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</si>
  <si>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</si>
  <si>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</si>
  <si>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</si>
  <si>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</si>
  <si>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</si>
  <si>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</si>
  <si>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</si>
  <si>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</si>
  <si>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</si>
  <si>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</si>
  <si>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</si>
  <si>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</si>
  <si>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</si>
  <si>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</si>
  <si>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</si>
  <si>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</si>
  <si>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</si>
  <si>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</si>
  <si>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</si>
  <si>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</si>
  <si>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</si>
  <si>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</si>
  <si>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</si>
  <si>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</si>
  <si>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</si>
  <si>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</si>
  <si>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</si>
  <si>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</si>
  <si>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</si>
  <si>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</si>
  <si>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</si>
  <si>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</si>
  <si>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</si>
  <si>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</si>
  <si>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</si>
  <si>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</si>
  <si>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</si>
  <si>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</si>
  <si>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</si>
  <si>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</si>
  <si>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</si>
  <si>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</si>
  <si>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</si>
  <si>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</si>
  <si>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</si>
  <si>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</si>
  <si>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</si>
  <si>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</si>
  <si>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</si>
  <si>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</si>
  <si>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</si>
  <si>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43014</t>
  </si>
  <si>
    <t>SINT-LAUREINS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</si>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</sst>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61766.10283784513</c:v>
                </c:pt>
                <c:pt idx="1">
                  <c:v>15622.023129954721</c:v>
                </c:pt>
                <c:pt idx="2">
                  <c:v>668.44399999999996</c:v>
                </c:pt>
                <c:pt idx="3">
                  <c:v>23645.341887579798</c:v>
                </c:pt>
                <c:pt idx="4">
                  <c:v>3919.2900673488143</c:v>
                </c:pt>
                <c:pt idx="5">
                  <c:v>44484.631152948867</c:v>
                </c:pt>
                <c:pt idx="6">
                  <c:v>221.2003472513841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43008"/>
        <c:axId val="182044544"/>
      </c:barChart>
      <c:catAx>
        <c:axId val="182043008"/>
        <c:scaling>
          <c:orientation val="minMax"/>
        </c:scaling>
        <c:axPos val="b"/>
        <c:numFmt formatCode="General" sourceLinked="0"/>
        <c:tickLblPos val="nextTo"/>
        <c:crossAx val="182044544"/>
        <c:crosses val="autoZero"/>
        <c:auto val="1"/>
        <c:lblAlgn val="ctr"/>
        <c:lblOffset val="100"/>
      </c:catAx>
      <c:valAx>
        <c:axId val="182044544"/>
        <c:scaling>
          <c:orientation val="minMax"/>
        </c:scaling>
        <c:axPos val="l"/>
        <c:majorGridlines/>
        <c:numFmt formatCode="#,##0" sourceLinked="1"/>
        <c:tickLblPos val="nextTo"/>
        <c:crossAx val="1820430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61766.10283784513</c:v>
                </c:pt>
                <c:pt idx="1">
                  <c:v>15622.023129954721</c:v>
                </c:pt>
                <c:pt idx="2">
                  <c:v>668.44399999999996</c:v>
                </c:pt>
                <c:pt idx="3">
                  <c:v>23645.341887579798</c:v>
                </c:pt>
                <c:pt idx="4">
                  <c:v>3919.2900673488143</c:v>
                </c:pt>
                <c:pt idx="5">
                  <c:v>44484.631152948867</c:v>
                </c:pt>
                <c:pt idx="6">
                  <c:v>221.2003472513841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12192.579954500179</c:v>
                </c:pt>
                <c:pt idx="2">
                  <c:v>3104.6400347314816</c:v>
                </c:pt>
                <c:pt idx="3">
                  <c:v>134.11154427682212</c:v>
                </c:pt>
                <c:pt idx="4">
                  <c:v>6031.2616923181031</c:v>
                </c:pt>
                <c:pt idx="5">
                  <c:v>771.3070252747541</c:v>
                </c:pt>
                <c:pt idx="6">
                  <c:v>11389.991442087405</c:v>
                </c:pt>
                <c:pt idx="7">
                  <c:v>57.283681082951659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30720"/>
        <c:axId val="182493952"/>
      </c:barChart>
      <c:catAx>
        <c:axId val="182430720"/>
        <c:scaling>
          <c:orientation val="minMax"/>
        </c:scaling>
        <c:axPos val="b"/>
        <c:numFmt formatCode="General" sourceLinked="0"/>
        <c:tickLblPos val="nextTo"/>
        <c:crossAx val="182493952"/>
        <c:crosses val="autoZero"/>
        <c:auto val="1"/>
        <c:lblAlgn val="ctr"/>
        <c:lblOffset val="100"/>
      </c:catAx>
      <c:valAx>
        <c:axId val="182493952"/>
        <c:scaling>
          <c:orientation val="minMax"/>
        </c:scaling>
        <c:axPos val="l"/>
        <c:majorGridlines/>
        <c:numFmt formatCode="#,##0" sourceLinked="1"/>
        <c:tickLblPos val="nextTo"/>
        <c:crossAx val="182430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12192.579954500179</c:v>
                </c:pt>
                <c:pt idx="2">
                  <c:v>3104.6400347314816</c:v>
                </c:pt>
                <c:pt idx="3">
                  <c:v>134.11154427682212</c:v>
                </c:pt>
                <c:pt idx="4">
                  <c:v>6031.2616923181031</c:v>
                </c:pt>
                <c:pt idx="5">
                  <c:v>771.3070252747541</c:v>
                </c:pt>
                <c:pt idx="6">
                  <c:v>11389.991442087405</c:v>
                </c:pt>
                <c:pt idx="7">
                  <c:v>57.283681082951659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0.20063243035590433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0.20063243035590433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2856</v>
      </c>
      <c r="C9" s="342">
        <v>2825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6043.49</v>
      </c>
    </row>
    <row r="15" spans="1:6">
      <c r="A15" s="348" t="s">
        <v>184</v>
      </c>
      <c r="B15" s="334">
        <v>56</v>
      </c>
    </row>
    <row r="16" spans="1:6">
      <c r="A16" s="348" t="s">
        <v>6</v>
      </c>
      <c r="B16" s="334">
        <v>2106</v>
      </c>
    </row>
    <row r="17" spans="1:6">
      <c r="A17" s="348" t="s">
        <v>7</v>
      </c>
      <c r="B17" s="334">
        <v>2032</v>
      </c>
    </row>
    <row r="18" spans="1:6">
      <c r="A18" s="348" t="s">
        <v>8</v>
      </c>
      <c r="B18" s="334">
        <v>2958</v>
      </c>
    </row>
    <row r="19" spans="1:6">
      <c r="A19" s="348" t="s">
        <v>9</v>
      </c>
      <c r="B19" s="334">
        <v>2659</v>
      </c>
    </row>
    <row r="20" spans="1:6">
      <c r="A20" s="348" t="s">
        <v>10</v>
      </c>
      <c r="B20" s="334">
        <v>1417</v>
      </c>
    </row>
    <row r="21" spans="1:6">
      <c r="A21" s="348" t="s">
        <v>11</v>
      </c>
      <c r="B21" s="334">
        <v>16144</v>
      </c>
    </row>
    <row r="22" spans="1:6">
      <c r="A22" s="348" t="s">
        <v>12</v>
      </c>
      <c r="B22" s="334">
        <v>28501</v>
      </c>
    </row>
    <row r="23" spans="1:6">
      <c r="A23" s="348" t="s">
        <v>13</v>
      </c>
      <c r="B23" s="334">
        <v>1023</v>
      </c>
    </row>
    <row r="24" spans="1:6">
      <c r="A24" s="348" t="s">
        <v>14</v>
      </c>
      <c r="B24" s="334">
        <v>39</v>
      </c>
    </row>
    <row r="25" spans="1:6">
      <c r="A25" s="348" t="s">
        <v>15</v>
      </c>
      <c r="B25" s="334">
        <v>3892</v>
      </c>
    </row>
    <row r="26" spans="1:6">
      <c r="A26" s="348" t="s">
        <v>16</v>
      </c>
      <c r="B26" s="334">
        <v>811</v>
      </c>
    </row>
    <row r="27" spans="1:6">
      <c r="A27" s="348" t="s">
        <v>17</v>
      </c>
      <c r="B27" s="334">
        <v>7</v>
      </c>
    </row>
    <row r="28" spans="1:6" s="356" customFormat="1">
      <c r="A28" s="355" t="s">
        <v>18</v>
      </c>
      <c r="B28" s="355">
        <v>417741</v>
      </c>
    </row>
    <row r="29" spans="1:6">
      <c r="A29" s="355" t="s">
        <v>881</v>
      </c>
      <c r="B29" s="355">
        <v>186</v>
      </c>
      <c r="C29" s="356"/>
      <c r="D29" s="356"/>
      <c r="E29" s="356"/>
      <c r="F29" s="356"/>
    </row>
    <row r="30" spans="1:6">
      <c r="A30" s="355" t="s">
        <v>882</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v>
      </c>
    </row>
    <row r="39" spans="1:6">
      <c r="A39" s="348" t="s">
        <v>30</v>
      </c>
      <c r="B39" s="348" t="s">
        <v>31</v>
      </c>
      <c r="C39" s="334">
        <v>1356</v>
      </c>
      <c r="D39" s="334">
        <v>21474554.208999999</v>
      </c>
      <c r="E39" s="334">
        <v>2585</v>
      </c>
      <c r="F39" s="334">
        <v>11724058.229</v>
      </c>
    </row>
    <row r="40" spans="1:6">
      <c r="A40" s="348" t="s">
        <v>30</v>
      </c>
      <c r="B40" s="348" t="s">
        <v>29</v>
      </c>
      <c r="C40" s="334">
        <v>1</v>
      </c>
      <c r="D40" s="334">
        <v>16162.243145</v>
      </c>
      <c r="E40" s="334">
        <v>2</v>
      </c>
      <c r="F40" s="334">
        <v>27219.023497999999</v>
      </c>
    </row>
    <row r="41" spans="1:6">
      <c r="A41" s="348" t="s">
        <v>32</v>
      </c>
      <c r="B41" s="348" t="s">
        <v>33</v>
      </c>
      <c r="C41" s="334">
        <v>20</v>
      </c>
      <c r="D41" s="334">
        <v>243353.93757000001</v>
      </c>
      <c r="E41" s="334">
        <v>72</v>
      </c>
      <c r="F41" s="334">
        <v>710980.75367000001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552466.48768000002</v>
      </c>
      <c r="E48" s="334">
        <v>49</v>
      </c>
      <c r="F48" s="334">
        <v>766496.89402000001</v>
      </c>
    </row>
    <row r="49" spans="1:6">
      <c r="A49" s="348" t="s">
        <v>32</v>
      </c>
      <c r="B49" s="348" t="s">
        <v>40</v>
      </c>
      <c r="C49" s="334">
        <v>0</v>
      </c>
      <c r="D49" s="334">
        <v>0</v>
      </c>
      <c r="E49" s="334">
        <v>3</v>
      </c>
      <c r="F49" s="334">
        <v>320376.07582000003</v>
      </c>
    </row>
    <row r="50" spans="1:6">
      <c r="A50" s="348" t="s">
        <v>32</v>
      </c>
      <c r="B50" s="348" t="s">
        <v>41</v>
      </c>
      <c r="C50" s="334">
        <v>0</v>
      </c>
      <c r="D50" s="334">
        <v>0</v>
      </c>
      <c r="E50" s="334">
        <v>0</v>
      </c>
      <c r="F50" s="334">
        <v>0</v>
      </c>
    </row>
    <row r="51" spans="1:6">
      <c r="A51" s="348" t="s">
        <v>42</v>
      </c>
      <c r="B51" s="348" t="s">
        <v>43</v>
      </c>
      <c r="C51" s="334">
        <v>7</v>
      </c>
      <c r="D51" s="334">
        <v>128769.11421</v>
      </c>
      <c r="E51" s="334">
        <v>187</v>
      </c>
      <c r="F51" s="334">
        <v>3226369.003</v>
      </c>
    </row>
    <row r="52" spans="1:6">
      <c r="A52" s="348" t="s">
        <v>42</v>
      </c>
      <c r="B52" s="348" t="s">
        <v>29</v>
      </c>
      <c r="C52" s="334">
        <v>6</v>
      </c>
      <c r="D52" s="334">
        <v>142573.51908</v>
      </c>
      <c r="E52" s="334">
        <v>30</v>
      </c>
      <c r="F52" s="334">
        <v>1623554.8783</v>
      </c>
    </row>
    <row r="53" spans="1:6">
      <c r="A53" s="348" t="s">
        <v>44</v>
      </c>
      <c r="B53" s="348" t="s">
        <v>45</v>
      </c>
      <c r="C53" s="334">
        <v>35</v>
      </c>
      <c r="D53" s="334">
        <v>575834.80220000003</v>
      </c>
      <c r="E53" s="334">
        <v>109</v>
      </c>
      <c r="F53" s="334">
        <v>357708.27</v>
      </c>
    </row>
    <row r="54" spans="1:6">
      <c r="A54" s="348" t="s">
        <v>46</v>
      </c>
      <c r="B54" s="348" t="s">
        <v>47</v>
      </c>
      <c r="C54" s="334">
        <v>0</v>
      </c>
      <c r="D54" s="334">
        <v>0</v>
      </c>
      <c r="E54" s="334">
        <v>5</v>
      </c>
      <c r="F54" s="334">
        <v>668444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v>
      </c>
      <c r="D57" s="334">
        <v>29588.381266</v>
      </c>
      <c r="E57" s="334">
        <v>63</v>
      </c>
      <c r="F57" s="334">
        <v>534729.64306999999</v>
      </c>
    </row>
    <row r="58" spans="1:6">
      <c r="A58" s="348" t="s">
        <v>49</v>
      </c>
      <c r="B58" s="348" t="s">
        <v>51</v>
      </c>
      <c r="C58" s="334">
        <v>0</v>
      </c>
      <c r="D58" s="334">
        <v>0</v>
      </c>
      <c r="E58" s="334">
        <v>0</v>
      </c>
      <c r="F58" s="334">
        <v>0</v>
      </c>
    </row>
    <row r="59" spans="1:6">
      <c r="A59" s="348" t="s">
        <v>49</v>
      </c>
      <c r="B59" s="348" t="s">
        <v>52</v>
      </c>
      <c r="C59" s="334">
        <v>9</v>
      </c>
      <c r="D59" s="334">
        <v>310407.25390000001</v>
      </c>
      <c r="E59" s="334">
        <v>27</v>
      </c>
      <c r="F59" s="334">
        <v>482175.23845</v>
      </c>
    </row>
    <row r="60" spans="1:6">
      <c r="A60" s="348" t="s">
        <v>49</v>
      </c>
      <c r="B60" s="348" t="s">
        <v>53</v>
      </c>
      <c r="C60" s="334">
        <v>18</v>
      </c>
      <c r="D60" s="334">
        <v>670926.51977999997</v>
      </c>
      <c r="E60" s="334">
        <v>38</v>
      </c>
      <c r="F60" s="334">
        <v>833759.99043000001</v>
      </c>
    </row>
    <row r="61" spans="1:6">
      <c r="A61" s="348" t="s">
        <v>49</v>
      </c>
      <c r="B61" s="348" t="s">
        <v>54</v>
      </c>
      <c r="C61" s="334">
        <v>21</v>
      </c>
      <c r="D61" s="334">
        <v>1794141.8596000001</v>
      </c>
      <c r="E61" s="334">
        <v>41</v>
      </c>
      <c r="F61" s="334">
        <v>599422.58976</v>
      </c>
    </row>
    <row r="62" spans="1:6">
      <c r="A62" s="348" t="s">
        <v>49</v>
      </c>
      <c r="B62" s="348" t="s">
        <v>55</v>
      </c>
      <c r="C62" s="334">
        <v>3</v>
      </c>
      <c r="D62" s="334">
        <v>148744.34065</v>
      </c>
      <c r="E62" s="334">
        <v>6</v>
      </c>
      <c r="F62" s="334">
        <v>109243.53552</v>
      </c>
    </row>
    <row r="63" spans="1:6">
      <c r="A63" s="348" t="s">
        <v>49</v>
      </c>
      <c r="B63" s="348" t="s">
        <v>29</v>
      </c>
      <c r="C63" s="334">
        <v>91</v>
      </c>
      <c r="D63" s="334">
        <v>6058947.6619999995</v>
      </c>
      <c r="E63" s="334">
        <v>164</v>
      </c>
      <c r="F63" s="334">
        <v>2671749.9704999998</v>
      </c>
    </row>
    <row r="64" spans="1:6">
      <c r="A64" s="348" t="s">
        <v>56</v>
      </c>
      <c r="B64" s="348" t="s">
        <v>57</v>
      </c>
      <c r="C64" s="334">
        <v>0</v>
      </c>
      <c r="D64" s="334">
        <v>0</v>
      </c>
      <c r="E64" s="334">
        <v>0</v>
      </c>
      <c r="F64" s="334">
        <v>0</v>
      </c>
    </row>
    <row r="65" spans="1:6">
      <c r="A65" s="348" t="s">
        <v>56</v>
      </c>
      <c r="B65" s="348" t="s">
        <v>29</v>
      </c>
      <c r="C65" s="334">
        <v>0</v>
      </c>
      <c r="D65" s="334">
        <v>0</v>
      </c>
      <c r="E65" s="334">
        <v>5</v>
      </c>
      <c r="F65" s="334">
        <v>61168.673493000002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20663265</v>
      </c>
      <c r="E73" s="475">
        <v>22756024.120253902</v>
      </c>
    </row>
    <row r="74" spans="1:6">
      <c r="A74" s="348" t="s">
        <v>64</v>
      </c>
      <c r="B74" s="348" t="s">
        <v>667</v>
      </c>
      <c r="C74" s="1294" t="s">
        <v>669</v>
      </c>
      <c r="D74" s="475">
        <v>3393553.3011860307</v>
      </c>
      <c r="E74" s="475">
        <v>3620743.2075349069</v>
      </c>
    </row>
    <row r="75" spans="1:6">
      <c r="A75" s="348" t="s">
        <v>65</v>
      </c>
      <c r="B75" s="348" t="s">
        <v>666</v>
      </c>
      <c r="C75" s="1294" t="s">
        <v>670</v>
      </c>
      <c r="D75" s="475">
        <v>19337164</v>
      </c>
      <c r="E75" s="475">
        <v>21170336.545826875</v>
      </c>
    </row>
    <row r="76" spans="1:6">
      <c r="A76" s="348" t="s">
        <v>65</v>
      </c>
      <c r="B76" s="348" t="s">
        <v>667</v>
      </c>
      <c r="C76" s="1294" t="s">
        <v>671</v>
      </c>
      <c r="D76" s="475">
        <v>1558985.3011860305</v>
      </c>
      <c r="E76" s="475">
        <v>1664581.4179835694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59411.397627938895</v>
      </c>
      <c r="C83" s="475">
        <v>59411.397627938895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1863.6109507403958</v>
      </c>
    </row>
    <row r="92" spans="1:6">
      <c r="A92" s="341" t="s">
        <v>69</v>
      </c>
      <c r="B92" s="342">
        <v>581.35197410965986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26529.272556016505</v>
      </c>
      <c r="C3" s="43" t="s">
        <v>170</v>
      </c>
      <c r="D3" s="43"/>
      <c r="E3" s="154"/>
      <c r="F3" s="43"/>
      <c r="G3" s="43"/>
      <c r="H3" s="43"/>
      <c r="I3" s="43"/>
      <c r="J3" s="43"/>
      <c r="K3" s="96"/>
    </row>
    <row r="4" spans="1:11">
      <c r="A4" s="383" t="s">
        <v>171</v>
      </c>
      <c r="B4" s="49">
        <f>IF(ISERROR('SEAP template'!B78),0,'SEAP template'!B78)</f>
        <v>2444.9629248500555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0.20063243035590433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668.44399999999996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668.44399999999996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0.20063243035590433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134.11154427682212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11751.277252498001</v>
      </c>
      <c r="C5" s="17">
        <f>IF(ISERROR('Eigen informatie GS &amp; warmtenet'!B57),0,'Eigen informatie GS &amp; warmtenet'!B57)</f>
        <v>0</v>
      </c>
      <c r="D5" s="30">
        <f>(SUM(HH_hh_gas_kWh,HH_rest_gas_kWh)/1000)*0.902</f>
        <v>19384.62623983479</v>
      </c>
      <c r="E5" s="17">
        <f>B46*B57</f>
        <v>7763.6080500735543</v>
      </c>
      <c r="F5" s="17">
        <f>B51*B62</f>
        <v>10097.125536542329</v>
      </c>
      <c r="G5" s="18"/>
      <c r="H5" s="17"/>
      <c r="I5" s="17"/>
      <c r="J5" s="17">
        <f>B50*B61+C50*C61</f>
        <v>3070.6943479954789</v>
      </c>
      <c r="K5" s="17"/>
      <c r="L5" s="17"/>
      <c r="M5" s="17"/>
      <c r="N5" s="17">
        <f>B48*B59+C48*C59</f>
        <v>7153.7271268272489</v>
      </c>
      <c r="O5" s="17">
        <f>B69*B70*B71</f>
        <v>109.43333333333334</v>
      </c>
      <c r="P5" s="17">
        <f>B77*B78*B79/1000-B77*B78*B79/1000/B80</f>
        <v>572</v>
      </c>
    </row>
    <row r="6" spans="1:16">
      <c r="A6" s="16" t="s">
        <v>624</v>
      </c>
      <c r="B6" s="788">
        <f>kWh_PV_kleiner_dan_10kW</f>
        <v>1863.6109507403958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13614.888203238397</v>
      </c>
      <c r="C8" s="21">
        <f>C5</f>
        <v>0</v>
      </c>
      <c r="D8" s="21">
        <f>D5</f>
        <v>19384.62623983479</v>
      </c>
      <c r="E8" s="21">
        <f>E5</f>
        <v>7763.6080500735543</v>
      </c>
      <c r="F8" s="21">
        <f>F5</f>
        <v>10097.125536542329</v>
      </c>
      <c r="G8" s="21"/>
      <c r="H8" s="21"/>
      <c r="I8" s="21"/>
      <c r="J8" s="21">
        <f>J5</f>
        <v>3070.6943479954789</v>
      </c>
      <c r="K8" s="21"/>
      <c r="L8" s="21">
        <f>L5</f>
        <v>0</v>
      </c>
      <c r="M8" s="21">
        <f>M5</f>
        <v>0</v>
      </c>
      <c r="N8" s="21">
        <f>N5</f>
        <v>7153.7271268272489</v>
      </c>
      <c r="O8" s="21">
        <f>O5</f>
        <v>109.43333333333334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0.20063243035590433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2731.5881092396512</v>
      </c>
      <c r="C12" s="23">
        <f ca="1">C10*C8</f>
        <v>0</v>
      </c>
      <c r="D12" s="23">
        <f>D8*D10</f>
        <v>3915.6945004466279</v>
      </c>
      <c r="E12" s="23">
        <f>E10*E8</f>
        <v>1762.3390273666969</v>
      </c>
      <c r="F12" s="23">
        <f>F10*F8</f>
        <v>2695.9325182568023</v>
      </c>
      <c r="G12" s="23"/>
      <c r="H12" s="23"/>
      <c r="I12" s="23"/>
      <c r="J12" s="23">
        <f>J10*J8</f>
        <v>1087.0257991903995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2856</v>
      </c>
      <c r="C28" s="36"/>
      <c r="D28" s="228"/>
    </row>
    <row r="29" spans="1:7" s="15" customFormat="1">
      <c r="A29" s="230" t="s">
        <v>699</v>
      </c>
      <c r="B29" s="37">
        <f>SUM(HH_hh_gas_aantal,HH_rest_gas_aantal)</f>
        <v>1357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1357</v>
      </c>
      <c r="C32" s="167">
        <f>IF(ISERROR(B32/SUM($B$32,$B$34,$B$35,$B$36,$B$38,$B$39)*100),0,B32/SUM($B$32,$B$34,$B$35,$B$36,$B$38,$B$39)*100)</f>
        <v>48.018400566171266</v>
      </c>
      <c r="D32" s="233"/>
      <c r="G32" s="15"/>
    </row>
    <row r="33" spans="1:7">
      <c r="A33" s="171" t="s">
        <v>72</v>
      </c>
      <c r="B33" s="34" t="s">
        <v>111</v>
      </c>
      <c r="C33" s="167"/>
      <c r="D33" s="233"/>
      <c r="G33" s="15"/>
    </row>
    <row r="34" spans="1:7">
      <c r="A34" s="171" t="s">
        <v>73</v>
      </c>
      <c r="B34" s="33">
        <f>IF((($B$28-$B$32-$B$39-$B$77-$B$38)*C20/100)&lt;0,0,($B$28-$B$32-$B$39-$B$77-$B$38)*C20/100)</f>
        <v>343.25079872204469</v>
      </c>
      <c r="C34" s="167">
        <f>IF(ISERROR(B34/SUM($B$32,$B$34,$B$35,$B$36,$B$38,$B$39)*100),0,B34/SUM($B$32,$B$34,$B$35,$B$36,$B$38,$B$39)*100)</f>
        <v>12.146171221586862</v>
      </c>
      <c r="D34" s="233"/>
      <c r="G34" s="15"/>
    </row>
    <row r="35" spans="1:7">
      <c r="A35" s="171" t="s">
        <v>74</v>
      </c>
      <c r="B35" s="33">
        <f>IF((($B$28-$B$32-$B$39-$B$77-$B$38)*C21/100)&lt;0,0,($B$28-$B$32-$B$39-$B$77-$B$38)*C21/100)</f>
        <v>500.38338658146967</v>
      </c>
      <c r="C35" s="167">
        <f>IF(ISERROR(B35/SUM($B$32,$B$34,$B$35,$B$36,$B$38,$B$39)*100),0,B35/SUM($B$32,$B$34,$B$35,$B$36,$B$38,$B$39)*100)</f>
        <v>17.706418491913293</v>
      </c>
      <c r="D35" s="233"/>
      <c r="G35" s="15"/>
    </row>
    <row r="36" spans="1:7">
      <c r="A36" s="171" t="s">
        <v>75</v>
      </c>
      <c r="B36" s="33">
        <f>IF((($B$28-$B$32-$B$39-$B$77-$B$38)*C22/100)&lt;0,0,($B$28-$B$32-$B$39-$B$77-$B$38)*C22/100)</f>
        <v>111.36581469648561</v>
      </c>
      <c r="C36" s="167">
        <f>IF(ISERROR(B36/SUM($B$32,$B$34,$B$35,$B$36,$B$38,$B$39)*100),0,B36/SUM($B$32,$B$34,$B$35,$B$36,$B$38,$B$39)*100)</f>
        <v>3.9407577741148483</v>
      </c>
      <c r="D36" s="233"/>
      <c r="G36" s="15"/>
    </row>
    <row r="37" spans="1:7">
      <c r="A37" s="171" t="s">
        <v>76</v>
      </c>
      <c r="B37" s="34" t="s">
        <v>111</v>
      </c>
      <c r="C37" s="167"/>
      <c r="D37" s="173"/>
      <c r="G37" s="15"/>
    </row>
    <row r="38" spans="1:7">
      <c r="A38" s="171" t="s">
        <v>77</v>
      </c>
      <c r="B38" s="33">
        <f>IF((B24-(B29-B18)*0.1)&lt;0,0,B24-(B29-B18)*0.1)</f>
        <v>99.2</v>
      </c>
      <c r="C38" s="167">
        <f>IF(ISERROR(B38/SUM($B$32,$B$34,$B$35,$B$36,$B$38,$B$39)*100),0,B38/SUM($B$32,$B$34,$B$35,$B$36,$B$38,$B$39)*100)</f>
        <v>3.5102618542108992</v>
      </c>
      <c r="D38" s="234"/>
      <c r="G38" s="15"/>
    </row>
    <row r="39" spans="1:7">
      <c r="A39" s="171" t="s">
        <v>78</v>
      </c>
      <c r="B39" s="33">
        <f>IF((B25-(B29-B18))&lt;0,0,B25-(B29-B18)*0.9)</f>
        <v>414.79999999999995</v>
      </c>
      <c r="C39" s="167">
        <f>IF(ISERROR(B39/SUM($B$32,$B$34,$B$35,$B$36,$B$38,$B$39)*100),0,B39/SUM($B$32,$B$34,$B$35,$B$36,$B$38,$B$39)*100)</f>
        <v>14.67799009200283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1357</v>
      </c>
      <c r="C44" s="34" t="s">
        <v>111</v>
      </c>
      <c r="D44" s="174"/>
    </row>
    <row r="45" spans="1:7">
      <c r="A45" s="171" t="s">
        <v>72</v>
      </c>
      <c r="B45" s="33" t="str">
        <f t="shared" si="0"/>
        <v>-</v>
      </c>
      <c r="C45" s="34" t="s">
        <v>111</v>
      </c>
      <c r="D45" s="174"/>
    </row>
    <row r="46" spans="1:7">
      <c r="A46" s="171" t="s">
        <v>73</v>
      </c>
      <c r="B46" s="33">
        <f t="shared" si="0"/>
        <v>343.25079872204469</v>
      </c>
      <c r="C46" s="34" t="s">
        <v>111</v>
      </c>
      <c r="D46" s="174"/>
    </row>
    <row r="47" spans="1:7">
      <c r="A47" s="171" t="s">
        <v>74</v>
      </c>
      <c r="B47" s="33">
        <f t="shared" si="0"/>
        <v>500.38338658146967</v>
      </c>
      <c r="C47" s="34" t="s">
        <v>111</v>
      </c>
      <c r="D47" s="174"/>
    </row>
    <row r="48" spans="1:7">
      <c r="A48" s="171" t="s">
        <v>75</v>
      </c>
      <c r="B48" s="33">
        <f t="shared" si="0"/>
        <v>111.36581469648561</v>
      </c>
      <c r="C48" s="33">
        <f>B48*10</f>
        <v>1113.6581469648561</v>
      </c>
      <c r="D48" s="234"/>
    </row>
    <row r="49" spans="1:6">
      <c r="A49" s="171" t="s">
        <v>76</v>
      </c>
      <c r="B49" s="33" t="str">
        <f t="shared" si="0"/>
        <v>-</v>
      </c>
      <c r="C49" s="34" t="s">
        <v>111</v>
      </c>
      <c r="D49" s="234"/>
    </row>
    <row r="50" spans="1:6">
      <c r="A50" s="171" t="s">
        <v>77</v>
      </c>
      <c r="B50" s="33">
        <f t="shared" si="0"/>
        <v>99.2</v>
      </c>
      <c r="C50" s="33">
        <f>B50*2</f>
        <v>198.4</v>
      </c>
      <c r="D50" s="234"/>
    </row>
    <row r="51" spans="1:6">
      <c r="A51" s="171" t="s">
        <v>78</v>
      </c>
      <c r="B51" s="33">
        <f t="shared" si="0"/>
        <v>414.79999999999995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5231.0809677300003</v>
      </c>
      <c r="C5" s="17">
        <f>IF(ISERROR('Eigen informatie GS &amp; warmtenet'!B58),0,'Eigen informatie GS &amp; warmtenet'!B58)</f>
        <v>0</v>
      </c>
      <c r="D5" s="30">
        <f>SUM(D6:D12)</f>
        <v>8129.5059275107924</v>
      </c>
      <c r="E5" s="17">
        <f>SUM(E6:E12)</f>
        <v>98.694442963053874</v>
      </c>
      <c r="F5" s="17">
        <f>SUM(F6:F12)</f>
        <v>1462.7404901779119</v>
      </c>
      <c r="G5" s="18"/>
      <c r="H5" s="17"/>
      <c r="I5" s="17"/>
      <c r="J5" s="17">
        <f>SUM(J6:J12)</f>
        <v>0</v>
      </c>
      <c r="K5" s="17"/>
      <c r="L5" s="17"/>
      <c r="M5" s="17"/>
      <c r="N5" s="17">
        <f>SUM(N6:N12)</f>
        <v>658.74130157296418</v>
      </c>
      <c r="O5" s="17">
        <f>B38*B39*B40</f>
        <v>3.1266666666666669</v>
      </c>
      <c r="P5" s="17">
        <f>B46*B47*B48/1000-B46*B47*B48/1000/B49</f>
        <v>38.133333333333333</v>
      </c>
      <c r="R5" s="32"/>
    </row>
    <row r="6" spans="1:18">
      <c r="A6" s="32" t="s">
        <v>54</v>
      </c>
      <c r="B6" s="37">
        <f>B26</f>
        <v>599.42258976000005</v>
      </c>
      <c r="C6" s="33"/>
      <c r="D6" s="37">
        <f>IF(ISERROR(TER_kantoor_gas_kWh/1000),0,TER_kantoor_gas_kWh/1000)*0.902</f>
        <v>1618.3159573592002</v>
      </c>
      <c r="E6" s="33">
        <f>$C$26*'E Balans VL '!I12/100/3.6*1000000</f>
        <v>7.8471800815206869</v>
      </c>
      <c r="F6" s="33">
        <f>$C$26*('E Balans VL '!L12+'E Balans VL '!N12)/100/3.6*1000000</f>
        <v>152.84656618714121</v>
      </c>
      <c r="G6" s="34"/>
      <c r="H6" s="33"/>
      <c r="I6" s="33"/>
      <c r="J6" s="33">
        <f>$C$26*('E Balans VL '!D12+'E Balans VL '!E12)/100/3.6*1000000</f>
        <v>0</v>
      </c>
      <c r="K6" s="33"/>
      <c r="L6" s="33"/>
      <c r="M6" s="33"/>
      <c r="N6" s="33">
        <f>$C$26*'E Balans VL '!Y12/100/3.6*1000000</f>
        <v>0.60144111322425886</v>
      </c>
      <c r="O6" s="33"/>
      <c r="P6" s="33"/>
      <c r="R6" s="32"/>
    </row>
    <row r="7" spans="1:18">
      <c r="A7" s="32" t="s">
        <v>53</v>
      </c>
      <c r="B7" s="37">
        <f t="shared" ref="B7:B12" si="0">B27</f>
        <v>833.75999043000002</v>
      </c>
      <c r="C7" s="33"/>
      <c r="D7" s="37">
        <f>IF(ISERROR(TER_horeca_gas_kWh/1000),0,TER_horeca_gas_kWh/1000)*0.902</f>
        <v>605.17572084155995</v>
      </c>
      <c r="E7" s="33">
        <f>$C$27*'E Balans VL '!I9/100/3.6*1000000</f>
        <v>27.592384091342538</v>
      </c>
      <c r="F7" s="33">
        <f>$C$27*('E Balans VL '!L9+'E Balans VL '!N9)/100/3.6*1000000</f>
        <v>358.51360052956892</v>
      </c>
      <c r="G7" s="34"/>
      <c r="H7" s="33"/>
      <c r="I7" s="33"/>
      <c r="J7" s="33">
        <f>$C$27*('E Balans VL '!D9+'E Balans VL '!E9)/100/3.6*1000000</f>
        <v>0</v>
      </c>
      <c r="K7" s="33"/>
      <c r="L7" s="33"/>
      <c r="M7" s="33"/>
      <c r="N7" s="33">
        <f>$C$27*'E Balans VL '!Y9/100/3.6*1000000</f>
        <v>0.20069813722025237</v>
      </c>
      <c r="O7" s="33"/>
      <c r="P7" s="33"/>
      <c r="R7" s="32"/>
    </row>
    <row r="8" spans="1:18">
      <c r="A8" s="6" t="s">
        <v>52</v>
      </c>
      <c r="B8" s="37">
        <f t="shared" si="0"/>
        <v>482.17523844999999</v>
      </c>
      <c r="C8" s="33"/>
      <c r="D8" s="37">
        <f>IF(ISERROR(TER_handel_gas_kWh/1000),0,TER_handel_gas_kWh/1000)*0.902</f>
        <v>279.98734301780001</v>
      </c>
      <c r="E8" s="33">
        <f>$C$28*'E Balans VL '!I13/100/3.6*1000000</f>
        <v>15.218187267316061</v>
      </c>
      <c r="F8" s="33">
        <f>$C$28*('E Balans VL '!L13+'E Balans VL '!N13)/100/3.6*1000000</f>
        <v>94.563054838852224</v>
      </c>
      <c r="G8" s="34"/>
      <c r="H8" s="33"/>
      <c r="I8" s="33"/>
      <c r="J8" s="33">
        <f>$C$28*('E Balans VL '!D13+'E Balans VL '!E13)/100/3.6*1000000</f>
        <v>0</v>
      </c>
      <c r="K8" s="33"/>
      <c r="L8" s="33"/>
      <c r="M8" s="33"/>
      <c r="N8" s="33">
        <f>$C$28*'E Balans VL '!Y13/100/3.6*1000000</f>
        <v>0.57224839486684376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534.72964306999995</v>
      </c>
      <c r="C10" s="33"/>
      <c r="D10" s="37">
        <f>IF(ISERROR(TER_ander_gas_kWh/1000),0,TER_ander_gas_kWh/1000)*0.902</f>
        <v>26.688719901932</v>
      </c>
      <c r="E10" s="33">
        <f>$C$30*'E Balans VL '!I14/100/3.6*1000000</f>
        <v>0.80410763316638878</v>
      </c>
      <c r="F10" s="33">
        <f>$C$30*('E Balans VL '!L14+'E Balans VL '!N14)/100/3.6*1000000</f>
        <v>118.05106839531435</v>
      </c>
      <c r="G10" s="34"/>
      <c r="H10" s="33"/>
      <c r="I10" s="33"/>
      <c r="J10" s="33">
        <f>$C$30*('E Balans VL '!D14+'E Balans VL '!E14)/100/3.6*1000000</f>
        <v>0</v>
      </c>
      <c r="K10" s="33"/>
      <c r="L10" s="33"/>
      <c r="M10" s="33"/>
      <c r="N10" s="33">
        <f>$C$30*'E Balans VL '!Y14/100/3.6*1000000</f>
        <v>421.40294468733327</v>
      </c>
      <c r="O10" s="33"/>
      <c r="P10" s="33"/>
      <c r="R10" s="32"/>
    </row>
    <row r="11" spans="1:18">
      <c r="A11" s="32" t="s">
        <v>55</v>
      </c>
      <c r="B11" s="37">
        <f t="shared" si="0"/>
        <v>109.24353552000001</v>
      </c>
      <c r="C11" s="33"/>
      <c r="D11" s="37">
        <f>IF(ISERROR(TER_onderwijs_gas_kWh/1000),0,TER_onderwijs_gas_kWh/1000)*0.902</f>
        <v>134.16739526629999</v>
      </c>
      <c r="E11" s="33">
        <f>$C$31*'E Balans VL '!I11/100/3.6*1000000</f>
        <v>0.19238702062735252</v>
      </c>
      <c r="F11" s="33">
        <f>$C$31*('E Balans VL '!L11+'E Balans VL '!N11)/100/3.6*1000000</f>
        <v>50.43971710808983</v>
      </c>
      <c r="G11" s="34"/>
      <c r="H11" s="33"/>
      <c r="I11" s="33"/>
      <c r="J11" s="33">
        <f>$C$31*('E Balans VL '!D11+'E Balans VL '!E11)/100/3.6*1000000</f>
        <v>0</v>
      </c>
      <c r="K11" s="33"/>
      <c r="L11" s="33"/>
      <c r="M11" s="33"/>
      <c r="N11" s="33">
        <f>$C$31*'E Balans VL '!Y11/100/3.6*1000000</f>
        <v>0.20352221737843829</v>
      </c>
      <c r="O11" s="33"/>
      <c r="P11" s="33"/>
      <c r="R11" s="32"/>
    </row>
    <row r="12" spans="1:18">
      <c r="A12" s="32" t="s">
        <v>260</v>
      </c>
      <c r="B12" s="37">
        <f t="shared" si="0"/>
        <v>2671.7499705</v>
      </c>
      <c r="C12" s="33"/>
      <c r="D12" s="37">
        <f>IF(ISERROR(TER_rest_gas_kWh/1000),0,TER_rest_gas_kWh/1000)*0.902</f>
        <v>5465.1707911240001</v>
      </c>
      <c r="E12" s="33">
        <f>$C$32*'E Balans VL '!I8/100/3.6*1000000</f>
        <v>47.040196869080845</v>
      </c>
      <c r="F12" s="33">
        <f>$C$32*('E Balans VL '!L8+'E Balans VL '!N8)/100/3.6*1000000</f>
        <v>688.32648311894548</v>
      </c>
      <c r="G12" s="34"/>
      <c r="H12" s="33"/>
      <c r="I12" s="33"/>
      <c r="J12" s="33">
        <f>$C$32*('E Balans VL '!D8+'E Balans VL '!E8)/100/3.6*1000000</f>
        <v>0</v>
      </c>
      <c r="K12" s="33"/>
      <c r="L12" s="33"/>
      <c r="M12" s="33"/>
      <c r="N12" s="33">
        <f>$C$32*'E Balans VL '!Y8/100/3.6*1000000</f>
        <v>235.76044702294112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5231.0809677300003</v>
      </c>
      <c r="C16" s="21">
        <f t="shared" ca="1" si="1"/>
        <v>0</v>
      </c>
      <c r="D16" s="21">
        <f t="shared" ca="1" si="1"/>
        <v>8129.5059275107924</v>
      </c>
      <c r="E16" s="21">
        <f t="shared" si="1"/>
        <v>98.694442963053874</v>
      </c>
      <c r="F16" s="21">
        <f t="shared" ca="1" si="1"/>
        <v>1462.7404901779119</v>
      </c>
      <c r="G16" s="21">
        <f t="shared" si="1"/>
        <v>0</v>
      </c>
      <c r="H16" s="21">
        <f t="shared" si="1"/>
        <v>0</v>
      </c>
      <c r="I16" s="21">
        <f t="shared" si="1"/>
        <v>0</v>
      </c>
      <c r="J16" s="21">
        <f t="shared" si="1"/>
        <v>0</v>
      </c>
      <c r="K16" s="21">
        <f t="shared" si="1"/>
        <v>0</v>
      </c>
      <c r="L16" s="21">
        <f t="shared" ca="1" si="1"/>
        <v>0</v>
      </c>
      <c r="M16" s="21">
        <f t="shared" si="1"/>
        <v>0</v>
      </c>
      <c r="N16" s="21">
        <f t="shared" ca="1" si="1"/>
        <v>658.74130157296418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0.20063243035590433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1049.5244879441859</v>
      </c>
      <c r="C20" s="23">
        <f t="shared" ref="C20:P20" ca="1" si="2">C16*C18</f>
        <v>0</v>
      </c>
      <c r="D20" s="23">
        <f t="shared" ca="1" si="2"/>
        <v>1642.1601973571801</v>
      </c>
      <c r="E20" s="23">
        <f t="shared" si="2"/>
        <v>22.403638552613231</v>
      </c>
      <c r="F20" s="23">
        <f t="shared" ca="1" si="2"/>
        <v>390.5517108775025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599.42258976000005</v>
      </c>
      <c r="C26" s="39">
        <f>IF(ISERROR(B26*3.6/1000000/'E Balans VL '!Z12*100),0,B26*3.6/1000000/'E Balans VL '!Z12*100)</f>
        <v>1.2840097545936088E-2</v>
      </c>
      <c r="D26" s="237" t="s">
        <v>660</v>
      </c>
      <c r="F26" s="6"/>
    </row>
    <row r="27" spans="1:18">
      <c r="A27" s="231" t="s">
        <v>53</v>
      </c>
      <c r="B27" s="33">
        <f>IF(ISERROR(TER_horeca_ele_kWh/1000),0,TER_horeca_ele_kWh/1000)</f>
        <v>833.75999043000002</v>
      </c>
      <c r="C27" s="39">
        <f>IF(ISERROR(B27*3.6/1000000/'E Balans VL '!Z9*100),0,B27*3.6/1000000/'E Balans VL '!Z9*100)</f>
        <v>6.6906341111862361E-2</v>
      </c>
      <c r="D27" s="237" t="s">
        <v>660</v>
      </c>
      <c r="F27" s="6"/>
    </row>
    <row r="28" spans="1:18">
      <c r="A28" s="171" t="s">
        <v>52</v>
      </c>
      <c r="B28" s="33">
        <f>IF(ISERROR(TER_handel_ele_kWh/1000),0,TER_handel_ele_kWh/1000)</f>
        <v>482.17523844999999</v>
      </c>
      <c r="C28" s="39">
        <f>IF(ISERROR(B28*3.6/1000000/'E Balans VL '!Z13*100),0,B28*3.6/1000000/'E Balans VL '!Z13*100)</f>
        <v>1.422140388741994E-2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534.72964306999995</v>
      </c>
      <c r="C30" s="39">
        <f>IF(ISERROR(B30*3.6/1000000/'E Balans VL '!Z14*100),0,B30*3.6/1000000/'E Balans VL '!Z14*100)</f>
        <v>4.0390229739686541E-2</v>
      </c>
      <c r="D30" s="237" t="s">
        <v>660</v>
      </c>
      <c r="F30" s="6"/>
    </row>
    <row r="31" spans="1:18">
      <c r="A31" s="231" t="s">
        <v>55</v>
      </c>
      <c r="B31" s="33">
        <f>IF(ISERROR(TER_onderwijs_ele_kWh/1000),0,TER_onderwijs_ele_kWh/1000)</f>
        <v>109.24353552000001</v>
      </c>
      <c r="C31" s="39">
        <f>IF(ISERROR(B31*3.6/1000000/'E Balans VL '!Z11*100),0,B31*3.6/1000000/'E Balans VL '!Z11*100)</f>
        <v>2.2059916652436711E-2</v>
      </c>
      <c r="D31" s="237" t="s">
        <v>660</v>
      </c>
    </row>
    <row r="32" spans="1:18">
      <c r="A32" s="231" t="s">
        <v>260</v>
      </c>
      <c r="B32" s="33">
        <f>IF(ISERROR(TER_rest_ele_kWh/1000),0,TER_rest_ele_kWh/1000)</f>
        <v>2671.7499705</v>
      </c>
      <c r="C32" s="39">
        <f>IF(ISERROR(B32*3.6/1000000/'E Balans VL '!Z8*100),0,B32*3.6/1000000/'E Balans VL '!Z8*100)</f>
        <v>2.2152527640439616E-2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1797.8537235100002</v>
      </c>
      <c r="C5" s="17">
        <f>IF(ISERROR('Eigen informatie GS &amp; warmtenet'!B59),0,'Eigen informatie GS &amp; warmtenet'!B59)</f>
        <v>0</v>
      </c>
      <c r="D5" s="30">
        <f>SUM(D6:D15)</f>
        <v>717.83002357550004</v>
      </c>
      <c r="E5" s="17">
        <f>SUM(E6:E15)</f>
        <v>223.90572201780759</v>
      </c>
      <c r="F5" s="17">
        <f>SUM(F6:F15)</f>
        <v>796.1468753386124</v>
      </c>
      <c r="G5" s="18"/>
      <c r="H5" s="17"/>
      <c r="I5" s="17"/>
      <c r="J5" s="17">
        <f>SUM(J6:J15)</f>
        <v>6.2140788893442176</v>
      </c>
      <c r="K5" s="17"/>
      <c r="L5" s="17"/>
      <c r="M5" s="17"/>
      <c r="N5" s="17">
        <f>SUM(N6:N15)</f>
        <v>377.33964401754974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710.98075367000001</v>
      </c>
      <c r="C9" s="33"/>
      <c r="D9" s="37">
        <f>IF( ISERROR(IND_andere_gas_kWh/1000),0,IND_andere_gas_kWh/1000)*0.902</f>
        <v>219.50525168813999</v>
      </c>
      <c r="E9" s="33">
        <f>C31*'E Balans VL '!I19/100/3.6*1000000</f>
        <v>181.42620194646918</v>
      </c>
      <c r="F9" s="33">
        <f>C31*'E Balans VL '!L19/100/3.6*1000000+C31*'E Balans VL '!N19/100/3.6*1000000</f>
        <v>612.10098951887926</v>
      </c>
      <c r="G9" s="34"/>
      <c r="H9" s="33"/>
      <c r="I9" s="33"/>
      <c r="J9" s="40">
        <f>C31*'E Balans VL '!D19/100/3.6*1000000+C31*'E Balans VL '!E19/100/3.6*1000000</f>
        <v>0</v>
      </c>
      <c r="K9" s="33"/>
      <c r="L9" s="33"/>
      <c r="M9" s="33"/>
      <c r="N9" s="33">
        <f>C31*'E Balans VL '!Y19/100/3.6*1000000</f>
        <v>222.34803022048965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320.37607582000004</v>
      </c>
      <c r="C11" s="33"/>
      <c r="D11" s="37">
        <f>IF( ISERROR(IND_textiel_gas_kWh/1000),0,IND_textiel_gas_kWh/1000)*0.902</f>
        <v>0</v>
      </c>
      <c r="E11" s="33">
        <f>C33*'E Balans VL '!I21/100/3.6*1000000</f>
        <v>0.87951848457334081</v>
      </c>
      <c r="F11" s="33">
        <f>C33*'E Balans VL '!L21/100/3.6*1000000+C33*'E Balans VL '!N21/100/3.6*1000000</f>
        <v>16.985004360825354</v>
      </c>
      <c r="G11" s="34"/>
      <c r="H11" s="33"/>
      <c r="I11" s="33"/>
      <c r="J11" s="40">
        <f>C33*'E Balans VL '!D21/100/3.6*1000000+C33*'E Balans VL '!E21/100/3.6*1000000</f>
        <v>0</v>
      </c>
      <c r="K11" s="33"/>
      <c r="L11" s="33"/>
      <c r="M11" s="33"/>
      <c r="N11" s="33">
        <f>C33*'E Balans VL '!Y21/100/3.6*1000000</f>
        <v>0.64390289573019088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766.49689402000001</v>
      </c>
      <c r="C15" s="33"/>
      <c r="D15" s="37">
        <f>IF( ISERROR(IND_rest_gas_kWh/1000),0,IND_rest_gas_kWh/1000)*0.902</f>
        <v>498.32477188735999</v>
      </c>
      <c r="E15" s="33">
        <f>C37*'E Balans VL '!I15/100/3.6*1000000</f>
        <v>41.600001586765082</v>
      </c>
      <c r="F15" s="33">
        <f>C37*'E Balans VL '!L15/100/3.6*1000000+C37*'E Balans VL '!N15/100/3.6*1000000</f>
        <v>167.06088145890783</v>
      </c>
      <c r="G15" s="34"/>
      <c r="H15" s="33"/>
      <c r="I15" s="33"/>
      <c r="J15" s="40">
        <f>C37*'E Balans VL '!D15/100/3.6*1000000+C37*'E Balans VL '!E15/100/3.6*1000000</f>
        <v>6.2140788893442176</v>
      </c>
      <c r="K15" s="33"/>
      <c r="L15" s="33"/>
      <c r="M15" s="33"/>
      <c r="N15" s="33">
        <f>C37*'E Balans VL '!Y15/100/3.6*1000000</f>
        <v>154.34771090132989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1797.8537235100002</v>
      </c>
      <c r="C18" s="21">
        <f>C5+C16</f>
        <v>0</v>
      </c>
      <c r="D18" s="21">
        <f>MAX((D5+D16),0)</f>
        <v>717.83002357550004</v>
      </c>
      <c r="E18" s="21">
        <f>MAX((E5+E16),0)</f>
        <v>223.90572201780759</v>
      </c>
      <c r="F18" s="21">
        <f>MAX((F5+F16),0)</f>
        <v>796.1468753386124</v>
      </c>
      <c r="G18" s="21"/>
      <c r="H18" s="21"/>
      <c r="I18" s="21"/>
      <c r="J18" s="21">
        <f>MAX((J5+J16),0)</f>
        <v>6.2140788893442176</v>
      </c>
      <c r="K18" s="21"/>
      <c r="L18" s="21">
        <f>MAX((L5+L16),0)</f>
        <v>0</v>
      </c>
      <c r="M18" s="21"/>
      <c r="N18" s="21">
        <f>MAX((N5+N16),0)</f>
        <v>377.33964401754974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0.20063243035590433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360.70776197222341</v>
      </c>
      <c r="C22" s="23">
        <f ca="1">C18*C20</f>
        <v>0</v>
      </c>
      <c r="D22" s="23">
        <f>D18*D20</f>
        <v>145.00166476225101</v>
      </c>
      <c r="E22" s="23">
        <f>E18*E20</f>
        <v>50.826598898042327</v>
      </c>
      <c r="F22" s="23">
        <f>F18*F20</f>
        <v>212.57121571540952</v>
      </c>
      <c r="G22" s="23"/>
      <c r="H22" s="23"/>
      <c r="I22" s="23"/>
      <c r="J22" s="23">
        <f>J18*J20</f>
        <v>2.1997839268278527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710.98075367000001</v>
      </c>
      <c r="C31" s="39">
        <f>IF(ISERROR(B31*3.6/1000000/'E Balans VL '!Z19*100),0,B31*3.6/1000000/'E Balans VL '!Z19*100)</f>
        <v>2.9926794321180172E-2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320.37607582000004</v>
      </c>
      <c r="C33" s="39">
        <f>IF(ISERROR(B33*3.6/1000000/'E Balans VL '!Z21*100),0,B33*3.6/1000000/'E Balans VL '!Z21*100)</f>
        <v>1.8704514037187828E-2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766.49689402000001</v>
      </c>
      <c r="C37" s="39">
        <f>IF(ISERROR(B37*3.6/1000000/'E Balans VL '!Z15*100),0,B37*3.6/1000000/'E Balans VL '!Z15*100)</f>
        <v>6.1882262266243354E-3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4849.9238813000002</v>
      </c>
      <c r="C5" s="17">
        <f>'Eigen informatie GS &amp; warmtenet'!B60</f>
        <v>0</v>
      </c>
      <c r="D5" s="30">
        <f>IF(ISERROR(SUM(LB_lb_gas_kWh,LB_rest_gas_kWh)/1000),0,SUM(LB_lb_gas_kWh,LB_rest_gas_kWh)/1000)*0.902</f>
        <v>244.75105522758005</v>
      </c>
      <c r="E5" s="17">
        <f>B17*'E Balans VL '!I25/3.6*1000000/100</f>
        <v>125.06091534394935</v>
      </c>
      <c r="F5" s="17">
        <f>B17*('E Balans VL '!L25/3.6*1000000+'E Balans VL '!N25/3.6*1000000)/100</f>
        <v>17727.395409287725</v>
      </c>
      <c r="G5" s="18"/>
      <c r="H5" s="17"/>
      <c r="I5" s="17"/>
      <c r="J5" s="17">
        <f>('E Balans VL '!D25+'E Balans VL '!E25)/3.6*1000000*landbouw!B17/100</f>
        <v>698.21062642054312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4849.9238813000002</v>
      </c>
      <c r="C8" s="21">
        <f>C5+C6</f>
        <v>0</v>
      </c>
      <c r="D8" s="21">
        <f>MAX((D5+D6),0)</f>
        <v>244.75105522758005</v>
      </c>
      <c r="E8" s="21">
        <f>MAX((E5+E6),0)</f>
        <v>125.06091534394935</v>
      </c>
      <c r="F8" s="21">
        <f>MAX((F5+F6),0)</f>
        <v>17727.395409287725</v>
      </c>
      <c r="G8" s="21"/>
      <c r="H8" s="21"/>
      <c r="I8" s="21"/>
      <c r="J8" s="21">
        <f>MAX((J5+J6),0)</f>
        <v>698.21062642054312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0.20063243035590433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973.05201534635955</v>
      </c>
      <c r="C12" s="23">
        <f ca="1">C8*C10</f>
        <v>0</v>
      </c>
      <c r="D12" s="23">
        <f>D8*D10</f>
        <v>49.439713155971177</v>
      </c>
      <c r="E12" s="23">
        <f>E8*E10</f>
        <v>28.388827783076504</v>
      </c>
      <c r="F12" s="23">
        <f>F8*F10</f>
        <v>4733.214574279823</v>
      </c>
      <c r="G12" s="23"/>
      <c r="H12" s="23"/>
      <c r="I12" s="23"/>
      <c r="J12" s="23">
        <f>J8*J10</f>
        <v>247.16656175287224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0.68387139243875106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879.40880345675203</v>
      </c>
      <c r="C26" s="247">
        <f>B26*'GWP N2O_CH4'!B5</f>
        <v>18467.584872591793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334.54942069615004</v>
      </c>
      <c r="C27" s="247">
        <f>B27*'GWP N2O_CH4'!B5</f>
        <v>7025.537834619151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12.073421882889956</v>
      </c>
      <c r="C28" s="247">
        <f>B28*'GWP N2O_CH4'!B4</f>
        <v>3742.7607836958864</v>
      </c>
      <c r="D28" s="50"/>
    </row>
    <row r="29" spans="1:4">
      <c r="A29" s="41" t="s">
        <v>277</v>
      </c>
      <c r="B29" s="247">
        <f>B34*'ha_N2O bodem landbouw'!B4</f>
        <v>39.869390731196589</v>
      </c>
      <c r="C29" s="247">
        <f>B29*'GWP N2O_CH4'!B4</f>
        <v>12359.511126670943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8.9727794802356518E-3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3.3744636857181216E-5</v>
      </c>
      <c r="C5" s="463" t="s">
        <v>211</v>
      </c>
      <c r="D5" s="448">
        <f>SUM(D6:D11)</f>
        <v>9.2030666837232376E-5</v>
      </c>
      <c r="E5" s="448">
        <f>SUM(E6:E11)</f>
        <v>3.4519392456869394E-4</v>
      </c>
      <c r="F5" s="461" t="s">
        <v>211</v>
      </c>
      <c r="G5" s="448">
        <f>SUM(G6:G11)</f>
        <v>0.13037317775782981</v>
      </c>
      <c r="H5" s="448">
        <f>SUM(H6:H11)</f>
        <v>2.446028612888252E-2</v>
      </c>
      <c r="I5" s="463" t="s">
        <v>211</v>
      </c>
      <c r="J5" s="463" t="s">
        <v>211</v>
      </c>
      <c r="K5" s="463" t="s">
        <v>211</v>
      </c>
      <c r="L5" s="463" t="s">
        <v>211</v>
      </c>
      <c r="M5" s="448">
        <f>SUM(M6:M11)</f>
        <v>4.8402390356405024E-3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1.7431672388031202E-5</v>
      </c>
      <c r="C6" s="449"/>
      <c r="D6" s="892">
        <f>vkm_2011_GW_PW*SUMIFS(TableVerdeelsleutelVkm[CNG],TableVerdeelsleutelVkm[Voertuigtype],"Lichte voertuigen")*SUMIFS(TableECFTransport[EnergieConsumptieFactor (PJ per km)],TableECFTransport[Index],CONCATENATE($A6,"_CNG_CNG"))</f>
        <v>3.4637038377508102E-5</v>
      </c>
      <c r="E6" s="892">
        <f>vkm_2011_GW_PW*SUMIFS(TableVerdeelsleutelVkm[LPG],TableVerdeelsleutelVkm[Voertuigtype],"Lichte voertuigen")*SUMIFS(TableECFTransport[EnergieConsumptieFactor (PJ per km)],TableECFTransport[Index],CONCATENATE($A6,"_LPG_LPG"))</f>
        <v>1.3630916246296033E-4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3.2409641793601722E-2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9.3772883210538928E-3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1.3021193289881161E-3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3.2517698585240666E-2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1.0504605588004327E-5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1.0245829278686114E-3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1.631296446915001E-5</v>
      </c>
      <c r="C8" s="449"/>
      <c r="D8" s="451">
        <f>vkm_2011_NGW_PW*SUMIFS(TableVerdeelsleutelVkm[CNG],TableVerdeelsleutelVkm[Voertuigtype],"Lichte voertuigen")*SUMIFS(TableECFTransport[EnergieConsumptieFactor (PJ per km)],TableECFTransport[Index],CONCATENATE($A8,"_CNG_CNG"))</f>
        <v>5.7393628459724275E-5</v>
      </c>
      <c r="E8" s="451">
        <f>vkm_2011_NGW_PW*SUMIFS(TableVerdeelsleutelVkm[LPG],TableVerdeelsleutelVkm[Voertuigtype],"Lichte voertuigen")*SUMIFS(TableECFTransport[EnergieConsumptieFactor (PJ per km)],TableECFTransport[Index],CONCATENATE($A8,"_LPG_LPG"))</f>
        <v>2.0888476210573361E-4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4.637828915192066E-2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1.5066667904581502E-2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1.9127575367290047E-3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1.9067548227066751E-2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5.8252976591191149E-6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6.0077924205476931E-4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9.3735102381058919</v>
      </c>
      <c r="C14" s="21"/>
      <c r="D14" s="21">
        <f t="shared" ref="D14:M14" si="0">((D5)*10^9/3600)+D12</f>
        <v>25.564074121453437</v>
      </c>
      <c r="E14" s="21">
        <f t="shared" si="0"/>
        <v>95.887201269081658</v>
      </c>
      <c r="F14" s="21"/>
      <c r="G14" s="21">
        <f t="shared" si="0"/>
        <v>36214.771599397165</v>
      </c>
      <c r="H14" s="21">
        <f t="shared" si="0"/>
        <v>6794.523924689589</v>
      </c>
      <c r="I14" s="21"/>
      <c r="J14" s="21"/>
      <c r="K14" s="21"/>
      <c r="L14" s="21"/>
      <c r="M14" s="21">
        <f t="shared" si="0"/>
        <v>1344.5108432334728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0.20063243035590433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1.8806301400371366</v>
      </c>
      <c r="C18" s="23"/>
      <c r="D18" s="23">
        <f t="shared" ref="D18:M18" si="1">D14*D16</f>
        <v>5.1639429725335946</v>
      </c>
      <c r="E18" s="23">
        <f t="shared" si="1"/>
        <v>21.766394688081537</v>
      </c>
      <c r="F18" s="23"/>
      <c r="G18" s="23">
        <f t="shared" si="1"/>
        <v>9669.344017039044</v>
      </c>
      <c r="H18" s="23">
        <f t="shared" si="1"/>
        <v>1691.8364572477076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7.723642393206965E-4</v>
      </c>
      <c r="H50" s="321">
        <f t="shared" si="2"/>
        <v>0</v>
      </c>
      <c r="I50" s="321">
        <f t="shared" si="2"/>
        <v>0</v>
      </c>
      <c r="J50" s="321">
        <f t="shared" si="2"/>
        <v>0</v>
      </c>
      <c r="K50" s="321">
        <f t="shared" si="2"/>
        <v>0</v>
      </c>
      <c r="L50" s="321">
        <f t="shared" si="2"/>
        <v>0</v>
      </c>
      <c r="M50" s="321">
        <f t="shared" si="2"/>
        <v>2.3957010784286283E-5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7.723642393206965E-4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2.3957010784286283E-5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214.5456220335268</v>
      </c>
      <c r="H54" s="21">
        <f t="shared" si="3"/>
        <v>0</v>
      </c>
      <c r="I54" s="21">
        <f t="shared" si="3"/>
        <v>0</v>
      </c>
      <c r="J54" s="21">
        <f t="shared" si="3"/>
        <v>0</v>
      </c>
      <c r="K54" s="21">
        <f t="shared" si="3"/>
        <v>0</v>
      </c>
      <c r="L54" s="21">
        <f t="shared" si="3"/>
        <v>0</v>
      </c>
      <c r="M54" s="21">
        <f t="shared" si="3"/>
        <v>6.6547252178573002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0.20063243035590433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57.283681082951659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5899.5249677299998</v>
      </c>
      <c r="D10" s="1012">
        <f ca="1">tertiair!C16</f>
        <v>0</v>
      </c>
      <c r="E10" s="1012">
        <f ca="1">tertiair!D16</f>
        <v>8129.5059275107924</v>
      </c>
      <c r="F10" s="1012">
        <f>tertiair!E16</f>
        <v>98.694442963053874</v>
      </c>
      <c r="G10" s="1012">
        <f ca="1">tertiair!F16</f>
        <v>1462.7404901779119</v>
      </c>
      <c r="H10" s="1012">
        <f>tertiair!G16</f>
        <v>0</v>
      </c>
      <c r="I10" s="1012">
        <f>tertiair!H16</f>
        <v>0</v>
      </c>
      <c r="J10" s="1012">
        <f>tertiair!I16</f>
        <v>0</v>
      </c>
      <c r="K10" s="1012">
        <f>tertiair!J16</f>
        <v>0</v>
      </c>
      <c r="L10" s="1012">
        <f>tertiair!K16</f>
        <v>0</v>
      </c>
      <c r="M10" s="1012">
        <f ca="1">tertiair!L16</f>
        <v>0</v>
      </c>
      <c r="N10" s="1012">
        <f>tertiair!M16</f>
        <v>0</v>
      </c>
      <c r="O10" s="1012">
        <f ca="1">tertiair!N16</f>
        <v>658.74130157296418</v>
      </c>
      <c r="P10" s="1012">
        <f>tertiair!O16</f>
        <v>3.1266666666666669</v>
      </c>
      <c r="Q10" s="1013">
        <f>tertiair!P16</f>
        <v>38.133333333333333</v>
      </c>
      <c r="R10" s="700">
        <f ca="1">SUM(C10:Q10)</f>
        <v>16290.467129954721</v>
      </c>
      <c r="S10" s="67"/>
    </row>
    <row r="11" spans="1:19" s="473" customFormat="1">
      <c r="A11" s="809" t="s">
        <v>225</v>
      </c>
      <c r="B11" s="814"/>
      <c r="C11" s="1012">
        <f>huishoudens!B8</f>
        <v>13614.888203238397</v>
      </c>
      <c r="D11" s="1012">
        <f>huishoudens!C8</f>
        <v>0</v>
      </c>
      <c r="E11" s="1012">
        <f>huishoudens!D8</f>
        <v>19384.62623983479</v>
      </c>
      <c r="F11" s="1012">
        <f>huishoudens!E8</f>
        <v>7763.6080500735543</v>
      </c>
      <c r="G11" s="1012">
        <f>huishoudens!F8</f>
        <v>10097.125536542329</v>
      </c>
      <c r="H11" s="1012">
        <f>huishoudens!G8</f>
        <v>0</v>
      </c>
      <c r="I11" s="1012">
        <f>huishoudens!H8</f>
        <v>0</v>
      </c>
      <c r="J11" s="1012">
        <f>huishoudens!I8</f>
        <v>0</v>
      </c>
      <c r="K11" s="1012">
        <f>huishoudens!J8</f>
        <v>3070.6943479954789</v>
      </c>
      <c r="L11" s="1012">
        <f>huishoudens!K8</f>
        <v>0</v>
      </c>
      <c r="M11" s="1012">
        <f>huishoudens!L8</f>
        <v>0</v>
      </c>
      <c r="N11" s="1012">
        <f>huishoudens!M8</f>
        <v>0</v>
      </c>
      <c r="O11" s="1012">
        <f>huishoudens!N8</f>
        <v>7153.7271268272489</v>
      </c>
      <c r="P11" s="1012">
        <f>huishoudens!O8</f>
        <v>109.43333333333334</v>
      </c>
      <c r="Q11" s="1013">
        <f>huishoudens!P8</f>
        <v>572</v>
      </c>
      <c r="R11" s="700">
        <f>SUM(C11:Q11)</f>
        <v>61766.10283784513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1797.8537235100002</v>
      </c>
      <c r="D13" s="1012">
        <f>industrie!C18</f>
        <v>0</v>
      </c>
      <c r="E13" s="1012">
        <f>industrie!D18</f>
        <v>717.83002357550004</v>
      </c>
      <c r="F13" s="1012">
        <f>industrie!E18</f>
        <v>223.90572201780759</v>
      </c>
      <c r="G13" s="1012">
        <f>industrie!F18</f>
        <v>796.1468753386124</v>
      </c>
      <c r="H13" s="1012">
        <f>industrie!G18</f>
        <v>0</v>
      </c>
      <c r="I13" s="1012">
        <f>industrie!H18</f>
        <v>0</v>
      </c>
      <c r="J13" s="1012">
        <f>industrie!I18</f>
        <v>0</v>
      </c>
      <c r="K13" s="1012">
        <f>industrie!J18</f>
        <v>6.2140788893442176</v>
      </c>
      <c r="L13" s="1012">
        <f>industrie!K18</f>
        <v>0</v>
      </c>
      <c r="M13" s="1012">
        <f>industrie!L18</f>
        <v>0</v>
      </c>
      <c r="N13" s="1012">
        <f>industrie!M18</f>
        <v>0</v>
      </c>
      <c r="O13" s="1012">
        <f>industrie!N18</f>
        <v>377.33964401754974</v>
      </c>
      <c r="P13" s="1012">
        <f>industrie!O18</f>
        <v>0</v>
      </c>
      <c r="Q13" s="1013">
        <f>industrie!P18</f>
        <v>0</v>
      </c>
      <c r="R13" s="700">
        <f>SUM(C13:Q13)</f>
        <v>3919.2900673488143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21312.266894478398</v>
      </c>
      <c r="D16" s="732">
        <f t="shared" ref="D16:R16" ca="1" si="0">SUM(D9:D15)</f>
        <v>0</v>
      </c>
      <c r="E16" s="732">
        <f t="shared" ca="1" si="0"/>
        <v>28231.962190921084</v>
      </c>
      <c r="F16" s="732">
        <f t="shared" si="0"/>
        <v>8086.2082150544156</v>
      </c>
      <c r="G16" s="732">
        <f t="shared" ca="1" si="0"/>
        <v>12356.012902058854</v>
      </c>
      <c r="H16" s="732">
        <f t="shared" si="0"/>
        <v>0</v>
      </c>
      <c r="I16" s="732">
        <f t="shared" si="0"/>
        <v>0</v>
      </c>
      <c r="J16" s="732">
        <f t="shared" si="0"/>
        <v>0</v>
      </c>
      <c r="K16" s="732">
        <f t="shared" si="0"/>
        <v>3076.9084268848233</v>
      </c>
      <c r="L16" s="732">
        <f t="shared" si="0"/>
        <v>0</v>
      </c>
      <c r="M16" s="732">
        <f t="shared" ca="1" si="0"/>
        <v>0</v>
      </c>
      <c r="N16" s="732">
        <f t="shared" si="0"/>
        <v>0</v>
      </c>
      <c r="O16" s="732">
        <f t="shared" ca="1" si="0"/>
        <v>8189.8080724177635</v>
      </c>
      <c r="P16" s="732">
        <f t="shared" si="0"/>
        <v>112.56</v>
      </c>
      <c r="Q16" s="732">
        <f t="shared" si="0"/>
        <v>610.13333333333333</v>
      </c>
      <c r="R16" s="732">
        <f t="shared" ca="1" si="0"/>
        <v>81975.860035148668</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214.5456220335268</v>
      </c>
      <c r="I19" s="1012">
        <f>transport!H54</f>
        <v>0</v>
      </c>
      <c r="J19" s="1012">
        <f>transport!I54</f>
        <v>0</v>
      </c>
      <c r="K19" s="1012">
        <f>transport!J54</f>
        <v>0</v>
      </c>
      <c r="L19" s="1012">
        <f>transport!K54</f>
        <v>0</v>
      </c>
      <c r="M19" s="1012">
        <f>transport!L54</f>
        <v>0</v>
      </c>
      <c r="N19" s="1012">
        <f>transport!M54</f>
        <v>6.6547252178573002</v>
      </c>
      <c r="O19" s="1012">
        <f>transport!N54</f>
        <v>0</v>
      </c>
      <c r="P19" s="1012">
        <f>transport!O54</f>
        <v>0</v>
      </c>
      <c r="Q19" s="1013">
        <f>transport!P54</f>
        <v>0</v>
      </c>
      <c r="R19" s="700">
        <f>SUM(C19:Q19)</f>
        <v>221.2003472513841</v>
      </c>
      <c r="S19" s="67"/>
    </row>
    <row r="20" spans="1:19" s="473" customFormat="1">
      <c r="A20" s="809" t="s">
        <v>307</v>
      </c>
      <c r="B20" s="814"/>
      <c r="C20" s="1012">
        <f>transport!B14</f>
        <v>9.3735102381058919</v>
      </c>
      <c r="D20" s="1012">
        <f>transport!C14</f>
        <v>0</v>
      </c>
      <c r="E20" s="1012">
        <f>transport!D14</f>
        <v>25.564074121453437</v>
      </c>
      <c r="F20" s="1012">
        <f>transport!E14</f>
        <v>95.887201269081658</v>
      </c>
      <c r="G20" s="1012">
        <f>transport!F14</f>
        <v>0</v>
      </c>
      <c r="H20" s="1012">
        <f>transport!G14</f>
        <v>36214.771599397165</v>
      </c>
      <c r="I20" s="1012">
        <f>transport!H14</f>
        <v>6794.523924689589</v>
      </c>
      <c r="J20" s="1012">
        <f>transport!I14</f>
        <v>0</v>
      </c>
      <c r="K20" s="1012">
        <f>transport!J14</f>
        <v>0</v>
      </c>
      <c r="L20" s="1012">
        <f>transport!K14</f>
        <v>0</v>
      </c>
      <c r="M20" s="1012">
        <f>transport!L14</f>
        <v>0</v>
      </c>
      <c r="N20" s="1012">
        <f>transport!M14</f>
        <v>1344.5108432334728</v>
      </c>
      <c r="O20" s="1012">
        <f>transport!N14</f>
        <v>0</v>
      </c>
      <c r="P20" s="1012">
        <f>transport!O14</f>
        <v>0</v>
      </c>
      <c r="Q20" s="1013">
        <f>transport!P14</f>
        <v>0</v>
      </c>
      <c r="R20" s="700">
        <f>SUM(C20:Q20)</f>
        <v>44484.631152948867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9.3735102381058919</v>
      </c>
      <c r="D22" s="812">
        <f t="shared" ref="D22:R22" si="1">SUM(D18:D21)</f>
        <v>0</v>
      </c>
      <c r="E22" s="812">
        <f t="shared" si="1"/>
        <v>25.564074121453437</v>
      </c>
      <c r="F22" s="812">
        <f t="shared" si="1"/>
        <v>95.887201269081658</v>
      </c>
      <c r="G22" s="812">
        <f t="shared" si="1"/>
        <v>0</v>
      </c>
      <c r="H22" s="812">
        <f t="shared" si="1"/>
        <v>36429.317221430691</v>
      </c>
      <c r="I22" s="812">
        <f t="shared" si="1"/>
        <v>6794.523924689589</v>
      </c>
      <c r="J22" s="812">
        <f t="shared" si="1"/>
        <v>0</v>
      </c>
      <c r="K22" s="812">
        <f t="shared" si="1"/>
        <v>0</v>
      </c>
      <c r="L22" s="812">
        <f t="shared" si="1"/>
        <v>0</v>
      </c>
      <c r="M22" s="812">
        <f t="shared" si="1"/>
        <v>0</v>
      </c>
      <c r="N22" s="812">
        <f t="shared" si="1"/>
        <v>1351.16556845133</v>
      </c>
      <c r="O22" s="812">
        <f t="shared" si="1"/>
        <v>0</v>
      </c>
      <c r="P22" s="812">
        <f t="shared" si="1"/>
        <v>0</v>
      </c>
      <c r="Q22" s="812">
        <f t="shared" si="1"/>
        <v>0</v>
      </c>
      <c r="R22" s="812">
        <f t="shared" si="1"/>
        <v>44705.831500200249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4849.9238813000002</v>
      </c>
      <c r="D24" s="1012">
        <f>+landbouw!C8</f>
        <v>0</v>
      </c>
      <c r="E24" s="1012">
        <f>+landbouw!D8</f>
        <v>244.75105522758005</v>
      </c>
      <c r="F24" s="1012">
        <f>+landbouw!E8</f>
        <v>125.06091534394935</v>
      </c>
      <c r="G24" s="1012">
        <f>+landbouw!F8</f>
        <v>17727.395409287725</v>
      </c>
      <c r="H24" s="1012">
        <f>+landbouw!G8</f>
        <v>0</v>
      </c>
      <c r="I24" s="1012">
        <f>+landbouw!H8</f>
        <v>0</v>
      </c>
      <c r="J24" s="1012">
        <f>+landbouw!I8</f>
        <v>0</v>
      </c>
      <c r="K24" s="1012">
        <f>+landbouw!J8</f>
        <v>698.21062642054312</v>
      </c>
      <c r="L24" s="1012">
        <f>+landbouw!K8</f>
        <v>0</v>
      </c>
      <c r="M24" s="1012">
        <f>+landbouw!L8</f>
        <v>0</v>
      </c>
      <c r="N24" s="1012">
        <f>+landbouw!M8</f>
        <v>0</v>
      </c>
      <c r="O24" s="1012">
        <f>+landbouw!N8</f>
        <v>0</v>
      </c>
      <c r="P24" s="1012">
        <f>+landbouw!O8</f>
        <v>0</v>
      </c>
      <c r="Q24" s="1013">
        <f>+landbouw!P8</f>
        <v>0</v>
      </c>
      <c r="R24" s="700">
        <f>SUM(C24:Q24)</f>
        <v>23645.341887579798</v>
      </c>
      <c r="S24" s="67"/>
    </row>
    <row r="25" spans="1:19" s="473" customFormat="1" ht="15" thickBot="1">
      <c r="A25" s="831" t="s">
        <v>848</v>
      </c>
      <c r="B25" s="1015"/>
      <c r="C25" s="1016">
        <f>IF(Onbekend_ele_kWh="---",0,Onbekend_ele_kWh)/1000+IF(REST_rest_ele_kWh="---",0,REST_rest_ele_kWh)/1000</f>
        <v>357.70827000000003</v>
      </c>
      <c r="D25" s="1016"/>
      <c r="E25" s="1016">
        <f>IF(onbekend_gas_kWh="---",0,onbekend_gas_kWh)/1000+IF(REST_rest_gas_kWh="---",0,REST_rest_gas_kWh)/1000</f>
        <v>575.83480220000001</v>
      </c>
      <c r="F25" s="1016"/>
      <c r="G25" s="1016"/>
      <c r="H25" s="1016"/>
      <c r="I25" s="1016"/>
      <c r="J25" s="1016"/>
      <c r="K25" s="1016"/>
      <c r="L25" s="1016"/>
      <c r="M25" s="1016"/>
      <c r="N25" s="1016"/>
      <c r="O25" s="1016"/>
      <c r="P25" s="1016"/>
      <c r="Q25" s="1017"/>
      <c r="R25" s="700">
        <f>SUM(C25:Q25)</f>
        <v>933.5430722000001</v>
      </c>
      <c r="S25" s="67"/>
    </row>
    <row r="26" spans="1:19" s="473" customFormat="1" ht="15.75" thickBot="1">
      <c r="A26" s="705" t="s">
        <v>849</v>
      </c>
      <c r="B26" s="817"/>
      <c r="C26" s="812">
        <f>SUM(C24:C25)</f>
        <v>5207.6321513000003</v>
      </c>
      <c r="D26" s="812">
        <f t="shared" ref="D26:R26" si="2">SUM(D24:D25)</f>
        <v>0</v>
      </c>
      <c r="E26" s="812">
        <f t="shared" si="2"/>
        <v>820.58585742758009</v>
      </c>
      <c r="F26" s="812">
        <f t="shared" si="2"/>
        <v>125.06091534394935</v>
      </c>
      <c r="G26" s="812">
        <f t="shared" si="2"/>
        <v>17727.395409287725</v>
      </c>
      <c r="H26" s="812">
        <f t="shared" si="2"/>
        <v>0</v>
      </c>
      <c r="I26" s="812">
        <f t="shared" si="2"/>
        <v>0</v>
      </c>
      <c r="J26" s="812">
        <f t="shared" si="2"/>
        <v>0</v>
      </c>
      <c r="K26" s="812">
        <f t="shared" si="2"/>
        <v>698.21062642054312</v>
      </c>
      <c r="L26" s="812">
        <f t="shared" si="2"/>
        <v>0</v>
      </c>
      <c r="M26" s="812">
        <f t="shared" si="2"/>
        <v>0</v>
      </c>
      <c r="N26" s="812">
        <f t="shared" si="2"/>
        <v>0</v>
      </c>
      <c r="O26" s="812">
        <f t="shared" si="2"/>
        <v>0</v>
      </c>
      <c r="P26" s="812">
        <f t="shared" si="2"/>
        <v>0</v>
      </c>
      <c r="Q26" s="812">
        <f t="shared" si="2"/>
        <v>0</v>
      </c>
      <c r="R26" s="812">
        <f t="shared" si="2"/>
        <v>24578.884959779796</v>
      </c>
      <c r="S26" s="67"/>
    </row>
    <row r="27" spans="1:19" s="473" customFormat="1" ht="17.25" thickTop="1" thickBot="1">
      <c r="A27" s="706" t="s">
        <v>116</v>
      </c>
      <c r="B27" s="805"/>
      <c r="C27" s="707">
        <f ca="1">C22+C16+C26</f>
        <v>26529.272556016505</v>
      </c>
      <c r="D27" s="707">
        <f t="shared" ref="D27:R27" ca="1" si="3">D22+D16+D26</f>
        <v>0</v>
      </c>
      <c r="E27" s="707">
        <f t="shared" ca="1" si="3"/>
        <v>29078.112122470116</v>
      </c>
      <c r="F27" s="707">
        <f t="shared" si="3"/>
        <v>8307.1563316674474</v>
      </c>
      <c r="G27" s="707">
        <f t="shared" ca="1" si="3"/>
        <v>30083.408311346579</v>
      </c>
      <c r="H27" s="707">
        <f t="shared" si="3"/>
        <v>36429.317221430691</v>
      </c>
      <c r="I27" s="707">
        <f t="shared" si="3"/>
        <v>6794.523924689589</v>
      </c>
      <c r="J27" s="707">
        <f t="shared" si="3"/>
        <v>0</v>
      </c>
      <c r="K27" s="707">
        <f t="shared" si="3"/>
        <v>3775.1190533053664</v>
      </c>
      <c r="L27" s="707">
        <f t="shared" si="3"/>
        <v>0</v>
      </c>
      <c r="M27" s="707">
        <f t="shared" ca="1" si="3"/>
        <v>0</v>
      </c>
      <c r="N27" s="707">
        <f t="shared" si="3"/>
        <v>1351.16556845133</v>
      </c>
      <c r="O27" s="707">
        <f t="shared" ca="1" si="3"/>
        <v>8189.8080724177635</v>
      </c>
      <c r="P27" s="707">
        <f t="shared" si="3"/>
        <v>112.56</v>
      </c>
      <c r="Q27" s="707">
        <f t="shared" si="3"/>
        <v>610.13333333333333</v>
      </c>
      <c r="R27" s="707">
        <f t="shared" ca="1" si="3"/>
        <v>151260.57649512871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1183.636032221008</v>
      </c>
      <c r="D40" s="1012">
        <f ca="1">tertiair!C20</f>
        <v>0</v>
      </c>
      <c r="E40" s="1012">
        <f ca="1">tertiair!D20</f>
        <v>1642.1601973571801</v>
      </c>
      <c r="F40" s="1012">
        <f>tertiair!E20</f>
        <v>22.403638552613231</v>
      </c>
      <c r="G40" s="1012">
        <f ca="1">tertiair!F20</f>
        <v>390.5517108775025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3238.7515790083039</v>
      </c>
    </row>
    <row r="41" spans="1:18">
      <c r="A41" s="822" t="s">
        <v>225</v>
      </c>
      <c r="B41" s="829"/>
      <c r="C41" s="1012">
        <f ca="1">huishoudens!B12</f>
        <v>2731.5881092396512</v>
      </c>
      <c r="D41" s="1012">
        <f ca="1">huishoudens!C12</f>
        <v>0</v>
      </c>
      <c r="E41" s="1012">
        <f>huishoudens!D12</f>
        <v>3915.6945004466279</v>
      </c>
      <c r="F41" s="1012">
        <f>huishoudens!E12</f>
        <v>1762.3390273666969</v>
      </c>
      <c r="G41" s="1012">
        <f>huishoudens!F12</f>
        <v>2695.9325182568023</v>
      </c>
      <c r="H41" s="1012">
        <f>huishoudens!G12</f>
        <v>0</v>
      </c>
      <c r="I41" s="1012">
        <f>huishoudens!H12</f>
        <v>0</v>
      </c>
      <c r="J41" s="1012">
        <f>huishoudens!I12</f>
        <v>0</v>
      </c>
      <c r="K41" s="1012">
        <f>huishoudens!J12</f>
        <v>1087.0257991903995</v>
      </c>
      <c r="L41" s="1012">
        <f>huishoudens!K12</f>
        <v>0</v>
      </c>
      <c r="M41" s="1012">
        <f>huishoudens!L12</f>
        <v>0</v>
      </c>
      <c r="N41" s="1012">
        <f>huishoudens!M12</f>
        <v>0</v>
      </c>
      <c r="O41" s="1012">
        <f>huishoudens!N12</f>
        <v>0</v>
      </c>
      <c r="P41" s="1012">
        <f>huishoudens!O12</f>
        <v>0</v>
      </c>
      <c r="Q41" s="774">
        <f>huishoudens!P12</f>
        <v>0</v>
      </c>
      <c r="R41" s="850">
        <f t="shared" ca="1" si="4"/>
        <v>12192.579954500179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360.70776197222341</v>
      </c>
      <c r="D43" s="1012">
        <f ca="1">industrie!C22</f>
        <v>0</v>
      </c>
      <c r="E43" s="1012">
        <f>industrie!D22</f>
        <v>145.00166476225101</v>
      </c>
      <c r="F43" s="1012">
        <f>industrie!E22</f>
        <v>50.826598898042327</v>
      </c>
      <c r="G43" s="1012">
        <f>industrie!F22</f>
        <v>212.57121571540952</v>
      </c>
      <c r="H43" s="1012">
        <f>industrie!G22</f>
        <v>0</v>
      </c>
      <c r="I43" s="1012">
        <f>industrie!H22</f>
        <v>0</v>
      </c>
      <c r="J43" s="1012">
        <f>industrie!I22</f>
        <v>0</v>
      </c>
      <c r="K43" s="1012">
        <f>industrie!J22</f>
        <v>2.1997839268278527</v>
      </c>
      <c r="L43" s="1012">
        <f>industrie!K22</f>
        <v>0</v>
      </c>
      <c r="M43" s="1012">
        <f>industrie!L22</f>
        <v>0</v>
      </c>
      <c r="N43" s="1012">
        <f>industrie!M22</f>
        <v>0</v>
      </c>
      <c r="O43" s="1012">
        <f>industrie!N22</f>
        <v>0</v>
      </c>
      <c r="P43" s="1012">
        <f>industrie!O22</f>
        <v>0</v>
      </c>
      <c r="Q43" s="774">
        <f>industrie!P22</f>
        <v>0</v>
      </c>
      <c r="R43" s="849">
        <f t="shared" ca="1" si="4"/>
        <v>771.3070252747541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4275.9319034328828</v>
      </c>
      <c r="D46" s="732">
        <f t="shared" ref="D46:Q46" ca="1" si="5">SUM(D39:D45)</f>
        <v>0</v>
      </c>
      <c r="E46" s="732">
        <f t="shared" ca="1" si="5"/>
        <v>5702.856362566059</v>
      </c>
      <c r="F46" s="732">
        <f t="shared" si="5"/>
        <v>1835.5692648173524</v>
      </c>
      <c r="G46" s="732">
        <f t="shared" ca="1" si="5"/>
        <v>3299.0554448497141</v>
      </c>
      <c r="H46" s="732">
        <f t="shared" si="5"/>
        <v>0</v>
      </c>
      <c r="I46" s="732">
        <f t="shared" si="5"/>
        <v>0</v>
      </c>
      <c r="J46" s="732">
        <f t="shared" si="5"/>
        <v>0</v>
      </c>
      <c r="K46" s="732">
        <f t="shared" si="5"/>
        <v>1089.2255831172274</v>
      </c>
      <c r="L46" s="732">
        <f t="shared" si="5"/>
        <v>0</v>
      </c>
      <c r="M46" s="732">
        <f t="shared" ca="1" si="5"/>
        <v>0</v>
      </c>
      <c r="N46" s="732">
        <f t="shared" si="5"/>
        <v>0</v>
      </c>
      <c r="O46" s="732">
        <f t="shared" ca="1" si="5"/>
        <v>0</v>
      </c>
      <c r="P46" s="732">
        <f t="shared" si="5"/>
        <v>0</v>
      </c>
      <c r="Q46" s="732">
        <f t="shared" si="5"/>
        <v>0</v>
      </c>
      <c r="R46" s="732">
        <f ca="1">SUM(R39:R45)</f>
        <v>16202.638558783237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57.283681082951659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57.283681082951659</v>
      </c>
    </row>
    <row r="50" spans="1:18">
      <c r="A50" s="825" t="s">
        <v>307</v>
      </c>
      <c r="B50" s="835"/>
      <c r="C50" s="703">
        <f ca="1">transport!B18</f>
        <v>1.8806301400371366</v>
      </c>
      <c r="D50" s="703">
        <f>transport!C18</f>
        <v>0</v>
      </c>
      <c r="E50" s="703">
        <f>transport!D18</f>
        <v>5.1639429725335946</v>
      </c>
      <c r="F50" s="703">
        <f>transport!E18</f>
        <v>21.766394688081537</v>
      </c>
      <c r="G50" s="703">
        <f>transport!F18</f>
        <v>0</v>
      </c>
      <c r="H50" s="703">
        <f>transport!G18</f>
        <v>9669.344017039044</v>
      </c>
      <c r="I50" s="703">
        <f>transport!H18</f>
        <v>1691.8364572477076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11389.991442087405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1.8806301400371366</v>
      </c>
      <c r="D52" s="732">
        <f t="shared" ref="D52:Q52" ca="1" si="6">SUM(D48:D51)</f>
        <v>0</v>
      </c>
      <c r="E52" s="732">
        <f t="shared" si="6"/>
        <v>5.1639429725335946</v>
      </c>
      <c r="F52" s="732">
        <f t="shared" si="6"/>
        <v>21.766394688081537</v>
      </c>
      <c r="G52" s="732">
        <f t="shared" si="6"/>
        <v>0</v>
      </c>
      <c r="H52" s="732">
        <f t="shared" si="6"/>
        <v>9726.6276981219962</v>
      </c>
      <c r="I52" s="732">
        <f t="shared" si="6"/>
        <v>1691.8364572477076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11447.275123170357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973.05201534635955</v>
      </c>
      <c r="D54" s="703">
        <f ca="1">+landbouw!C12</f>
        <v>0</v>
      </c>
      <c r="E54" s="703">
        <f>+landbouw!D12</f>
        <v>49.439713155971177</v>
      </c>
      <c r="F54" s="703">
        <f>+landbouw!E12</f>
        <v>28.388827783076504</v>
      </c>
      <c r="G54" s="703">
        <f>+landbouw!F12</f>
        <v>4733.214574279823</v>
      </c>
      <c r="H54" s="703">
        <f>+landbouw!G12</f>
        <v>0</v>
      </c>
      <c r="I54" s="703">
        <f>+landbouw!H12</f>
        <v>0</v>
      </c>
      <c r="J54" s="703">
        <f>+landbouw!I12</f>
        <v>0</v>
      </c>
      <c r="K54" s="703">
        <f>+landbouw!J12</f>
        <v>247.16656175287224</v>
      </c>
      <c r="L54" s="703">
        <f>+landbouw!K12</f>
        <v>0</v>
      </c>
      <c r="M54" s="703">
        <f>+landbouw!L12</f>
        <v>0</v>
      </c>
      <c r="N54" s="703">
        <f>+landbouw!M12</f>
        <v>0</v>
      </c>
      <c r="O54" s="703">
        <f>+landbouw!N12</f>
        <v>0</v>
      </c>
      <c r="P54" s="703">
        <f>+landbouw!O12</f>
        <v>0</v>
      </c>
      <c r="Q54" s="704">
        <f>+landbouw!P12</f>
        <v>0</v>
      </c>
      <c r="R54" s="731">
        <f ca="1">SUM(C54:Q54)</f>
        <v>6031.2616923181031</v>
      </c>
    </row>
    <row r="55" spans="1:18" ht="15" thickBot="1">
      <c r="A55" s="825" t="s">
        <v>848</v>
      </c>
      <c r="B55" s="835"/>
      <c r="C55" s="703">
        <f ca="1">C25*'EF ele_warmte'!B12</f>
        <v>71.767879568506032</v>
      </c>
      <c r="D55" s="703"/>
      <c r="E55" s="703">
        <f>E25*EF_CO2_aardgas</f>
        <v>116.31863004440001</v>
      </c>
      <c r="F55" s="703"/>
      <c r="G55" s="703"/>
      <c r="H55" s="703"/>
      <c r="I55" s="703"/>
      <c r="J55" s="703"/>
      <c r="K55" s="703"/>
      <c r="L55" s="703"/>
      <c r="M55" s="703"/>
      <c r="N55" s="703"/>
      <c r="O55" s="703"/>
      <c r="P55" s="703"/>
      <c r="Q55" s="704"/>
      <c r="R55" s="731">
        <f ca="1">SUM(C55:Q55)</f>
        <v>188.08650961290604</v>
      </c>
    </row>
    <row r="56" spans="1:18" ht="15.75" thickBot="1">
      <c r="A56" s="823" t="s">
        <v>849</v>
      </c>
      <c r="B56" s="836"/>
      <c r="C56" s="732">
        <f ca="1">SUM(C54:C55)</f>
        <v>1044.8198949148655</v>
      </c>
      <c r="D56" s="732">
        <f t="shared" ref="D56:Q56" ca="1" si="7">SUM(D54:D55)</f>
        <v>0</v>
      </c>
      <c r="E56" s="732">
        <f t="shared" si="7"/>
        <v>165.7583432003712</v>
      </c>
      <c r="F56" s="732">
        <f t="shared" si="7"/>
        <v>28.388827783076504</v>
      </c>
      <c r="G56" s="732">
        <f t="shared" si="7"/>
        <v>4733.214574279823</v>
      </c>
      <c r="H56" s="732">
        <f t="shared" si="7"/>
        <v>0</v>
      </c>
      <c r="I56" s="732">
        <f t="shared" si="7"/>
        <v>0</v>
      </c>
      <c r="J56" s="732">
        <f t="shared" si="7"/>
        <v>0</v>
      </c>
      <c r="K56" s="732">
        <f t="shared" si="7"/>
        <v>247.16656175287224</v>
      </c>
      <c r="L56" s="732">
        <f t="shared" si="7"/>
        <v>0</v>
      </c>
      <c r="M56" s="732">
        <f t="shared" si="7"/>
        <v>0</v>
      </c>
      <c r="N56" s="732">
        <f t="shared" si="7"/>
        <v>0</v>
      </c>
      <c r="O56" s="732">
        <f t="shared" si="7"/>
        <v>0</v>
      </c>
      <c r="P56" s="732">
        <f t="shared" si="7"/>
        <v>0</v>
      </c>
      <c r="Q56" s="733">
        <f t="shared" si="7"/>
        <v>0</v>
      </c>
      <c r="R56" s="734">
        <f ca="1">SUM(R54:R55)</f>
        <v>6219.3482019310095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5322.6324284877855</v>
      </c>
      <c r="D61" s="740">
        <f t="shared" ref="D61:Q61" ca="1" si="8">D46+D52+D56</f>
        <v>0</v>
      </c>
      <c r="E61" s="740">
        <f t="shared" ca="1" si="8"/>
        <v>5873.778648738964</v>
      </c>
      <c r="F61" s="740">
        <f t="shared" si="8"/>
        <v>1885.7244872885105</v>
      </c>
      <c r="G61" s="740">
        <f t="shared" ca="1" si="8"/>
        <v>8032.2700191295371</v>
      </c>
      <c r="H61" s="740">
        <f t="shared" si="8"/>
        <v>9726.6276981219962</v>
      </c>
      <c r="I61" s="740">
        <f t="shared" si="8"/>
        <v>1691.8364572477076</v>
      </c>
      <c r="J61" s="740">
        <f t="shared" si="8"/>
        <v>0</v>
      </c>
      <c r="K61" s="740">
        <f t="shared" si="8"/>
        <v>1336.3921448700996</v>
      </c>
      <c r="L61" s="740">
        <f t="shared" si="8"/>
        <v>0</v>
      </c>
      <c r="M61" s="740">
        <f t="shared" ca="1" si="8"/>
        <v>0</v>
      </c>
      <c r="N61" s="740">
        <f t="shared" si="8"/>
        <v>0</v>
      </c>
      <c r="O61" s="740">
        <f t="shared" ca="1" si="8"/>
        <v>0</v>
      </c>
      <c r="P61" s="740">
        <f t="shared" si="8"/>
        <v>0</v>
      </c>
      <c r="Q61" s="740">
        <f t="shared" si="8"/>
        <v>0</v>
      </c>
      <c r="R61" s="740">
        <f ca="1">R46+R52+R56</f>
        <v>33869.261883884603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0.20063243035590433</v>
      </c>
      <c r="D63" s="781">
        <f t="shared" ca="1" si="9"/>
        <v>0</v>
      </c>
      <c r="E63" s="1023">
        <f t="shared" ca="1" si="9"/>
        <v>0.20200000000000001</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2444.9629248500555</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2444.9629248500555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2444.9629248500555</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2444.9629248500555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13614.888203238397</v>
      </c>
      <c r="C4" s="477">
        <f>huishoudens!C8</f>
        <v>0</v>
      </c>
      <c r="D4" s="477">
        <f>huishoudens!D8</f>
        <v>19384.62623983479</v>
      </c>
      <c r="E4" s="477">
        <f>huishoudens!E8</f>
        <v>7763.6080500735543</v>
      </c>
      <c r="F4" s="477">
        <f>huishoudens!F8</f>
        <v>10097.125536542329</v>
      </c>
      <c r="G4" s="477">
        <f>huishoudens!G8</f>
        <v>0</v>
      </c>
      <c r="H4" s="477">
        <f>huishoudens!H8</f>
        <v>0</v>
      </c>
      <c r="I4" s="477">
        <f>huishoudens!I8</f>
        <v>0</v>
      </c>
      <c r="J4" s="477">
        <f>huishoudens!J8</f>
        <v>3070.6943479954789</v>
      </c>
      <c r="K4" s="477">
        <f>huishoudens!K8</f>
        <v>0</v>
      </c>
      <c r="L4" s="477">
        <f>huishoudens!L8</f>
        <v>0</v>
      </c>
      <c r="M4" s="477">
        <f>huishoudens!M8</f>
        <v>0</v>
      </c>
      <c r="N4" s="477">
        <f>huishoudens!N8</f>
        <v>7153.7271268272489</v>
      </c>
      <c r="O4" s="477">
        <f>huishoudens!O8</f>
        <v>109.43333333333334</v>
      </c>
      <c r="P4" s="478">
        <f>huishoudens!P8</f>
        <v>572</v>
      </c>
      <c r="Q4" s="479">
        <f>SUM(B4:P4)</f>
        <v>61766.10283784513</v>
      </c>
    </row>
    <row r="5" spans="1:17">
      <c r="A5" s="476" t="s">
        <v>156</v>
      </c>
      <c r="B5" s="477">
        <f ca="1">tertiair!B16</f>
        <v>5231.0809677300003</v>
      </c>
      <c r="C5" s="477">
        <f ca="1">tertiair!C16</f>
        <v>0</v>
      </c>
      <c r="D5" s="477">
        <f ca="1">tertiair!D16</f>
        <v>8129.5059275107924</v>
      </c>
      <c r="E5" s="477">
        <f>tertiair!E16</f>
        <v>98.694442963053874</v>
      </c>
      <c r="F5" s="477">
        <f ca="1">tertiair!F16</f>
        <v>1462.7404901779119</v>
      </c>
      <c r="G5" s="477">
        <f>tertiair!G16</f>
        <v>0</v>
      </c>
      <c r="H5" s="477">
        <f>tertiair!H16</f>
        <v>0</v>
      </c>
      <c r="I5" s="477">
        <f>tertiair!I16</f>
        <v>0</v>
      </c>
      <c r="J5" s="477">
        <f>tertiair!J16</f>
        <v>0</v>
      </c>
      <c r="K5" s="477">
        <f>tertiair!K16</f>
        <v>0</v>
      </c>
      <c r="L5" s="477">
        <f ca="1">tertiair!L16</f>
        <v>0</v>
      </c>
      <c r="M5" s="477">
        <f>tertiair!M16</f>
        <v>0</v>
      </c>
      <c r="N5" s="477">
        <f ca="1">tertiair!N16</f>
        <v>658.74130157296418</v>
      </c>
      <c r="O5" s="477">
        <f>tertiair!O16</f>
        <v>3.1266666666666669</v>
      </c>
      <c r="P5" s="478">
        <f>tertiair!P16</f>
        <v>38.133333333333333</v>
      </c>
      <c r="Q5" s="476">
        <f t="shared" ref="Q5:Q14" ca="1" si="0">SUM(B5:P5)</f>
        <v>15622.023129954721</v>
      </c>
    </row>
    <row r="6" spans="1:17">
      <c r="A6" s="476" t="s">
        <v>194</v>
      </c>
      <c r="B6" s="477">
        <f>'openbare verlichting'!B8</f>
        <v>668.44399999999996</v>
      </c>
      <c r="C6" s="477"/>
      <c r="D6" s="477"/>
      <c r="E6" s="477"/>
      <c r="F6" s="477"/>
      <c r="G6" s="477"/>
      <c r="H6" s="477"/>
      <c r="I6" s="477"/>
      <c r="J6" s="477"/>
      <c r="K6" s="477"/>
      <c r="L6" s="477"/>
      <c r="M6" s="477"/>
      <c r="N6" s="477"/>
      <c r="O6" s="477"/>
      <c r="P6" s="478"/>
      <c r="Q6" s="476">
        <f t="shared" si="0"/>
        <v>668.44399999999996</v>
      </c>
    </row>
    <row r="7" spans="1:17">
      <c r="A7" s="476" t="s">
        <v>112</v>
      </c>
      <c r="B7" s="477">
        <f>landbouw!B8</f>
        <v>4849.9238813000002</v>
      </c>
      <c r="C7" s="477">
        <f>landbouw!C8</f>
        <v>0</v>
      </c>
      <c r="D7" s="477">
        <f>landbouw!D8</f>
        <v>244.75105522758005</v>
      </c>
      <c r="E7" s="477">
        <f>landbouw!E8</f>
        <v>125.06091534394935</v>
      </c>
      <c r="F7" s="477">
        <f>landbouw!F8</f>
        <v>17727.395409287725</v>
      </c>
      <c r="G7" s="477">
        <f>landbouw!G8</f>
        <v>0</v>
      </c>
      <c r="H7" s="477">
        <f>landbouw!H8</f>
        <v>0</v>
      </c>
      <c r="I7" s="477">
        <f>landbouw!I8</f>
        <v>0</v>
      </c>
      <c r="J7" s="477">
        <f>landbouw!J8</f>
        <v>698.21062642054312</v>
      </c>
      <c r="K7" s="477">
        <f>landbouw!K8</f>
        <v>0</v>
      </c>
      <c r="L7" s="477">
        <f>landbouw!L8</f>
        <v>0</v>
      </c>
      <c r="M7" s="477">
        <f>landbouw!M8</f>
        <v>0</v>
      </c>
      <c r="N7" s="477">
        <f>landbouw!N8</f>
        <v>0</v>
      </c>
      <c r="O7" s="477">
        <f>landbouw!O8</f>
        <v>0</v>
      </c>
      <c r="P7" s="478">
        <f>landbouw!P8</f>
        <v>0</v>
      </c>
      <c r="Q7" s="476">
        <f t="shared" si="0"/>
        <v>23645.341887579798</v>
      </c>
    </row>
    <row r="8" spans="1:17">
      <c r="A8" s="476" t="s">
        <v>638</v>
      </c>
      <c r="B8" s="477">
        <f>industrie!B18</f>
        <v>1797.8537235100002</v>
      </c>
      <c r="C8" s="477">
        <f>industrie!C18</f>
        <v>0</v>
      </c>
      <c r="D8" s="477">
        <f>industrie!D18</f>
        <v>717.83002357550004</v>
      </c>
      <c r="E8" s="477">
        <f>industrie!E18</f>
        <v>223.90572201780759</v>
      </c>
      <c r="F8" s="477">
        <f>industrie!F18</f>
        <v>796.1468753386124</v>
      </c>
      <c r="G8" s="477">
        <f>industrie!G18</f>
        <v>0</v>
      </c>
      <c r="H8" s="477">
        <f>industrie!H18</f>
        <v>0</v>
      </c>
      <c r="I8" s="477">
        <f>industrie!I18</f>
        <v>0</v>
      </c>
      <c r="J8" s="477">
        <f>industrie!J18</f>
        <v>6.2140788893442176</v>
      </c>
      <c r="K8" s="477">
        <f>industrie!K18</f>
        <v>0</v>
      </c>
      <c r="L8" s="477">
        <f>industrie!L18</f>
        <v>0</v>
      </c>
      <c r="M8" s="477">
        <f>industrie!M18</f>
        <v>0</v>
      </c>
      <c r="N8" s="477">
        <f>industrie!N18</f>
        <v>377.33964401754974</v>
      </c>
      <c r="O8" s="477">
        <f>industrie!O18</f>
        <v>0</v>
      </c>
      <c r="P8" s="478">
        <f>industrie!P18</f>
        <v>0</v>
      </c>
      <c r="Q8" s="476">
        <f t="shared" si="0"/>
        <v>3919.2900673488143</v>
      </c>
    </row>
    <row r="9" spans="1:17" s="482" customFormat="1">
      <c r="A9" s="480" t="s">
        <v>564</v>
      </c>
      <c r="B9" s="481">
        <f>transport!B14</f>
        <v>9.3735102381058919</v>
      </c>
      <c r="C9" s="481">
        <f>transport!C14</f>
        <v>0</v>
      </c>
      <c r="D9" s="481">
        <f>transport!D14</f>
        <v>25.564074121453437</v>
      </c>
      <c r="E9" s="481">
        <f>transport!E14</f>
        <v>95.887201269081658</v>
      </c>
      <c r="F9" s="481">
        <f>transport!F14</f>
        <v>0</v>
      </c>
      <c r="G9" s="481">
        <f>transport!G14</f>
        <v>36214.771599397165</v>
      </c>
      <c r="H9" s="481">
        <f>transport!H14</f>
        <v>6794.523924689589</v>
      </c>
      <c r="I9" s="481">
        <f>transport!I14</f>
        <v>0</v>
      </c>
      <c r="J9" s="481">
        <f>transport!J14</f>
        <v>0</v>
      </c>
      <c r="K9" s="481">
        <f>transport!K14</f>
        <v>0</v>
      </c>
      <c r="L9" s="481">
        <f>transport!L14</f>
        <v>0</v>
      </c>
      <c r="M9" s="481">
        <f>transport!M14</f>
        <v>1344.5108432334728</v>
      </c>
      <c r="N9" s="481">
        <f>transport!N14</f>
        <v>0</v>
      </c>
      <c r="O9" s="481">
        <f>transport!O14</f>
        <v>0</v>
      </c>
      <c r="P9" s="481">
        <f>transport!P14</f>
        <v>0</v>
      </c>
      <c r="Q9" s="480">
        <f>SUM(B9:P9)</f>
        <v>44484.631152948867</v>
      </c>
    </row>
    <row r="10" spans="1:17">
      <c r="A10" s="476" t="s">
        <v>554</v>
      </c>
      <c r="B10" s="477">
        <f>transport!B54</f>
        <v>0</v>
      </c>
      <c r="C10" s="477">
        <f>transport!C54</f>
        <v>0</v>
      </c>
      <c r="D10" s="477">
        <f>transport!D54</f>
        <v>0</v>
      </c>
      <c r="E10" s="477">
        <f>transport!E54</f>
        <v>0</v>
      </c>
      <c r="F10" s="477">
        <f>transport!F54</f>
        <v>0</v>
      </c>
      <c r="G10" s="477">
        <f>transport!G54</f>
        <v>214.5456220335268</v>
      </c>
      <c r="H10" s="477">
        <f>transport!H54</f>
        <v>0</v>
      </c>
      <c r="I10" s="477">
        <f>transport!I54</f>
        <v>0</v>
      </c>
      <c r="J10" s="477">
        <f>transport!J54</f>
        <v>0</v>
      </c>
      <c r="K10" s="477">
        <f>transport!K54</f>
        <v>0</v>
      </c>
      <c r="L10" s="477">
        <f>transport!L54</f>
        <v>0</v>
      </c>
      <c r="M10" s="477">
        <f>transport!M54</f>
        <v>6.6547252178573002</v>
      </c>
      <c r="N10" s="477">
        <f>transport!N54</f>
        <v>0</v>
      </c>
      <c r="O10" s="477">
        <f>transport!O54</f>
        <v>0</v>
      </c>
      <c r="P10" s="478">
        <f>transport!P54</f>
        <v>0</v>
      </c>
      <c r="Q10" s="476">
        <f t="shared" si="0"/>
        <v>221.2003472513841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357.70827000000003</v>
      </c>
      <c r="C14" s="484"/>
      <c r="D14" s="484">
        <f>'SEAP template'!E25</f>
        <v>575.83480220000001</v>
      </c>
      <c r="E14" s="484"/>
      <c r="F14" s="484"/>
      <c r="G14" s="484"/>
      <c r="H14" s="484"/>
      <c r="I14" s="484"/>
      <c r="J14" s="484"/>
      <c r="K14" s="484"/>
      <c r="L14" s="484"/>
      <c r="M14" s="484"/>
      <c r="N14" s="484"/>
      <c r="O14" s="484"/>
      <c r="P14" s="485"/>
      <c r="Q14" s="476">
        <f t="shared" si="0"/>
        <v>933.5430722000001</v>
      </c>
    </row>
    <row r="15" spans="1:17" s="486" customFormat="1">
      <c r="A15" s="1038" t="s">
        <v>558</v>
      </c>
      <c r="B15" s="978">
        <f ca="1">SUM(B4:B14)</f>
        <v>26529.272556016505</v>
      </c>
      <c r="C15" s="978">
        <f t="shared" ref="C15:Q15" ca="1" si="1">SUM(C4:C14)</f>
        <v>0</v>
      </c>
      <c r="D15" s="978">
        <f t="shared" ca="1" si="1"/>
        <v>29078.112122470116</v>
      </c>
      <c r="E15" s="978">
        <f t="shared" si="1"/>
        <v>8307.1563316674456</v>
      </c>
      <c r="F15" s="978">
        <f t="shared" ca="1" si="1"/>
        <v>30083.408311346579</v>
      </c>
      <c r="G15" s="978">
        <f t="shared" si="1"/>
        <v>36429.317221430691</v>
      </c>
      <c r="H15" s="978">
        <f t="shared" si="1"/>
        <v>6794.523924689589</v>
      </c>
      <c r="I15" s="978">
        <f t="shared" si="1"/>
        <v>0</v>
      </c>
      <c r="J15" s="978">
        <f t="shared" si="1"/>
        <v>3775.1190533053664</v>
      </c>
      <c r="K15" s="978">
        <f t="shared" si="1"/>
        <v>0</v>
      </c>
      <c r="L15" s="978">
        <f t="shared" ca="1" si="1"/>
        <v>0</v>
      </c>
      <c r="M15" s="978">
        <f t="shared" si="1"/>
        <v>1351.16556845133</v>
      </c>
      <c r="N15" s="978">
        <f t="shared" ca="1" si="1"/>
        <v>8189.8080724177635</v>
      </c>
      <c r="O15" s="978">
        <f t="shared" si="1"/>
        <v>112.56</v>
      </c>
      <c r="P15" s="978">
        <f t="shared" si="1"/>
        <v>610.13333333333333</v>
      </c>
      <c r="Q15" s="978">
        <f t="shared" ca="1" si="1"/>
        <v>151260.57649512871</v>
      </c>
    </row>
    <row r="17" spans="1:17">
      <c r="A17" s="487" t="s">
        <v>559</v>
      </c>
      <c r="B17" s="786">
        <f ca="1">huishoudens!B10</f>
        <v>0.20063243035590433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2731.5881092396512</v>
      </c>
      <c r="C22" s="477">
        <f t="shared" ref="C22:C32" ca="1" si="3">C4*$C$17</f>
        <v>0</v>
      </c>
      <c r="D22" s="477">
        <f t="shared" ref="D22:D32" si="4">D4*$D$17</f>
        <v>3915.6945004466279</v>
      </c>
      <c r="E22" s="477">
        <f t="shared" ref="E22:E32" si="5">E4*$E$17</f>
        <v>1762.3390273666969</v>
      </c>
      <c r="F22" s="477">
        <f t="shared" ref="F22:F32" si="6">F4*$F$17</f>
        <v>2695.9325182568023</v>
      </c>
      <c r="G22" s="477">
        <f t="shared" ref="G22:G32" si="7">G4*$G$17</f>
        <v>0</v>
      </c>
      <c r="H22" s="477">
        <f t="shared" ref="H22:H32" si="8">H4*$H$17</f>
        <v>0</v>
      </c>
      <c r="I22" s="477">
        <f t="shared" ref="I22:I32" si="9">I4*$I$17</f>
        <v>0</v>
      </c>
      <c r="J22" s="477">
        <f t="shared" ref="J22:J32" si="10">J4*$J$17</f>
        <v>1087.0257991903995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12192.579954500179</v>
      </c>
    </row>
    <row r="23" spans="1:17">
      <c r="A23" s="476" t="s">
        <v>156</v>
      </c>
      <c r="B23" s="477">
        <f t="shared" ca="1" si="2"/>
        <v>1049.5244879441859</v>
      </c>
      <c r="C23" s="477">
        <f t="shared" ca="1" si="3"/>
        <v>0</v>
      </c>
      <c r="D23" s="477">
        <f t="shared" ca="1" si="4"/>
        <v>1642.1601973571801</v>
      </c>
      <c r="E23" s="477">
        <f t="shared" si="5"/>
        <v>22.403638552613231</v>
      </c>
      <c r="F23" s="477">
        <f t="shared" ca="1" si="6"/>
        <v>390.5517108775025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3104.6400347314816</v>
      </c>
    </row>
    <row r="24" spans="1:17">
      <c r="A24" s="476" t="s">
        <v>194</v>
      </c>
      <c r="B24" s="477">
        <f t="shared" ca="1" si="2"/>
        <v>134.11154427682212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134.11154427682212</v>
      </c>
    </row>
    <row r="25" spans="1:17">
      <c r="A25" s="476" t="s">
        <v>112</v>
      </c>
      <c r="B25" s="477">
        <f t="shared" ca="1" si="2"/>
        <v>973.05201534635955</v>
      </c>
      <c r="C25" s="477">
        <f t="shared" ca="1" si="3"/>
        <v>0</v>
      </c>
      <c r="D25" s="477">
        <f t="shared" si="4"/>
        <v>49.439713155971177</v>
      </c>
      <c r="E25" s="477">
        <f t="shared" si="5"/>
        <v>28.388827783076504</v>
      </c>
      <c r="F25" s="477">
        <f t="shared" si="6"/>
        <v>4733.214574279823</v>
      </c>
      <c r="G25" s="477">
        <f t="shared" si="7"/>
        <v>0</v>
      </c>
      <c r="H25" s="477">
        <f t="shared" si="8"/>
        <v>0</v>
      </c>
      <c r="I25" s="477">
        <f t="shared" si="9"/>
        <v>0</v>
      </c>
      <c r="J25" s="477">
        <f t="shared" si="10"/>
        <v>247.16656175287224</v>
      </c>
      <c r="K25" s="477">
        <f t="shared" si="11"/>
        <v>0</v>
      </c>
      <c r="L25" s="477">
        <f t="shared" si="12"/>
        <v>0</v>
      </c>
      <c r="M25" s="477">
        <f t="shared" si="13"/>
        <v>0</v>
      </c>
      <c r="N25" s="477">
        <f t="shared" si="14"/>
        <v>0</v>
      </c>
      <c r="O25" s="477">
        <f t="shared" si="15"/>
        <v>0</v>
      </c>
      <c r="P25" s="478">
        <f t="shared" si="16"/>
        <v>0</v>
      </c>
      <c r="Q25" s="476">
        <f t="shared" ca="1" si="17"/>
        <v>6031.2616923181031</v>
      </c>
    </row>
    <row r="26" spans="1:17">
      <c r="A26" s="476" t="s">
        <v>638</v>
      </c>
      <c r="B26" s="477">
        <f t="shared" ca="1" si="2"/>
        <v>360.70776197222341</v>
      </c>
      <c r="C26" s="477">
        <f t="shared" ca="1" si="3"/>
        <v>0</v>
      </c>
      <c r="D26" s="477">
        <f t="shared" si="4"/>
        <v>145.00166476225101</v>
      </c>
      <c r="E26" s="477">
        <f t="shared" si="5"/>
        <v>50.826598898042327</v>
      </c>
      <c r="F26" s="477">
        <f t="shared" si="6"/>
        <v>212.57121571540952</v>
      </c>
      <c r="G26" s="477">
        <f t="shared" si="7"/>
        <v>0</v>
      </c>
      <c r="H26" s="477">
        <f t="shared" si="8"/>
        <v>0</v>
      </c>
      <c r="I26" s="477">
        <f t="shared" si="9"/>
        <v>0</v>
      </c>
      <c r="J26" s="477">
        <f t="shared" si="10"/>
        <v>2.1997839268278527</v>
      </c>
      <c r="K26" s="477">
        <f t="shared" si="11"/>
        <v>0</v>
      </c>
      <c r="L26" s="477">
        <f t="shared" si="12"/>
        <v>0</v>
      </c>
      <c r="M26" s="477">
        <f t="shared" si="13"/>
        <v>0</v>
      </c>
      <c r="N26" s="477">
        <f t="shared" si="14"/>
        <v>0</v>
      </c>
      <c r="O26" s="477">
        <f t="shared" si="15"/>
        <v>0</v>
      </c>
      <c r="P26" s="478">
        <f t="shared" si="16"/>
        <v>0</v>
      </c>
      <c r="Q26" s="476">
        <f t="shared" ca="1" si="17"/>
        <v>771.3070252747541</v>
      </c>
    </row>
    <row r="27" spans="1:17" s="482" customFormat="1">
      <c r="A27" s="480" t="s">
        <v>564</v>
      </c>
      <c r="B27" s="780">
        <f t="shared" ca="1" si="2"/>
        <v>1.8806301400371366</v>
      </c>
      <c r="C27" s="481">
        <f t="shared" ca="1" si="3"/>
        <v>0</v>
      </c>
      <c r="D27" s="481">
        <f t="shared" si="4"/>
        <v>5.1639429725335946</v>
      </c>
      <c r="E27" s="481">
        <f t="shared" si="5"/>
        <v>21.766394688081537</v>
      </c>
      <c r="F27" s="481">
        <f t="shared" si="6"/>
        <v>0</v>
      </c>
      <c r="G27" s="481">
        <f t="shared" si="7"/>
        <v>9669.344017039044</v>
      </c>
      <c r="H27" s="481">
        <f t="shared" si="8"/>
        <v>1691.8364572477076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11389.991442087405</v>
      </c>
    </row>
    <row r="28" spans="1:17">
      <c r="A28" s="476" t="s">
        <v>554</v>
      </c>
      <c r="B28" s="477">
        <f t="shared" ca="1" si="2"/>
        <v>0</v>
      </c>
      <c r="C28" s="477">
        <f t="shared" ca="1" si="3"/>
        <v>0</v>
      </c>
      <c r="D28" s="477">
        <f t="shared" si="4"/>
        <v>0</v>
      </c>
      <c r="E28" s="477">
        <f t="shared" si="5"/>
        <v>0</v>
      </c>
      <c r="F28" s="477">
        <f t="shared" si="6"/>
        <v>0</v>
      </c>
      <c r="G28" s="477">
        <f t="shared" si="7"/>
        <v>57.283681082951659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57.283681082951659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71.767879568506032</v>
      </c>
      <c r="C32" s="477">
        <f t="shared" ca="1" si="3"/>
        <v>0</v>
      </c>
      <c r="D32" s="477">
        <f t="shared" si="4"/>
        <v>116.31863004440001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188.08650961290604</v>
      </c>
    </row>
    <row r="33" spans="1:17" s="486" customFormat="1">
      <c r="A33" s="1038" t="s">
        <v>558</v>
      </c>
      <c r="B33" s="978">
        <f ca="1">SUM(B22:B32)</f>
        <v>5322.6324284877855</v>
      </c>
      <c r="C33" s="978">
        <f t="shared" ref="C33:Q33" ca="1" si="18">SUM(C22:C32)</f>
        <v>0</v>
      </c>
      <c r="D33" s="978">
        <f t="shared" ca="1" si="18"/>
        <v>5873.778648738964</v>
      </c>
      <c r="E33" s="978">
        <f t="shared" si="18"/>
        <v>1885.7244872885105</v>
      </c>
      <c r="F33" s="978">
        <f t="shared" ca="1" si="18"/>
        <v>8032.2700191295371</v>
      </c>
      <c r="G33" s="978">
        <f t="shared" si="18"/>
        <v>9726.6276981219962</v>
      </c>
      <c r="H33" s="978">
        <f t="shared" si="18"/>
        <v>1691.8364572477076</v>
      </c>
      <c r="I33" s="978">
        <f t="shared" si="18"/>
        <v>0</v>
      </c>
      <c r="J33" s="978">
        <f t="shared" si="18"/>
        <v>1336.3921448700996</v>
      </c>
      <c r="K33" s="978">
        <f t="shared" si="18"/>
        <v>0</v>
      </c>
      <c r="L33" s="978">
        <f t="shared" ca="1" si="18"/>
        <v>0</v>
      </c>
      <c r="M33" s="978">
        <f t="shared" si="18"/>
        <v>0</v>
      </c>
      <c r="N33" s="978">
        <f t="shared" ca="1" si="18"/>
        <v>0</v>
      </c>
      <c r="O33" s="978">
        <f t="shared" si="18"/>
        <v>0</v>
      </c>
      <c r="P33" s="978">
        <f t="shared" si="18"/>
        <v>0</v>
      </c>
      <c r="Q33" s="978">
        <f t="shared" ca="1" si="18"/>
        <v>33869.261883884603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2444.9629248500555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2444.9629248500555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0.20063243035590433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0.20063243035590433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2019-06-29T16:57:44Z</dcterms:modified>
</cp:coreProperties>
</file>