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J19"/>
  <c r="I19"/>
  <c r="I89" i="14" s="1"/>
  <c r="I19" i="59" s="1"/>
  <c r="H19" i="18"/>
  <c r="G19"/>
  <c r="G20" s="1"/>
  <c r="F19"/>
  <c r="G89" i="14" s="1"/>
  <c r="G19" i="59" s="1"/>
  <c r="E19" i="18"/>
  <c r="D19"/>
  <c r="E89" i="14" s="1"/>
  <c r="E19" i="59" s="1"/>
  <c r="C19" i="18"/>
  <c r="B19"/>
  <c r="N18"/>
  <c r="M18"/>
  <c r="L18"/>
  <c r="O88" i="14" s="1"/>
  <c r="O18" i="59" s="1"/>
  <c r="K18" i="18"/>
  <c r="N88" i="14" s="1"/>
  <c r="N18" i="59" s="1"/>
  <c r="N20" s="1"/>
  <c r="J18" i="18"/>
  <c r="J88" i="14" s="1"/>
  <c r="J18" i="59" s="1"/>
  <c r="I18" i="18"/>
  <c r="H18"/>
  <c r="G18"/>
  <c r="H88" i="14" s="1"/>
  <c r="F18" i="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L6" i="17" s="1"/>
  <c r="S61" i="18"/>
  <c r="R61"/>
  <c r="Q61"/>
  <c r="N6" i="17" s="1"/>
  <c r="P61" i="18"/>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F10"/>
  <c r="D10"/>
  <c r="B8"/>
  <c r="B6"/>
  <c r="B5"/>
  <c r="B4"/>
  <c r="B72" i="14" s="1"/>
  <c r="B4" i="59" s="1"/>
  <c r="F6" i="17"/>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P27"/>
  <c r="O27"/>
  <c r="P25"/>
  <c r="O25"/>
  <c r="N89" i="14"/>
  <c r="N19" i="59" s="1"/>
  <c r="M89" i="14"/>
  <c r="M19" i="59" s="1"/>
  <c r="L89" i="14"/>
  <c r="L19" i="59" s="1"/>
  <c r="K89" i="14"/>
  <c r="K19" i="59" s="1"/>
  <c r="K20" s="1"/>
  <c r="J89" i="14"/>
  <c r="J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C64" i="14"/>
  <c r="C29"/>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K19"/>
  <c r="J19"/>
  <c r="I19"/>
  <c r="G19"/>
  <c r="F19"/>
  <c r="E19"/>
  <c r="D19"/>
  <c r="Q48"/>
  <c r="Q52" s="1"/>
  <c r="P48"/>
  <c r="P52" s="1"/>
  <c r="O48"/>
  <c r="M48"/>
  <c r="L48"/>
  <c r="K48"/>
  <c r="J48"/>
  <c r="G48"/>
  <c r="D48"/>
  <c r="Q18"/>
  <c r="Q22" s="1"/>
  <c r="P18"/>
  <c r="P22" s="1"/>
  <c r="O18"/>
  <c r="O22" s="1"/>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G9" i="59" l="1"/>
  <c r="G78" i="14"/>
  <c r="O78"/>
  <c r="O9" i="59"/>
  <c r="O10" s="1"/>
  <c r="H18"/>
  <c r="H20" s="1"/>
  <c r="L78" i="14"/>
  <c r="L8" i="59"/>
  <c r="L10" s="1"/>
  <c r="N10"/>
  <c r="L20"/>
  <c r="H89" i="14"/>
  <c r="H19" i="59" s="1"/>
  <c r="Q11" i="48"/>
  <c r="O19" i="18"/>
  <c r="L20"/>
  <c r="K10" i="59"/>
  <c r="K20" i="18"/>
  <c r="C98"/>
  <c r="C101" s="1"/>
  <c r="D13" i="15"/>
  <c r="H78" i="14"/>
  <c r="H8" i="59"/>
  <c r="O90" i="14"/>
  <c r="H77"/>
  <c r="H9" i="59" s="1"/>
  <c r="B10" i="18"/>
  <c r="C13" i="15"/>
  <c r="K90" i="14"/>
  <c r="G10" i="59"/>
  <c r="E20"/>
  <c r="E88" i="14"/>
  <c r="E18" i="59" s="1"/>
  <c r="B13" i="15"/>
  <c r="F20" i="18"/>
  <c r="N90" i="14"/>
  <c r="E10" i="59"/>
  <c r="B17" i="18"/>
  <c r="B20" s="1"/>
  <c r="L13" i="15"/>
  <c r="N13"/>
  <c r="O9" i="18"/>
  <c r="O18"/>
  <c r="G88" i="14"/>
  <c r="B88" s="1"/>
  <c r="B18" i="59" s="1"/>
  <c r="F89" i="14"/>
  <c r="F101" i="18"/>
  <c r="I102"/>
  <c r="H17" s="1"/>
  <c r="E102"/>
  <c r="E17" s="1"/>
  <c r="H102"/>
  <c r="D102"/>
  <c r="G102"/>
  <c r="C102"/>
  <c r="F102"/>
  <c r="B102"/>
  <c r="C17" s="1"/>
  <c r="Q14" i="48"/>
  <c r="O24"/>
  <c r="O30"/>
  <c r="P24"/>
  <c r="P30"/>
  <c r="C77" i="14"/>
  <c r="C9" i="59" s="1"/>
  <c r="E78" i="14"/>
  <c r="E90"/>
  <c r="N78"/>
  <c r="B101" i="18" l="1"/>
  <c r="C8" s="1"/>
  <c r="Q88" i="14"/>
  <c r="P18" i="59" s="1"/>
  <c r="I101" i="18"/>
  <c r="H8" s="1"/>
  <c r="H90" i="14"/>
  <c r="E101" i="18"/>
  <c r="E8" s="1"/>
  <c r="F76" i="14" s="1"/>
  <c r="F8" i="59" s="1"/>
  <c r="F10" s="1"/>
  <c r="B77" i="14"/>
  <c r="B9" i="59" s="1"/>
  <c r="H101" i="18"/>
  <c r="J8" s="1"/>
  <c r="Q77" i="14"/>
  <c r="P9" i="59" s="1"/>
  <c r="G90" i="14"/>
  <c r="G18" i="59"/>
  <c r="G20" s="1"/>
  <c r="C89" i="14"/>
  <c r="C19" i="59" s="1"/>
  <c r="F19"/>
  <c r="D101" i="18"/>
  <c r="C88" i="14"/>
  <c r="C18" i="59" s="1"/>
  <c r="G101" i="18"/>
  <c r="I8" s="1"/>
  <c r="O8" s="1"/>
  <c r="O10" s="1"/>
  <c r="H10" i="59"/>
  <c r="B89" i="14"/>
  <c r="B19" i="59" s="1"/>
  <c r="Q89" i="14"/>
  <c r="P19" i="59" s="1"/>
  <c r="C20" i="18"/>
  <c r="D87" i="14"/>
  <c r="D17" i="59" s="1"/>
  <c r="D20" s="1"/>
  <c r="D76" i="14"/>
  <c r="D8" i="59" s="1"/>
  <c r="D10" s="1"/>
  <c r="C10" i="18"/>
  <c r="J17"/>
  <c r="F87" i="14"/>
  <c r="E20" i="18"/>
  <c r="I17"/>
  <c r="O17" s="1"/>
  <c r="O20" s="1"/>
  <c r="H20"/>
  <c r="M87" i="14"/>
  <c r="M76"/>
  <c r="H10" i="18"/>
  <c r="H14" i="15"/>
  <c r="H16" s="1"/>
  <c r="G14"/>
  <c r="G16" s="1"/>
  <c r="H5" i="48" l="1"/>
  <c r="I10" i="14"/>
  <c r="I16" s="1"/>
  <c r="G5" i="48"/>
  <c r="H10" i="14"/>
  <c r="H16" s="1"/>
  <c r="M90"/>
  <c r="M17" i="59"/>
  <c r="M20" s="1"/>
  <c r="M78" i="14"/>
  <c r="M8" i="59"/>
  <c r="M10" s="1"/>
  <c r="F90" i="14"/>
  <c r="F17" i="59"/>
  <c r="F20" s="1"/>
  <c r="E10" i="18"/>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9"/>
  <c r="D32"/>
  <c r="D24"/>
  <c r="D28"/>
  <c r="K32"/>
  <c r="K28"/>
  <c r="K31"/>
  <c r="K29"/>
  <c r="K26"/>
  <c r="K27"/>
  <c r="K24"/>
  <c r="K22"/>
  <c r="K25"/>
  <c r="K30"/>
  <c r="B7"/>
  <c r="C24" i="14"/>
  <c r="C26" s="1"/>
  <c r="J32" i="48"/>
  <c r="J28"/>
  <c r="J29"/>
  <c r="J27"/>
  <c r="J24"/>
  <c r="J30"/>
  <c r="J31"/>
  <c r="Q11" i="14"/>
  <c r="P4" i="48"/>
  <c r="O4"/>
  <c r="P11" i="14"/>
  <c r="I32" i="48"/>
  <c r="I25"/>
  <c r="I27"/>
  <c r="I22"/>
  <c r="I28"/>
  <c r="I31"/>
  <c r="I29"/>
  <c r="I26"/>
  <c r="I30"/>
  <c r="I24"/>
  <c r="E28"/>
  <c r="E32"/>
  <c r="E31"/>
  <c r="E29"/>
  <c r="E24"/>
  <c r="E30"/>
  <c r="M22"/>
  <c r="M29"/>
  <c r="M32"/>
  <c r="M25"/>
  <c r="M26"/>
  <c r="M24"/>
  <c r="M30"/>
  <c r="M23"/>
  <c r="L27"/>
  <c r="L29"/>
  <c r="L32"/>
  <c r="L31"/>
  <c r="L28"/>
  <c r="L22"/>
  <c r="L30"/>
  <c r="L24"/>
  <c r="Q10" i="14"/>
  <c r="P5" i="48"/>
  <c r="P23" s="1"/>
  <c r="D4"/>
  <c r="D22" s="1"/>
  <c r="E11" i="14"/>
  <c r="H26" i="48"/>
  <c r="H32"/>
  <c r="H28"/>
  <c r="H29"/>
  <c r="H22"/>
  <c r="H24"/>
  <c r="H30"/>
  <c r="H25"/>
  <c r="H23"/>
  <c r="C4"/>
  <c r="D11" i="14"/>
  <c r="G32" i="48"/>
  <c r="G24"/>
  <c r="G26"/>
  <c r="G25"/>
  <c r="G22"/>
  <c r="G29"/>
  <c r="G30"/>
  <c r="G23"/>
  <c r="B4"/>
  <c r="C11" i="14"/>
  <c r="F28" i="48"/>
  <c r="F32"/>
  <c r="F31"/>
  <c r="F30"/>
  <c r="F27"/>
  <c r="F29"/>
  <c r="F24"/>
  <c r="N28"/>
  <c r="N31"/>
  <c r="N32"/>
  <c r="N29"/>
  <c r="N24"/>
  <c r="N30"/>
  <c r="N27"/>
  <c r="B10"/>
  <c r="C19" i="14"/>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3" i="48" l="1"/>
  <c r="K15"/>
  <c r="H18" i="14"/>
  <c r="G13" i="48"/>
  <c r="H13"/>
  <c r="H31" s="1"/>
  <c r="I18" i="14"/>
  <c r="B9" i="48"/>
  <c r="C20" i="14"/>
  <c r="C22"/>
  <c r="M12" i="22"/>
  <c r="M13" i="48"/>
  <c r="M31" s="1"/>
  <c r="N18" i="14"/>
  <c r="P22" i="48"/>
  <c r="J46" i="14"/>
  <c r="J61" s="1"/>
  <c r="K33" i="48"/>
  <c r="G11" i="14"/>
  <c r="F4" i="48"/>
  <c r="F22" s="1"/>
  <c r="I5"/>
  <c r="J10" i="14"/>
  <c r="J16" s="1"/>
  <c r="J27" s="1"/>
  <c r="P8" i="48"/>
  <c r="P26" s="1"/>
  <c r="Q13" i="14"/>
  <c r="Q16" s="1"/>
  <c r="Q27" s="1"/>
  <c r="F20"/>
  <c r="F22" s="1"/>
  <c r="E9" i="48"/>
  <c r="E27" s="1"/>
  <c r="D9"/>
  <c r="D27" s="1"/>
  <c r="E20" i="14"/>
  <c r="E22" s="1"/>
  <c r="P10"/>
  <c r="O5" i="48"/>
  <c r="O23" s="1"/>
  <c r="J7"/>
  <c r="J25" s="1"/>
  <c r="K24" i="14"/>
  <c r="K26" s="1"/>
  <c r="O22" i="48"/>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E4" i="48"/>
  <c r="Q63" i="14"/>
  <c r="M10" i="48"/>
  <c r="M28" s="1"/>
  <c r="N19" i="14"/>
  <c r="N22" s="1"/>
  <c r="N27" s="1"/>
  <c r="N4" i="48"/>
  <c r="N22" s="1"/>
  <c r="O11" i="14"/>
  <c r="J4" i="48"/>
  <c r="K11" i="14"/>
  <c r="F24"/>
  <c r="F26" s="1"/>
  <c r="E7" i="48"/>
  <c r="E25" s="1"/>
  <c r="P33"/>
  <c r="R20" i="14"/>
  <c r="N20"/>
  <c r="M9" i="48"/>
  <c r="O22" i="16"/>
  <c r="P43" i="14" s="1"/>
  <c r="P46" s="1"/>
  <c r="P61" s="1"/>
  <c r="P63" s="1"/>
  <c r="P13"/>
  <c r="O8" i="48"/>
  <c r="H20" i="14"/>
  <c r="G9" i="48"/>
  <c r="Q9" s="1"/>
  <c r="I23"/>
  <c r="I33" s="1"/>
  <c r="I15"/>
  <c r="H22" i="14"/>
  <c r="H27" s="1"/>
  <c r="R18"/>
  <c r="I20"/>
  <c r="H9" i="48"/>
  <c r="G31"/>
  <c r="Q13"/>
  <c r="P16" i="14"/>
  <c r="P27" s="1"/>
  <c r="J63"/>
  <c r="G10" i="48"/>
  <c r="H19" i="14"/>
  <c r="I22"/>
  <c r="I27" s="1"/>
  <c r="Q46"/>
  <c r="Q61" s="1"/>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M27" i="48"/>
  <c r="M33" s="1"/>
  <c r="M15"/>
  <c r="H27"/>
  <c r="H33" s="1"/>
  <c r="H15"/>
  <c r="O26"/>
  <c r="O33" s="1"/>
  <c r="O15"/>
  <c r="J22"/>
  <c r="R24" i="14"/>
  <c r="R26" s="1"/>
  <c r="R11"/>
  <c r="G27" i="48"/>
  <c r="G15"/>
  <c r="E22"/>
  <c r="Q4"/>
  <c r="F10" i="14"/>
  <c r="E5" i="48"/>
  <c r="E23" s="1"/>
  <c r="J5"/>
  <c r="J23" s="1"/>
  <c r="K10" i="14"/>
  <c r="G28" i="48"/>
  <c r="Q10"/>
  <c r="R19" i="14"/>
  <c r="R22"/>
  <c r="Q7" i="48"/>
  <c r="E20" i="15"/>
  <c r="F40" i="14" s="1"/>
  <c r="J18" i="16"/>
  <c r="E18"/>
  <c r="F18"/>
  <c r="F22" s="1"/>
  <c r="G43" i="14" s="1"/>
  <c r="N18" i="16"/>
  <c r="G18" i="22"/>
  <c r="H50" i="14" s="1"/>
  <c r="H52" s="1"/>
  <c r="H61" s="1"/>
  <c r="H63" s="1"/>
  <c r="H18" i="22"/>
  <c r="I50" i="14" s="1"/>
  <c r="I52" s="1"/>
  <c r="I61" s="1"/>
  <c r="I63" s="1"/>
  <c r="E8" i="48" l="1"/>
  <c r="F13" i="14"/>
  <c r="F16" s="1"/>
  <c r="F27" s="1"/>
  <c r="E22" i="16"/>
  <c r="F43" i="14" s="1"/>
  <c r="F46"/>
  <c r="F61" s="1"/>
  <c r="J22" i="16"/>
  <c r="K43" i="14" s="1"/>
  <c r="K46" s="1"/>
  <c r="K61" s="1"/>
  <c r="J8" i="48"/>
  <c r="K13" i="14"/>
  <c r="K16" s="1"/>
  <c r="K27" s="1"/>
  <c r="G33" i="48"/>
  <c r="N8"/>
  <c r="N26" s="1"/>
  <c r="O13" i="14"/>
  <c r="N22" i="16"/>
  <c r="O43" i="14" s="1"/>
  <c r="G13"/>
  <c r="F8" i="48"/>
  <c r="J26" l="1"/>
  <c r="J33" s="1"/>
  <c r="J15"/>
  <c r="K63" i="14"/>
  <c r="E26" i="48"/>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<sst xmlns="http://schemas.openxmlformats.org/spreadsheetml/2006/main" count="2398" uniqueCount="893">
  <si>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</si>
  <si>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</si>
  <si>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</si>
  <si>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</si>
  <si>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</si>
  <si>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</si>
  <si>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</si>
  <si>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</si>
  <si>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</si>
  <si>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</si>
  <si>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</si>
  <si>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</si>
  <si>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</si>
  <si>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</si>
  <si>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</si>
  <si>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</si>
  <si>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</si>
  <si>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</si>
  <si>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</si>
  <si>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</si>
  <si>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</si>
  <si>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</si>
  <si>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</si>
  <si>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</si>
  <si>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</si>
  <si>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</si>
  <si>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</si>
  <si>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</si>
  <si>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</si>
  <si>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</si>
  <si>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</si>
  <si>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</si>
  <si>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</si>
  <si>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</si>
  <si>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</si>
  <si>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</si>
  <si>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</si>
  <si>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</si>
  <si>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</si>
  <si>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</si>
  <si>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</si>
  <si>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</si>
  <si>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</si>
  <si>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</si>
  <si>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</si>
  <si>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</si>
  <si>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</si>
  <si>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</si>
  <si>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</si>
  <si>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</si>
  <si>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</si>
  <si>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</si>
  <si>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</si>
  <si>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</si>
  <si>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</si>
  <si>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</si>
  <si>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</si>
  <si>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</si>
  <si>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</si>
  <si>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</si>
  <si>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</si>
  <si>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</si>
  <si>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</si>
  <si>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</si>
  <si>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</si>
  <si>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</si>
  <si>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</si>
  <si>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</si>
  <si>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</si>
  <si>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</si>
  <si>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</si>
  <si>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</si>
  <si>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</si>
  <si>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</si>
  <si>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</si>
  <si>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</si>
  <si>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</si>
  <si>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</si>
  <si>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</si>
  <si>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</si>
  <si>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</si>
  <si>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</si>
  <si>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</si>
  <si>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</si>
  <si>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</si>
  <si>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</si>
  <si>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</si>
  <si>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</si>
  <si>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</si>
  <si>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</si>
  <si>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</si>
  <si>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</si>
  <si>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</si>
  <si>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</si>
  <si>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</si>
  <si>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</si>
  <si>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</si>
  <si>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</si>
  <si>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</si>
  <si>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</si>
  <si>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</si>
  <si>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</si>
  <si>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</si>
  <si>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</si>
  <si>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</si>
  <si>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</si>
  <si>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</si>
  <si>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</si>
  <si>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</si>
  <si>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</si>
  <si>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</si>
  <si>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</si>
  <si>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</si>
  <si>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</si>
  <si>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</si>
  <si>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</si>
  <si>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</si>
  <si>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</si>
  <si>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</si>
  <si>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</si>
  <si>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</si>
  <si>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</si>
  <si>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</si>
  <si>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</si>
  <si>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</si>
  <si>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</si>
  <si>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</si>
  <si>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</si>
  <si>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</si>
  <si>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</si>
  <si>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</si>
  <si>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</si>
  <si>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</si>
  <si>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</si>
  <si>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</si>
  <si>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</si>
  <si>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</si>
  <si>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</si>
  <si>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</si>
  <si>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</si>
  <si>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</si>
  <si>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</si>
  <si>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</si>
  <si>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</si>
  <si>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</si>
  <si>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</si>
  <si>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</si>
  <si>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</si>
  <si>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</si>
  <si>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</si>
  <si>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</si>
  <si>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</si>
  <si>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</si>
  <si>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</si>
  <si>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</si>
  <si>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</si>
  <si>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</si>
  <si>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</si>
  <si>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</si>
  <si>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</si>
  <si>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</si>
  <si>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</si>
  <si>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</si>
  <si>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</si>
  <si>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</si>
  <si>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</si>
  <si>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</si>
  <si>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</si>
  <si>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</si>
  <si>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</si>
  <si>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</si>
  <si>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</si>
  <si>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</si>
  <si>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</si>
  <si>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</si>
  <si>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</si>
  <si>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</si>
  <si>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</si>
  <si>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</si>
  <si>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</si>
  <si>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</si>
  <si>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</si>
  <si>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</si>
  <si>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</si>
  <si>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</si>
  <si>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</si>
  <si>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</si>
  <si>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</si>
  <si>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</si>
  <si>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</si>
  <si>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</si>
  <si>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</si>
  <si>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</si>
  <si>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</si>
  <si>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</si>
  <si>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</si>
  <si>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</si>
  <si>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</si>
  <si>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</si>
  <si>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</si>
  <si>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</si>
  <si>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</si>
  <si>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</si>
  <si>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</si>
  <si>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</si>
  <si>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</si>
  <si>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</si>
  <si>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</si>
  <si>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</si>
  <si>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</si>
  <si>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</si>
  <si>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</si>
  <si>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</si>
  <si>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</si>
  <si>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</si>
  <si>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</si>
  <si>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</si>
  <si>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</si>
  <si>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</si>
  <si>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</si>
  <si>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</si>
  <si>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</si>
  <si>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</si>
  <si>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</si>
  <si>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</si>
  <si>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</si>
  <si>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</si>
  <si>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</si>
  <si>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</si>
  <si>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</si>
  <si>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</si>
  <si>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</si>
  <si>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</si>
  <si>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</si>
  <si>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</si>
  <si>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</si>
  <si>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</si>
  <si>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</si>
  <si>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</si>
  <si>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</si>
  <si>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</si>
  <si>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</si>
  <si>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</si>
  <si>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</si>
  <si>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</si>
  <si>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</si>
  <si>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</si>
  <si>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</si>
  <si>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</si>
  <si>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</si>
  <si>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</si>
  <si>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</si>
  <si>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</si>
  <si>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</si>
  <si>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</si>
  <si>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</si>
  <si>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</si>
  <si>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</si>
  <si>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</si>
  <si>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</si>
  <si>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</si>
  <si>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</si>
  <si>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</si>
  <si>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</si>
  <si>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</si>
  <si>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</si>
  <si>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</si>
  <si>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</si>
  <si>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</si>
  <si>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</si>
  <si>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</si>
  <si>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</si>
  <si>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</si>
  <si>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</si>
  <si>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</si>
  <si>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</si>
  <si>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</si>
  <si>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</si>
  <si>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</si>
  <si>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</si>
  <si>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</si>
  <si>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</si>
  <si>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</si>
  <si>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</si>
  <si>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</si>
  <si>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</si>
  <si>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</si>
  <si>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</si>
  <si>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</si>
  <si>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</si>
  <si>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</si>
  <si>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</si>
  <si>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</si>
  <si>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</si>
  <si>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</si>
  <si>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</si>
  <si>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</si>
  <si>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</si>
  <si>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</si>
  <si>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</si>
  <si>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</si>
  <si>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</si>
  <si>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</si>
  <si>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</si>
  <si>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</si>
  <si>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</si>
  <si>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</si>
  <si>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</si>
  <si>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</si>
  <si>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</si>
  <si>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</si>
  <si>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</si>
  <si>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</si>
  <si>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</si>
  <si>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</si>
  <si>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</si>
  <si>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</si>
  <si>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</si>
  <si>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</si>
  <si>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</si>
  <si>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</si>
  <si>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</si>
  <si>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</si>
  <si>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</si>
  <si>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</si>
  <si>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</si>
  <si>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</si>
  <si>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</si>
  <si>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</si>
  <si>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</si>
  <si>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</si>
  <si>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</si>
  <si>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</si>
  <si>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</si>
  <si>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</si>
  <si>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</si>
  <si>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</si>
  <si>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</si>
  <si>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</si>
  <si>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</si>
  <si>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</si>
  <si>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</si>
  <si>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</si>
  <si>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</si>
  <si>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</si>
  <si>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</si>
  <si>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</si>
  <si>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</si>
  <si>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</si>
  <si>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</si>
  <si>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</si>
  <si>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</si>
  <si>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</si>
  <si>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</si>
  <si>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</si>
  <si>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</si>
  <si>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</si>
  <si>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</si>
  <si>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</si>
  <si>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</si>
  <si>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</si>
  <si>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</si>
  <si>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</si>
  <si>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</si>
  <si>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</si>
  <si>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</si>
  <si>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</si>
  <si>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</si>
  <si>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</si>
  <si>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</si>
  <si>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</si>
  <si>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</si>
  <si>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</si>
  <si>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</si>
  <si>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</si>
  <si>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</si>
  <si>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</si>
  <si>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</si>
  <si>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</si>
  <si>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</si>
  <si>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</si>
  <si>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</si>
  <si>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</si>
  <si>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</si>
  <si>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</si>
  <si>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</si>
  <si>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</si>
  <si>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</si>
  <si>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</si>
  <si>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</si>
  <si>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</si>
  <si>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</si>
  <si>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</si>
  <si>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</si>
  <si>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</si>
  <si>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</si>
  <si>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</si>
  <si>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</si>
  <si>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</si>
  <si>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</si>
  <si>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</si>
  <si>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</si>
  <si>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</si>
  <si>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</si>
  <si>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</si>
  <si>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</si>
  <si>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</si>
  <si>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</si>
  <si>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</si>
  <si>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</si>
  <si>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</si>
  <si>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</si>
  <si>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</si>
  <si>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</si>
  <si>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</si>
  <si>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</si>
  <si>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</si>
  <si>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</si>
  <si>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</si>
  <si>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</si>
  <si>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</si>
  <si>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</si>
  <si>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</si>
  <si>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</si>
  <si>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</si>
  <si>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</si>
  <si>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</si>
  <si>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</si>
  <si>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</si>
  <si>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</si>
  <si>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</si>
  <si>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</si>
  <si>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</si>
  <si>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</si>
  <si>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</si>
  <si>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</si>
  <si>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</si>
  <si>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</si>
  <si>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</si>
  <si>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</si>
  <si>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</si>
  <si>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</si>
  <si>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</si>
  <si>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</si>
  <si>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</si>
  <si>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</si>
  <si>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</si>
  <si>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</si>
  <si>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</si>
  <si>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</si>
  <si>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</si>
  <si>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</si>
  <si>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</si>
  <si>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</si>
  <si>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</si>
  <si>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</si>
  <si>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</si>
  <si>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</si>
  <si>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</si>
  <si>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</si>
  <si>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</si>
  <si>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</si>
  <si>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</si>
  <si>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</si>
  <si>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</si>
  <si>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</si>
  <si>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</si>
  <si>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</si>
  <si>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</si>
  <si>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</si>
  <si>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</si>
  <si>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</si>
  <si>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</si>
  <si>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</si>
  <si>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</si>
  <si>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</si>
  <si>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</si>
  <si>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</si>
  <si>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</si>
  <si>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</si>
  <si>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</si>
  <si>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</si>
  <si>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</si>
  <si>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</si>
  <si>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</si>
  <si>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</si>
  <si>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</si>
  <si>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</si>
  <si>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</si>
  <si>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</si>
  <si>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</si>
  <si>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</si>
  <si>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</si>
  <si>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</si>
  <si>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</si>
  <si>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</si>
  <si>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</si>
  <si>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</si>
  <si>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</si>
  <si>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</si>
  <si>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</si>
  <si>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</si>
  <si>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</si>
  <si>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</si>
  <si>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</si>
  <si>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</si>
  <si>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</si>
  <si>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</si>
  <si>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</si>
  <si>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</si>
  <si>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</si>
  <si>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</si>
  <si>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</si>
  <si>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</si>
  <si>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</si>
  <si>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</si>
  <si>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</si>
  <si>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</si>
  <si>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</si>
  <si>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</si>
  <si>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</si>
  <si>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</si>
  <si>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</si>
  <si>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</si>
  <si>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</si>
  <si>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</si>
  <si>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</si>
  <si>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</si>
  <si>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</si>
  <si>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</si>
  <si>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</si>
  <si>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</si>
  <si>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</si>
  <si>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</si>
  <si>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</si>
  <si>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</si>
  <si>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</si>
  <si>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</si>
  <si>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</si>
  <si>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</si>
  <si>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</si>
  <si>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</si>
  <si>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</si>
  <si>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</si>
  <si>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</si>
  <si>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</si>
  <si>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</si>
  <si>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</si>
  <si>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</si>
  <si>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</si>
  <si>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</si>
  <si>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</si>
  <si>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</si>
  <si>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</si>
  <si>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</si>
  <si>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</si>
  <si>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</si>
  <si>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</si>
  <si>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</si>
  <si>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</si>
  <si>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</si>
  <si>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</si>
  <si>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</si>
  <si>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</si>
  <si>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</si>
  <si>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</si>
  <si>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</si>
  <si>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</si>
  <si>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</si>
  <si>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</si>
  <si>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</si>
  <si>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</si>
  <si>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</si>
  <si>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</si>
  <si>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</si>
  <si>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</si>
  <si>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</si>
  <si>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</si>
  <si>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</si>
  <si>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</si>
  <si>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</si>
  <si>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</si>
  <si>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</si>
  <si>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</si>
  <si>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</si>
  <si>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</si>
  <si>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</si>
  <si>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</si>
  <si>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</si>
  <si>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</si>
  <si>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</si>
  <si>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</si>
  <si>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</si>
  <si>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</si>
  <si>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</si>
  <si>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</si>
  <si>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</si>
  <si>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</si>
  <si>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</si>
  <si>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</si>
  <si>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</si>
  <si>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</si>
  <si>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</si>
  <si>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</si>
  <si>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</si>
  <si>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</si>
  <si>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</si>
  <si>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</si>
  <si>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</si>
  <si>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</si>
  <si>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</si>
  <si>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</si>
  <si>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</si>
  <si>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</si>
  <si>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</si>
  <si>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</si>
  <si>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</si>
  <si>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</si>
  <si>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</si>
  <si>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</si>
  <si>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</si>
  <si>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</si>
  <si>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</si>
  <si>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</si>
  <si>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</si>
  <si>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</si>
  <si>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</si>
  <si>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</si>
  <si>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</si>
  <si>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</si>
  <si>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</si>
  <si>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</si>
  <si>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</si>
  <si>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</si>
  <si>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</si>
  <si>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</si>
  <si>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</si>
  <si>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</si>
  <si>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</si>
  <si>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</si>
  <si>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</si>
  <si>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</si>
  <si>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</si>
  <si>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</si>
  <si>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</si>
  <si>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</si>
  <si>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</si>
  <si>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</si>
  <si>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</si>
  <si>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</si>
  <si>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</si>
  <si>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</si>
  <si>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</si>
  <si>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</si>
  <si>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</si>
  <si>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</si>
  <si>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</si>
  <si>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</si>
  <si>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</si>
  <si>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</si>
  <si>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</si>
  <si>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</si>
  <si>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</si>
  <si>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</si>
  <si>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</si>
  <si>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</si>
  <si>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</si>
  <si>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</si>
  <si>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</si>
  <si>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</si>
  <si>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</si>
  <si>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</si>
  <si>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</si>
  <si>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</si>
  <si>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</si>
  <si>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</si>
  <si>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</si>
  <si>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</si>
  <si>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</si>
  <si>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</si>
  <si>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</si>
  <si>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</si>
  <si>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</si>
  <si>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</si>
  <si>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</si>
  <si>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</si>
  <si>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</si>
  <si>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</si>
  <si>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</si>
  <si>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</si>
  <si>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</si>
  <si>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</si>
  <si>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</si>
  <si>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</si>
  <si>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</si>
  <si>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</si>
  <si>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</si>
  <si>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</si>
  <si>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</si>
  <si>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</si>
  <si>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</si>
  <si>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</si>
  <si>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</si>
  <si>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</si>
  <si>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</si>
  <si>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</si>
  <si>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</si>
  <si>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</si>
  <si>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</si>
  <si>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</si>
  <si>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</si>
  <si>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</si>
  <si>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</si>
  <si>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</si>
  <si>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</si>
  <si>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</si>
  <si>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</si>
  <si>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</si>
  <si>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</si>
  <si>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</si>
  <si>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</si>
  <si>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</si>
  <si>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</si>
  <si>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</si>
  <si>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</si>
  <si>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</si>
  <si>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</si>
  <si>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</si>
  <si>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</si>
  <si>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</si>
  <si>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</si>
  <si>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</si>
  <si>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</si>
  <si>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</si>
  <si>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</si>
  <si>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</si>
  <si>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</si>
  <si>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</si>
  <si>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</si>
  <si>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</si>
  <si>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</si>
  <si>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</si>
  <si>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</si>
  <si>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</si>
  <si>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</si>
  <si>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</si>
  <si>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</si>
  <si>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</si>
  <si>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</si>
  <si>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</si>
  <si>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</si>
  <si>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</si>
  <si>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</si>
  <si>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</si>
  <si>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</si>
  <si>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</si>
  <si>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</si>
  <si>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</si>
  <si>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</si>
  <si>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</si>
  <si>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</si>
  <si>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</si>
  <si>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</si>
  <si>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</si>
  <si>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</si>
  <si>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</si>
  <si>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</si>
  <si>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</si>
  <si>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</si>
  <si>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</si>
  <si>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</si>
  <si>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</si>
  <si>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</si>
  <si>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</si>
  <si>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</si>
  <si>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</si>
  <si>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</si>
  <si>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</si>
  <si>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</si>
  <si>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</si>
  <si>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</si>
  <si>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</si>
  <si>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</si>
  <si>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</si>
  <si>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</si>
  <si>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</si>
  <si>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</si>
  <si>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</si>
  <si>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</si>
  <si>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</si>
  <si>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</si>
  <si>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</si>
  <si>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</si>
  <si>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</si>
  <si>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</si>
  <si>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</si>
  <si>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</si>
  <si>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</si>
  <si>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</si>
  <si>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</si>
  <si>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</si>
  <si>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</si>
  <si>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</si>
  <si>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</si>
  <si>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</si>
  <si>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</si>
  <si>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</si>
  <si>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</si>
  <si>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</si>
  <si>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</si>
  <si>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</si>
  <si>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</si>
  <si>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</si>
  <si>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</si>
  <si>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</si>
  <si>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</si>
  <si>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</si>
  <si>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</si>
  <si>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</si>
  <si>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</si>
  <si>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</si>
  <si>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</si>
  <si>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</si>
  <si>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</si>
  <si>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</si>
  <si>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</si>
  <si>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</si>
  <si>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</si>
  <si>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</si>
  <si>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</si>
  <si>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</si>
  <si>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</si>
  <si>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</si>
  <si>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</si>
  <si>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</si>
  <si>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</si>
  <si>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</si>
  <si>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</si>
  <si>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</si>
  <si>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</si>
  <si>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</si>
  <si>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</si>
  <si>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</si>
  <si>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</si>
  <si>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</si>
  <si>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</si>
  <si>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</si>
  <si>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</si>
  <si>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</si>
  <si>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</si>
  <si>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</si>
  <si>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</si>
  <si>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</si>
  <si>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</si>
  <si>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</si>
  <si>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</si>
  <si>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</si>
  <si>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</si>
  <si>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</si>
  <si>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</si>
  <si>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</si>
  <si>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</si>
  <si>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</si>
  <si>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</si>
  <si>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</si>
  <si>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</si>
  <si>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</si>
  <si>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</si>
  <si>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</si>
  <si>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</si>
  <si>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</si>
  <si>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</si>
  <si>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</si>
  <si>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</si>
  <si>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</si>
  <si>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</si>
  <si>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</si>
  <si>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</si>
  <si>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</si>
  <si>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42003</t>
  </si>
  <si>
    <t>BERLARE</t>
  </si>
  <si>
    <t>Paarden&amp;pony's 200 - 600 kg</t>
  </si>
  <si>
    <t>Paarden&amp;pony's &lt; 200 kg</t>
  </si>
  <si>
    <t>referentietaak LNE (2017); Jaarverslag De Lijn (2015)</t>
  </si>
  <si>
    <t>op basis van VEA (maart 2018) en Inventaris Hernieuwbare Energiebronnen (juni 2018)</t>
  </si>
  <si>
    <t>VEA (januari 2017)</t>
  </si>
  <si>
    <t>VEA (juni 2018)</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</si>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</sst>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120701.74889567793</c:v>
                </c:pt>
                <c:pt idx="1">
                  <c:v>24975.434385941116</c:v>
                </c:pt>
                <c:pt idx="2">
                  <c:v>1126.232</c:v>
                </c:pt>
                <c:pt idx="3">
                  <c:v>5084.3367839619868</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30720"/>
        <c:axId val="182032256"/>
      </c:barChart>
      <c:catAx>
        <c:axId val="182030720"/>
        <c:scaling>
          <c:orientation val="minMax"/>
        </c:scaling>
        <c:axPos val="b"/>
        <c:numFmt formatCode="General" sourceLinked="0"/>
        <c:tickLblPos val="nextTo"/>
        <c:crossAx val="182032256"/>
        <c:crosses val="autoZero"/>
        <c:auto val="1"/>
        <c:lblAlgn val="ctr"/>
        <c:lblOffset val="100"/>
      </c:catAx>
      <c:valAx>
        <c:axId val="182032256"/>
        <c:scaling>
          <c:orientation val="minMax"/>
        </c:scaling>
        <c:axPos val="l"/>
        <c:majorGridlines/>
        <c:numFmt formatCode="#,##0" sourceLinked="1"/>
        <c:tickLblPos val="nextTo"/>
        <c:crossAx val="1820307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120701.74889567793</c:v>
                </c:pt>
                <c:pt idx="1">
                  <c:v>24975.434385941116</c:v>
                </c:pt>
                <c:pt idx="2">
                  <c:v>1126.232</c:v>
                </c:pt>
                <c:pt idx="3">
                  <c:v>5084.3367839619868</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21382.221733282244</c:v>
                </c:pt>
                <c:pt idx="2">
                  <c:v>4095.3319973680668</c:v>
                </c:pt>
                <c:pt idx="3">
                  <c:v>128.39709489895924</c:v>
                </c:pt>
                <c:pt idx="4">
                  <c:v>1179.0752048947118</c:v>
                </c:pt>
                <c:pt idx="5">
                  <c:v>2918.3227271879518</c:v>
                </c:pt>
                <c:pt idx="6">
                  <c:v>15020.858647694289</c:v>
                </c:pt>
                <c:pt idx="7">
                  <c:v>224.77643134816563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02048"/>
        <c:axId val="182477568"/>
      </c:barChart>
      <c:catAx>
        <c:axId val="182402048"/>
        <c:scaling>
          <c:orientation val="minMax"/>
        </c:scaling>
        <c:axPos val="b"/>
        <c:numFmt formatCode="General" sourceLinked="0"/>
        <c:tickLblPos val="nextTo"/>
        <c:crossAx val="182477568"/>
        <c:crosses val="autoZero"/>
        <c:auto val="1"/>
        <c:lblAlgn val="ctr"/>
        <c:lblOffset val="100"/>
      </c:catAx>
      <c:valAx>
        <c:axId val="18247756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21382.221733282244</c:v>
                </c:pt>
                <c:pt idx="2">
                  <c:v>4095.3319973680668</c:v>
                </c:pt>
                <c:pt idx="3">
                  <c:v>128.39709489895924</c:v>
                </c:pt>
                <c:pt idx="4">
                  <c:v>1179.0752048947118</c:v>
                </c:pt>
                <c:pt idx="5">
                  <c:v>2918.3227271879518</c:v>
                </c:pt>
                <c:pt idx="6">
                  <c:v>15020.858647694289</c:v>
                </c:pt>
                <c:pt idx="7">
                  <c:v>224.77643134816563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11536.321297289998</v>
      </c>
      <c r="D10" s="1012">
        <f ca="1">tertiair!C16</f>
        <v>45.5625</v>
      </c>
      <c r="E10" s="1012">
        <f ca="1">tertiair!D16</f>
        <v>10333.422909739598</v>
      </c>
      <c r="F10" s="1012">
        <f>tertiair!E16</f>
        <v>233.09584218042278</v>
      </c>
      <c r="G10" s="1012">
        <f ca="1">tertiair!F16</f>
        <v>2877.3640236633632</v>
      </c>
      <c r="H10" s="1012">
        <f>tertiair!G16</f>
        <v>0</v>
      </c>
      <c r="I10" s="1012">
        <f>tertiair!H16</f>
        <v>0</v>
      </c>
      <c r="J10" s="1012">
        <f>tertiair!I16</f>
        <v>0</v>
      </c>
      <c r="K10" s="1012">
        <f>tertiair!J16</f>
        <v>0</v>
      </c>
      <c r="L10" s="1012">
        <f>tertiair!K16</f>
        <v>0</v>
      </c>
      <c r="M10" s="1012">
        <f ca="1">tertiair!L16</f>
        <v>0</v>
      </c>
      <c r="N10" s="1012">
        <f>tertiair!M16</f>
        <v>0</v>
      </c>
      <c r="O10" s="1012">
        <f ca="1">tertiair!N16</f>
        <v>1033.0764797343963</v>
      </c>
      <c r="P10" s="1012">
        <f>tertiair!O16</f>
        <v>4.6900000000000004</v>
      </c>
      <c r="Q10" s="1013">
        <f>tertiair!P16</f>
        <v>38.133333333333333</v>
      </c>
      <c r="R10" s="700">
        <f ca="1">SUM(C10:Q10)</f>
        <v>26101.666385941113</v>
      </c>
      <c r="S10" s="67"/>
    </row>
    <row r="11" spans="1:19" s="473" customFormat="1">
      <c r="A11" s="809" t="s">
        <v>225</v>
      </c>
      <c r="B11" s="814"/>
      <c r="C11" s="1012">
        <f>huishoudens!B8</f>
        <v>30342.844075735957</v>
      </c>
      <c r="D11" s="1012">
        <f>huishoudens!C8</f>
        <v>0</v>
      </c>
      <c r="E11" s="1012">
        <f>huishoudens!D8</f>
        <v>44015.777399486375</v>
      </c>
      <c r="F11" s="1012">
        <f>huishoudens!E8</f>
        <v>8113.7794771556428</v>
      </c>
      <c r="G11" s="1012">
        <f>huishoudens!F8</f>
        <v>23981.89025699495</v>
      </c>
      <c r="H11" s="1012">
        <f>huishoudens!G8</f>
        <v>0</v>
      </c>
      <c r="I11" s="1012">
        <f>huishoudens!H8</f>
        <v>0</v>
      </c>
      <c r="J11" s="1012">
        <f>huishoudens!I8</f>
        <v>0</v>
      </c>
      <c r="K11" s="1012">
        <f>huishoudens!J8</f>
        <v>2222.5388526822112</v>
      </c>
      <c r="L11" s="1012">
        <f>huishoudens!K8</f>
        <v>0</v>
      </c>
      <c r="M11" s="1012">
        <f>huishoudens!L8</f>
        <v>0</v>
      </c>
      <c r="N11" s="1012">
        <f>huishoudens!M8</f>
        <v>0</v>
      </c>
      <c r="O11" s="1012">
        <f>huishoudens!N8</f>
        <v>11199.995500289464</v>
      </c>
      <c r="P11" s="1012">
        <f>huishoudens!O8</f>
        <v>176.65666666666667</v>
      </c>
      <c r="Q11" s="1013">
        <f>huishoudens!P8</f>
        <v>648.26666666666665</v>
      </c>
      <c r="R11" s="700">
        <f>SUM(C11:Q11)</f>
        <v>120701.74889567793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2889.9520967689996</v>
      </c>
      <c r="D13" s="1012">
        <f>industrie!C18</f>
        <v>0</v>
      </c>
      <c r="E13" s="1012">
        <f>industrie!D18</f>
        <v>10761.77378582966</v>
      </c>
      <c r="F13" s="1012">
        <f>industrie!E18</f>
        <v>334.79596605323002</v>
      </c>
      <c r="G13" s="1012">
        <f>industrie!F18</f>
        <v>1253.7197075051922</v>
      </c>
      <c r="H13" s="1012">
        <f>industrie!G18</f>
        <v>0</v>
      </c>
      <c r="I13" s="1012">
        <f>industrie!H18</f>
        <v>0</v>
      </c>
      <c r="J13" s="1012">
        <f>industrie!I18</f>
        <v>0</v>
      </c>
      <c r="K13" s="1012">
        <f>industrie!J18</f>
        <v>11.951923834147333</v>
      </c>
      <c r="L13" s="1012">
        <f>industrie!K18</f>
        <v>0</v>
      </c>
      <c r="M13" s="1012">
        <f>industrie!L18</f>
        <v>0</v>
      </c>
      <c r="N13" s="1012">
        <f>industrie!M18</f>
        <v>0</v>
      </c>
      <c r="O13" s="1012">
        <f>industrie!N18</f>
        <v>699.11292745355843</v>
      </c>
      <c r="P13" s="1012">
        <f>industrie!O18</f>
        <v>0</v>
      </c>
      <c r="Q13" s="1013">
        <f>industrie!P18</f>
        <v>0</v>
      </c>
      <c r="R13" s="700">
        <f>SUM(C13:Q13)</f>
        <v>15951.306407444788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44769.117469794954</v>
      </c>
      <c r="D16" s="732">
        <f t="shared" ref="D16:R16" ca="1" si="0">SUM(D9:D15)</f>
        <v>45.5625</v>
      </c>
      <c r="E16" s="732">
        <f t="shared" ca="1" si="0"/>
        <v>65110.97409505563</v>
      </c>
      <c r="F16" s="732">
        <f t="shared" si="0"/>
        <v>8681.6712853892968</v>
      </c>
      <c r="G16" s="732">
        <f t="shared" ca="1" si="0"/>
        <v>28112.973988163503</v>
      </c>
      <c r="H16" s="732">
        <f t="shared" si="0"/>
        <v>0</v>
      </c>
      <c r="I16" s="732">
        <f t="shared" si="0"/>
        <v>0</v>
      </c>
      <c r="J16" s="732">
        <f t="shared" si="0"/>
        <v>0</v>
      </c>
      <c r="K16" s="732">
        <f t="shared" si="0"/>
        <v>2234.4907765163584</v>
      </c>
      <c r="L16" s="732">
        <f t="shared" si="0"/>
        <v>0</v>
      </c>
      <c r="M16" s="732">
        <f t="shared" ca="1" si="0"/>
        <v>0</v>
      </c>
      <c r="N16" s="732">
        <f t="shared" si="0"/>
        <v>0</v>
      </c>
      <c r="O16" s="732">
        <f t="shared" ca="1" si="0"/>
        <v>12932.184907477418</v>
      </c>
      <c r="P16" s="732">
        <f t="shared" si="0"/>
        <v>181.34666666666666</v>
      </c>
      <c r="Q16" s="732">
        <f t="shared" si="0"/>
        <v>686.4</v>
      </c>
      <c r="R16" s="732">
        <f t="shared" ca="1" si="0"/>
        <v>162754.72168906382</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841.85929343882253</v>
      </c>
      <c r="I19" s="1012">
        <f>transport!H54</f>
        <v>0</v>
      </c>
      <c r="J19" s="1012">
        <f>transport!I54</f>
        <v>0</v>
      </c>
      <c r="K19" s="1012">
        <f>transport!J54</f>
        <v>0</v>
      </c>
      <c r="L19" s="1012">
        <f>transport!K54</f>
        <v>0</v>
      </c>
      <c r="M19" s="1012">
        <f>transport!L54</f>
        <v>0</v>
      </c>
      <c r="N19" s="1012">
        <f>transport!M54</f>
        <v>26.112591889940258</v>
      </c>
      <c r="O19" s="1012">
        <f>transport!N54</f>
        <v>0</v>
      </c>
      <c r="P19" s="1012">
        <f>transport!O54</f>
        <v>0</v>
      </c>
      <c r="Q19" s="1013">
        <f>transport!P54</f>
        <v>0</v>
      </c>
      <c r="R19" s="700">
        <f>SUM(C19:Q19)</f>
        <v>867.97188532876282</v>
      </c>
      <c r="S19" s="67"/>
    </row>
    <row r="20" spans="1:19" s="473" customFormat="1">
      <c r="A20" s="809" t="s">
        <v>307</v>
      </c>
      <c r="B20" s="814"/>
      <c r="C20" s="1012">
        <f>transport!B14</f>
        <v>14.188457397173202</v>
      </c>
      <c r="D20" s="1012">
        <f>transport!C14</f>
        <v>0</v>
      </c>
      <c r="E20" s="1012">
        <f>transport!D14</f>
        <v>35.956248550202027</v>
      </c>
      <c r="F20" s="1012">
        <f>transport!E14</f>
        <v>136.22348398787915</v>
      </c>
      <c r="G20" s="1012">
        <f>transport!F14</f>
        <v>0</v>
      </c>
      <c r="H20" s="1012">
        <f>transport!G14</f>
        <v>47162.648697468139</v>
      </c>
      <c r="I20" s="1012">
        <f>transport!H14</f>
        <v>9592.8834719513816</v>
      </c>
      <c r="J20" s="1012">
        <f>transport!I14</f>
        <v>0</v>
      </c>
      <c r="K20" s="1012">
        <f>transport!J14</f>
        <v>0</v>
      </c>
      <c r="L20" s="1012">
        <f>transport!K14</f>
        <v>0</v>
      </c>
      <c r="M20" s="1012">
        <f>transport!L14</f>
        <v>0</v>
      </c>
      <c r="N20" s="1012">
        <f>transport!M14</f>
        <v>1773.287454076459</v>
      </c>
      <c r="O20" s="1012">
        <f>transport!N14</f>
        <v>0</v>
      </c>
      <c r="P20" s="1012">
        <f>transport!O14</f>
        <v>0</v>
      </c>
      <c r="Q20" s="1013">
        <f>transport!P14</f>
        <v>0</v>
      </c>
      <c r="R20" s="700">
        <f>SUM(C20:Q20)</f>
        <v>58715.187813431236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14.188457397173202</v>
      </c>
      <c r="D22" s="812">
        <f t="shared" ref="D22:R22" si="1">SUM(D18:D21)</f>
        <v>0</v>
      </c>
      <c r="E22" s="812">
        <f t="shared" si="1"/>
        <v>35.956248550202027</v>
      </c>
      <c r="F22" s="812">
        <f t="shared" si="1"/>
        <v>136.22348398787915</v>
      </c>
      <c r="G22" s="812">
        <f t="shared" si="1"/>
        <v>0</v>
      </c>
      <c r="H22" s="812">
        <f t="shared" si="1"/>
        <v>48004.507990906961</v>
      </c>
      <c r="I22" s="812">
        <f t="shared" si="1"/>
        <v>9592.8834719513816</v>
      </c>
      <c r="J22" s="812">
        <f t="shared" si="1"/>
        <v>0</v>
      </c>
      <c r="K22" s="812">
        <f t="shared" si="1"/>
        <v>0</v>
      </c>
      <c r="L22" s="812">
        <f t="shared" si="1"/>
        <v>0</v>
      </c>
      <c r="M22" s="812">
        <f t="shared" si="1"/>
        <v>0</v>
      </c>
      <c r="N22" s="812">
        <f t="shared" si="1"/>
        <v>1799.4000459663991</v>
      </c>
      <c r="O22" s="812">
        <f t="shared" si="1"/>
        <v>0</v>
      </c>
      <c r="P22" s="812">
        <f t="shared" si="1"/>
        <v>0</v>
      </c>
      <c r="Q22" s="812">
        <f t="shared" si="1"/>
        <v>0</v>
      </c>
      <c r="R22" s="812">
        <f t="shared" si="1"/>
        <v>59583.159698759999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883.33065053599989</v>
      </c>
      <c r="D24" s="1012">
        <f>+landbouw!C8</f>
        <v>0</v>
      </c>
      <c r="E24" s="1012">
        <f>+landbouw!D8</f>
        <v>822.3195587910601</v>
      </c>
      <c r="F24" s="1012">
        <f>+landbouw!E8</f>
        <v>22.777705879744111</v>
      </c>
      <c r="G24" s="1012">
        <f>+landbouw!F8</f>
        <v>3228.7417498597233</v>
      </c>
      <c r="H24" s="1012">
        <f>+landbouw!G8</f>
        <v>0</v>
      </c>
      <c r="I24" s="1012">
        <f>+landbouw!H8</f>
        <v>0</v>
      </c>
      <c r="J24" s="1012">
        <f>+landbouw!I8</f>
        <v>0</v>
      </c>
      <c r="K24" s="1012">
        <f>+landbouw!J8</f>
        <v>127.16711889545969</v>
      </c>
      <c r="L24" s="1012">
        <f>+landbouw!K8</f>
        <v>0</v>
      </c>
      <c r="M24" s="1012">
        <f>+landbouw!L8</f>
        <v>0</v>
      </c>
      <c r="N24" s="1012">
        <f>+landbouw!M8</f>
        <v>0</v>
      </c>
      <c r="O24" s="1012">
        <f>+landbouw!N8</f>
        <v>0</v>
      </c>
      <c r="P24" s="1012">
        <f>+landbouw!O8</f>
        <v>0</v>
      </c>
      <c r="Q24" s="1013">
        <f>+landbouw!P8</f>
        <v>0</v>
      </c>
      <c r="R24" s="700">
        <f>SUM(C24:Q24)</f>
        <v>5084.3367839619868</v>
      </c>
      <c r="S24" s="67"/>
    </row>
    <row r="25" spans="1:19" s="473" customFormat="1" ht="15" thickBot="1">
      <c r="A25" s="831" t="s">
        <v>848</v>
      </c>
      <c r="B25" s="1015"/>
      <c r="C25" s="1016">
        <f>IF(Onbekend_ele_kWh="---",0,Onbekend_ele_kWh)/1000+IF(REST_rest_ele_kWh="---",0,REST_rest_ele_kWh)/1000</f>
        <v>1814.1431038999999</v>
      </c>
      <c r="D25" s="1016"/>
      <c r="E25" s="1016">
        <f>IF(onbekend_gas_kWh="---",0,onbekend_gas_kWh)/1000+IF(REST_rest_gas_kWh="---",0,REST_rest_gas_kWh)/1000</f>
        <v>1039.1582572</v>
      </c>
      <c r="F25" s="1016"/>
      <c r="G25" s="1016"/>
      <c r="H25" s="1016"/>
      <c r="I25" s="1016"/>
      <c r="J25" s="1016"/>
      <c r="K25" s="1016"/>
      <c r="L25" s="1016"/>
      <c r="M25" s="1016"/>
      <c r="N25" s="1016"/>
      <c r="O25" s="1016"/>
      <c r="P25" s="1016"/>
      <c r="Q25" s="1017"/>
      <c r="R25" s="700">
        <f>SUM(C25:Q25)</f>
        <v>2853.3013610999997</v>
      </c>
      <c r="S25" s="67"/>
    </row>
    <row r="26" spans="1:19" s="473" customFormat="1" ht="15.75" thickBot="1">
      <c r="A26" s="705" t="s">
        <v>849</v>
      </c>
      <c r="B26" s="817"/>
      <c r="C26" s="812">
        <f>SUM(C24:C25)</f>
        <v>2697.4737544359996</v>
      </c>
      <c r="D26" s="812">
        <f t="shared" ref="D26:R26" si="2">SUM(D24:D25)</f>
        <v>0</v>
      </c>
      <c r="E26" s="812">
        <f t="shared" si="2"/>
        <v>1861.4778159910602</v>
      </c>
      <c r="F26" s="812">
        <f t="shared" si="2"/>
        <v>22.777705879744111</v>
      </c>
      <c r="G26" s="812">
        <f t="shared" si="2"/>
        <v>3228.7417498597233</v>
      </c>
      <c r="H26" s="812">
        <f t="shared" si="2"/>
        <v>0</v>
      </c>
      <c r="I26" s="812">
        <f t="shared" si="2"/>
        <v>0</v>
      </c>
      <c r="J26" s="812">
        <f t="shared" si="2"/>
        <v>0</v>
      </c>
      <c r="K26" s="812">
        <f t="shared" si="2"/>
        <v>127.16711889545969</v>
      </c>
      <c r="L26" s="812">
        <f t="shared" si="2"/>
        <v>0</v>
      </c>
      <c r="M26" s="812">
        <f t="shared" si="2"/>
        <v>0</v>
      </c>
      <c r="N26" s="812">
        <f t="shared" si="2"/>
        <v>0</v>
      </c>
      <c r="O26" s="812">
        <f t="shared" si="2"/>
        <v>0</v>
      </c>
      <c r="P26" s="812">
        <f t="shared" si="2"/>
        <v>0</v>
      </c>
      <c r="Q26" s="812">
        <f t="shared" si="2"/>
        <v>0</v>
      </c>
      <c r="R26" s="812">
        <f t="shared" si="2"/>
        <v>7937.6381450619865</v>
      </c>
      <c r="S26" s="67"/>
    </row>
    <row r="27" spans="1:19" s="473" customFormat="1" ht="17.25" thickTop="1" thickBot="1">
      <c r="A27" s="706" t="s">
        <v>116</v>
      </c>
      <c r="B27" s="805"/>
      <c r="C27" s="707">
        <f ca="1">C22+C16+C26</f>
        <v>47480.779681628133</v>
      </c>
      <c r="D27" s="707">
        <f t="shared" ref="D27:R27" ca="1" si="3">D22+D16+D26</f>
        <v>45.5625</v>
      </c>
      <c r="E27" s="707">
        <f t="shared" ca="1" si="3"/>
        <v>67008.408159596889</v>
      </c>
      <c r="F27" s="707">
        <f t="shared" si="3"/>
        <v>8840.6724752569189</v>
      </c>
      <c r="G27" s="707">
        <f t="shared" ca="1" si="3"/>
        <v>31341.715738023227</v>
      </c>
      <c r="H27" s="707">
        <f t="shared" si="3"/>
        <v>48004.507990906961</v>
      </c>
      <c r="I27" s="707">
        <f t="shared" si="3"/>
        <v>9592.8834719513816</v>
      </c>
      <c r="J27" s="707">
        <f t="shared" si="3"/>
        <v>0</v>
      </c>
      <c r="K27" s="707">
        <f t="shared" si="3"/>
        <v>2361.6578954118181</v>
      </c>
      <c r="L27" s="707">
        <f t="shared" si="3"/>
        <v>0</v>
      </c>
      <c r="M27" s="707">
        <f t="shared" ca="1" si="3"/>
        <v>0</v>
      </c>
      <c r="N27" s="707">
        <f t="shared" si="3"/>
        <v>1799.4000459663991</v>
      </c>
      <c r="O27" s="707">
        <f t="shared" ca="1" si="3"/>
        <v>12932.184907477418</v>
      </c>
      <c r="P27" s="707">
        <f t="shared" si="3"/>
        <v>181.34666666666666</v>
      </c>
      <c r="Q27" s="707">
        <f t="shared" si="3"/>
        <v>686.4</v>
      </c>
      <c r="R27" s="707">
        <f t="shared" ca="1" si="3"/>
        <v>230275.51953288581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1315.2087140065532</v>
      </c>
      <c r="D40" s="1012">
        <f ca="1">tertiair!C20</f>
        <v>0</v>
      </c>
      <c r="E40" s="1012">
        <f ca="1">tertiair!D20</f>
        <v>2087.3514277673989</v>
      </c>
      <c r="F40" s="1012">
        <f>tertiair!E20</f>
        <v>52.912756174955973</v>
      </c>
      <c r="G40" s="1012">
        <f ca="1">tertiair!F20</f>
        <v>768.25619431811799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4223.7290922670263</v>
      </c>
    </row>
    <row r="41" spans="1:18">
      <c r="A41" s="822" t="s">
        <v>225</v>
      </c>
      <c r="B41" s="829"/>
      <c r="C41" s="1012">
        <f ca="1">huishoudens!B12</f>
        <v>3459.26330480451</v>
      </c>
      <c r="D41" s="1012">
        <f ca="1">huishoudens!C12</f>
        <v>0</v>
      </c>
      <c r="E41" s="1012">
        <f>huishoudens!D12</f>
        <v>8891.1870346962478</v>
      </c>
      <c r="F41" s="1012">
        <f>huishoudens!E12</f>
        <v>1841.8279413143309</v>
      </c>
      <c r="G41" s="1012">
        <f>huishoudens!F12</f>
        <v>6403.164698617652</v>
      </c>
      <c r="H41" s="1012">
        <f>huishoudens!G12</f>
        <v>0</v>
      </c>
      <c r="I41" s="1012">
        <f>huishoudens!H12</f>
        <v>0</v>
      </c>
      <c r="J41" s="1012">
        <f>huishoudens!I12</f>
        <v>0</v>
      </c>
      <c r="K41" s="1012">
        <f>huishoudens!J12</f>
        <v>786.77875384950278</v>
      </c>
      <c r="L41" s="1012">
        <f>huishoudens!K12</f>
        <v>0</v>
      </c>
      <c r="M41" s="1012">
        <f>huishoudens!L12</f>
        <v>0</v>
      </c>
      <c r="N41" s="1012">
        <f>huishoudens!M12</f>
        <v>0</v>
      </c>
      <c r="O41" s="1012">
        <f>huishoudens!N12</f>
        <v>0</v>
      </c>
      <c r="P41" s="1012">
        <f>huishoudens!O12</f>
        <v>0</v>
      </c>
      <c r="Q41" s="774">
        <f>huishoudens!P12</f>
        <v>0</v>
      </c>
      <c r="R41" s="850">
        <f t="shared" ca="1" si="4"/>
        <v>21382.221733282244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329.47159521510264</v>
      </c>
      <c r="D43" s="1012">
        <f ca="1">industrie!C22</f>
        <v>0</v>
      </c>
      <c r="E43" s="1012">
        <f>industrie!D22</f>
        <v>2173.8783047375914</v>
      </c>
      <c r="F43" s="1012">
        <f>industrie!E22</f>
        <v>75.998684294083219</v>
      </c>
      <c r="G43" s="1012">
        <f>industrie!F22</f>
        <v>334.74316190388635</v>
      </c>
      <c r="H43" s="1012">
        <f>industrie!G22</f>
        <v>0</v>
      </c>
      <c r="I43" s="1012">
        <f>industrie!H22</f>
        <v>0</v>
      </c>
      <c r="J43" s="1012">
        <f>industrie!I22</f>
        <v>0</v>
      </c>
      <c r="K43" s="1012">
        <f>industrie!J22</f>
        <v>4.2309810372881556</v>
      </c>
      <c r="L43" s="1012">
        <f>industrie!K22</f>
        <v>0</v>
      </c>
      <c r="M43" s="1012">
        <f>industrie!L22</f>
        <v>0</v>
      </c>
      <c r="N43" s="1012">
        <f>industrie!M22</f>
        <v>0</v>
      </c>
      <c r="O43" s="1012">
        <f>industrie!N22</f>
        <v>0</v>
      </c>
      <c r="P43" s="1012">
        <f>industrie!O22</f>
        <v>0</v>
      </c>
      <c r="Q43" s="774">
        <f>industrie!P22</f>
        <v>0</v>
      </c>
      <c r="R43" s="849">
        <f t="shared" ca="1" si="4"/>
        <v>2918.3227271879518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5103.943614026166</v>
      </c>
      <c r="D46" s="732">
        <f t="shared" ref="D46:Q46" ca="1" si="5">SUM(D39:D45)</f>
        <v>0</v>
      </c>
      <c r="E46" s="732">
        <f t="shared" ca="1" si="5"/>
        <v>13152.416767201237</v>
      </c>
      <c r="F46" s="732">
        <f t="shared" si="5"/>
        <v>1970.7393817833702</v>
      </c>
      <c r="G46" s="732">
        <f t="shared" ca="1" si="5"/>
        <v>7506.1640548396563</v>
      </c>
      <c r="H46" s="732">
        <f t="shared" si="5"/>
        <v>0</v>
      </c>
      <c r="I46" s="732">
        <f t="shared" si="5"/>
        <v>0</v>
      </c>
      <c r="J46" s="732">
        <f t="shared" si="5"/>
        <v>0</v>
      </c>
      <c r="K46" s="732">
        <f t="shared" si="5"/>
        <v>791.00973488679097</v>
      </c>
      <c r="L46" s="732">
        <f t="shared" si="5"/>
        <v>0</v>
      </c>
      <c r="M46" s="732">
        <f t="shared" ca="1" si="5"/>
        <v>0</v>
      </c>
      <c r="N46" s="732">
        <f t="shared" si="5"/>
        <v>0</v>
      </c>
      <c r="O46" s="732">
        <f t="shared" ca="1" si="5"/>
        <v>0</v>
      </c>
      <c r="P46" s="732">
        <f t="shared" si="5"/>
        <v>0</v>
      </c>
      <c r="Q46" s="732">
        <f t="shared" si="5"/>
        <v>0</v>
      </c>
      <c r="R46" s="732">
        <f ca="1">SUM(R39:R45)</f>
        <v>28524.273552737221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224.77643134816563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224.77643134816563</v>
      </c>
    </row>
    <row r="50" spans="1:18">
      <c r="A50" s="825" t="s">
        <v>307</v>
      </c>
      <c r="B50" s="835"/>
      <c r="C50" s="703">
        <f ca="1">transport!B18</f>
        <v>1.6175678820124875</v>
      </c>
      <c r="D50" s="703">
        <f>transport!C18</f>
        <v>0</v>
      </c>
      <c r="E50" s="703">
        <f>transport!D18</f>
        <v>7.2631622071408097</v>
      </c>
      <c r="F50" s="703">
        <f>transport!E18</f>
        <v>30.922730865248568</v>
      </c>
      <c r="G50" s="703">
        <f>transport!F18</f>
        <v>0</v>
      </c>
      <c r="H50" s="703">
        <f>transport!G18</f>
        <v>12592.427202223995</v>
      </c>
      <c r="I50" s="703">
        <f>transport!H18</f>
        <v>2388.6279845158938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15020.858647694289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1.6175678820124875</v>
      </c>
      <c r="D52" s="732">
        <f t="shared" ref="D52:Q52" ca="1" si="6">SUM(D48:D51)</f>
        <v>0</v>
      </c>
      <c r="E52" s="732">
        <f t="shared" si="6"/>
        <v>7.2631622071408097</v>
      </c>
      <c r="F52" s="732">
        <f t="shared" si="6"/>
        <v>30.922730865248568</v>
      </c>
      <c r="G52" s="732">
        <f t="shared" si="6"/>
        <v>0</v>
      </c>
      <c r="H52" s="732">
        <f t="shared" si="6"/>
        <v>12817.20363357216</v>
      </c>
      <c r="I52" s="732">
        <f t="shared" si="6"/>
        <v>2388.6279845158938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15245.635079042455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100.7049074826769</v>
      </c>
      <c r="D54" s="703">
        <f ca="1">+landbouw!C12</f>
        <v>0</v>
      </c>
      <c r="E54" s="703">
        <f>+landbouw!D12</f>
        <v>166.10855087579415</v>
      </c>
      <c r="F54" s="703">
        <f>+landbouw!E12</f>
        <v>5.1705392347019137</v>
      </c>
      <c r="G54" s="703">
        <f>+landbouw!F12</f>
        <v>862.07404721254613</v>
      </c>
      <c r="H54" s="703">
        <f>+landbouw!G12</f>
        <v>0</v>
      </c>
      <c r="I54" s="703">
        <f>+landbouw!H12</f>
        <v>0</v>
      </c>
      <c r="J54" s="703">
        <f>+landbouw!I12</f>
        <v>0</v>
      </c>
      <c r="K54" s="703">
        <f>+landbouw!J12</f>
        <v>45.017160088992732</v>
      </c>
      <c r="L54" s="703">
        <f>+landbouw!K12</f>
        <v>0</v>
      </c>
      <c r="M54" s="703">
        <f>+landbouw!L12</f>
        <v>0</v>
      </c>
      <c r="N54" s="703">
        <f>+landbouw!M12</f>
        <v>0</v>
      </c>
      <c r="O54" s="703">
        <f>+landbouw!N12</f>
        <v>0</v>
      </c>
      <c r="P54" s="703">
        <f>+landbouw!O12</f>
        <v>0</v>
      </c>
      <c r="Q54" s="704">
        <f>+landbouw!P12</f>
        <v>0</v>
      </c>
      <c r="R54" s="731">
        <f ca="1">SUM(C54:Q54)</f>
        <v>1179.0752048947118</v>
      </c>
    </row>
    <row r="55" spans="1:18" ht="15" thickBot="1">
      <c r="A55" s="825" t="s">
        <v>848</v>
      </c>
      <c r="B55" s="835"/>
      <c r="C55" s="703">
        <f ca="1">C25*'EF ele_warmte'!B12</f>
        <v>206.82302072018976</v>
      </c>
      <c r="D55" s="703"/>
      <c r="E55" s="703">
        <f>E25*EF_CO2_aardgas</f>
        <v>209.9099679544</v>
      </c>
      <c r="F55" s="703"/>
      <c r="G55" s="703"/>
      <c r="H55" s="703"/>
      <c r="I55" s="703"/>
      <c r="J55" s="703"/>
      <c r="K55" s="703"/>
      <c r="L55" s="703"/>
      <c r="M55" s="703"/>
      <c r="N55" s="703"/>
      <c r="O55" s="703"/>
      <c r="P55" s="703"/>
      <c r="Q55" s="704"/>
      <c r="R55" s="731">
        <f ca="1">SUM(C55:Q55)</f>
        <v>416.73298867458976</v>
      </c>
    </row>
    <row r="56" spans="1:18" ht="15.75" thickBot="1">
      <c r="A56" s="823" t="s">
        <v>849</v>
      </c>
      <c r="B56" s="836"/>
      <c r="C56" s="732">
        <f ca="1">SUM(C54:C55)</f>
        <v>307.52792820286663</v>
      </c>
      <c r="D56" s="732">
        <f t="shared" ref="D56:Q56" ca="1" si="7">SUM(D54:D55)</f>
        <v>0</v>
      </c>
      <c r="E56" s="732">
        <f t="shared" si="7"/>
        <v>376.01851883019413</v>
      </c>
      <c r="F56" s="732">
        <f t="shared" si="7"/>
        <v>5.1705392347019137</v>
      </c>
      <c r="G56" s="732">
        <f t="shared" si="7"/>
        <v>862.07404721254613</v>
      </c>
      <c r="H56" s="732">
        <f t="shared" si="7"/>
        <v>0</v>
      </c>
      <c r="I56" s="732">
        <f t="shared" si="7"/>
        <v>0</v>
      </c>
      <c r="J56" s="732">
        <f t="shared" si="7"/>
        <v>0</v>
      </c>
      <c r="K56" s="732">
        <f t="shared" si="7"/>
        <v>45.017160088992732</v>
      </c>
      <c r="L56" s="732">
        <f t="shared" si="7"/>
        <v>0</v>
      </c>
      <c r="M56" s="732">
        <f t="shared" si="7"/>
        <v>0</v>
      </c>
      <c r="N56" s="732">
        <f t="shared" si="7"/>
        <v>0</v>
      </c>
      <c r="O56" s="732">
        <f t="shared" si="7"/>
        <v>0</v>
      </c>
      <c r="P56" s="732">
        <f t="shared" si="7"/>
        <v>0</v>
      </c>
      <c r="Q56" s="733">
        <f t="shared" si="7"/>
        <v>0</v>
      </c>
      <c r="R56" s="734">
        <f ca="1">SUM(R54:R55)</f>
        <v>1595.8081935693015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5413.0891101110456</v>
      </c>
      <c r="D61" s="740">
        <f t="shared" ref="D61:Q61" ca="1" si="8">D46+D52+D56</f>
        <v>0</v>
      </c>
      <c r="E61" s="740">
        <f t="shared" ca="1" si="8"/>
        <v>13535.698448238572</v>
      </c>
      <c r="F61" s="740">
        <f t="shared" si="8"/>
        <v>2006.8326518833205</v>
      </c>
      <c r="G61" s="740">
        <f t="shared" ca="1" si="8"/>
        <v>8368.2381020522025</v>
      </c>
      <c r="H61" s="740">
        <f t="shared" si="8"/>
        <v>12817.20363357216</v>
      </c>
      <c r="I61" s="740">
        <f t="shared" si="8"/>
        <v>2388.6279845158938</v>
      </c>
      <c r="J61" s="740">
        <f t="shared" si="8"/>
        <v>0</v>
      </c>
      <c r="K61" s="740">
        <f t="shared" si="8"/>
        <v>836.02689497578365</v>
      </c>
      <c r="L61" s="740">
        <f t="shared" si="8"/>
        <v>0</v>
      </c>
      <c r="M61" s="740">
        <f t="shared" ca="1" si="8"/>
        <v>0</v>
      </c>
      <c r="N61" s="740">
        <f t="shared" si="8"/>
        <v>0</v>
      </c>
      <c r="O61" s="740">
        <f t="shared" ca="1" si="8"/>
        <v>0</v>
      </c>
      <c r="P61" s="740">
        <f t="shared" si="8"/>
        <v>0</v>
      </c>
      <c r="Q61" s="740">
        <f t="shared" si="8"/>
        <v>0</v>
      </c>
      <c r="R61" s="740">
        <f ca="1">R46+R52+R56</f>
        <v>45365.71682534898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0.11400590189140358</v>
      </c>
      <c r="D63" s="781">
        <f t="shared" ca="1" si="9"/>
        <v>0</v>
      </c>
      <c r="E63" s="1023">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19843.327069001127</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3103.336729771594</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40.5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47.647058823529413</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22987.163798772723</v>
      </c>
      <c r="C78" s="755">
        <f>SUM(C72:C77)</f>
        <v>0</v>
      </c>
      <c r="D78" s="756">
        <f t="shared" ref="D78:H78" si="10">SUM(D76:D77)</f>
        <v>0</v>
      </c>
      <c r="E78" s="756">
        <f t="shared" si="10"/>
        <v>0</v>
      </c>
      <c r="F78" s="756">
        <f t="shared" si="10"/>
        <v>0</v>
      </c>
      <c r="G78" s="756">
        <f t="shared" si="10"/>
        <v>0</v>
      </c>
      <c r="H78" s="756">
        <f t="shared" si="10"/>
        <v>0</v>
      </c>
      <c r="I78" s="756">
        <f>SUM(I76:I77)</f>
        <v>47.647058823529413</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45.5625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53.602941176470587</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45.5625</v>
      </c>
      <c r="C90" s="755">
        <f>SUM(C87:C89)</f>
        <v>0</v>
      </c>
      <c r="D90" s="755">
        <f t="shared" ref="D90:H90" si="12">SUM(D87:D89)</f>
        <v>0</v>
      </c>
      <c r="E90" s="755">
        <f t="shared" si="12"/>
        <v>0</v>
      </c>
      <c r="F90" s="755">
        <f t="shared" si="12"/>
        <v>0</v>
      </c>
      <c r="G90" s="755">
        <f t="shared" si="12"/>
        <v>0</v>
      </c>
      <c r="H90" s="755">
        <f t="shared" si="12"/>
        <v>0</v>
      </c>
      <c r="I90" s="755">
        <f>SUM(I87:I89)</f>
        <v>53.602941176470587</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30342.844075735957</v>
      </c>
      <c r="C4" s="477">
        <f>huishoudens!C8</f>
        <v>0</v>
      </c>
      <c r="D4" s="477">
        <f>huishoudens!D8</f>
        <v>44015.777399486375</v>
      </c>
      <c r="E4" s="477">
        <f>huishoudens!E8</f>
        <v>8113.7794771556428</v>
      </c>
      <c r="F4" s="477">
        <f>huishoudens!F8</f>
        <v>23981.89025699495</v>
      </c>
      <c r="G4" s="477">
        <f>huishoudens!G8</f>
        <v>0</v>
      </c>
      <c r="H4" s="477">
        <f>huishoudens!H8</f>
        <v>0</v>
      </c>
      <c r="I4" s="477">
        <f>huishoudens!I8</f>
        <v>0</v>
      </c>
      <c r="J4" s="477">
        <f>huishoudens!J8</f>
        <v>2222.5388526822112</v>
      </c>
      <c r="K4" s="477">
        <f>huishoudens!K8</f>
        <v>0</v>
      </c>
      <c r="L4" s="477">
        <f>huishoudens!L8</f>
        <v>0</v>
      </c>
      <c r="M4" s="477">
        <f>huishoudens!M8</f>
        <v>0</v>
      </c>
      <c r="N4" s="477">
        <f>huishoudens!N8</f>
        <v>11199.995500289464</v>
      </c>
      <c r="O4" s="477">
        <f>huishoudens!O8</f>
        <v>176.65666666666667</v>
      </c>
      <c r="P4" s="478">
        <f>huishoudens!P8</f>
        <v>648.26666666666665</v>
      </c>
      <c r="Q4" s="479">
        <f>SUM(B4:P4)</f>
        <v>120701.74889567793</v>
      </c>
    </row>
    <row r="5" spans="1:17">
      <c r="A5" s="476" t="s">
        <v>156</v>
      </c>
      <c r="B5" s="477">
        <f ca="1">tertiair!B16</f>
        <v>10410.089297289998</v>
      </c>
      <c r="C5" s="477">
        <f ca="1">tertiair!C16</f>
        <v>45.5625</v>
      </c>
      <c r="D5" s="477">
        <f ca="1">tertiair!D16</f>
        <v>10333.422909739598</v>
      </c>
      <c r="E5" s="477">
        <f>tertiair!E16</f>
        <v>233.09584218042278</v>
      </c>
      <c r="F5" s="477">
        <f ca="1">tertiair!F16</f>
        <v>2877.3640236633632</v>
      </c>
      <c r="G5" s="477">
        <f>tertiair!G16</f>
        <v>0</v>
      </c>
      <c r="H5" s="477">
        <f>tertiair!H16</f>
        <v>0</v>
      </c>
      <c r="I5" s="477">
        <f>tertiair!I16</f>
        <v>0</v>
      </c>
      <c r="J5" s="477">
        <f>tertiair!J16</f>
        <v>0</v>
      </c>
      <c r="K5" s="477">
        <f>tertiair!K16</f>
        <v>0</v>
      </c>
      <c r="L5" s="477">
        <f ca="1">tertiair!L16</f>
        <v>0</v>
      </c>
      <c r="M5" s="477">
        <f>tertiair!M16</f>
        <v>0</v>
      </c>
      <c r="N5" s="477">
        <f ca="1">tertiair!N16</f>
        <v>1033.0764797343963</v>
      </c>
      <c r="O5" s="477">
        <f>tertiair!O16</f>
        <v>4.6900000000000004</v>
      </c>
      <c r="P5" s="478">
        <f>tertiair!P16</f>
        <v>38.133333333333333</v>
      </c>
      <c r="Q5" s="476">
        <f t="shared" ref="Q5:Q14" ca="1" si="0">SUM(B5:P5)</f>
        <v>24975.434385941116</v>
      </c>
    </row>
    <row r="6" spans="1:17">
      <c r="A6" s="476" t="s">
        <v>194</v>
      </c>
      <c r="B6" s="477">
        <f>'openbare verlichting'!B8</f>
        <v>1126.232</v>
      </c>
      <c r="C6" s="477"/>
      <c r="D6" s="477"/>
      <c r="E6" s="477"/>
      <c r="F6" s="477"/>
      <c r="G6" s="477"/>
      <c r="H6" s="477"/>
      <c r="I6" s="477"/>
      <c r="J6" s="477"/>
      <c r="K6" s="477"/>
      <c r="L6" s="477"/>
      <c r="M6" s="477"/>
      <c r="N6" s="477"/>
      <c r="O6" s="477"/>
      <c r="P6" s="478"/>
      <c r="Q6" s="476">
        <f t="shared" si="0"/>
        <v>1126.232</v>
      </c>
    </row>
    <row r="7" spans="1:17">
      <c r="A7" s="476" t="s">
        <v>112</v>
      </c>
      <c r="B7" s="477">
        <f>landbouw!B8</f>
        <v>883.33065053599989</v>
      </c>
      <c r="C7" s="477">
        <f>landbouw!C8</f>
        <v>0</v>
      </c>
      <c r="D7" s="477">
        <f>landbouw!D8</f>
        <v>822.3195587910601</v>
      </c>
      <c r="E7" s="477">
        <f>landbouw!E8</f>
        <v>22.777705879744111</v>
      </c>
      <c r="F7" s="477">
        <f>landbouw!F8</f>
        <v>3228.7417498597233</v>
      </c>
      <c r="G7" s="477">
        <f>landbouw!G8</f>
        <v>0</v>
      </c>
      <c r="H7" s="477">
        <f>landbouw!H8</f>
        <v>0</v>
      </c>
      <c r="I7" s="477">
        <f>landbouw!I8</f>
        <v>0</v>
      </c>
      <c r="J7" s="477">
        <f>landbouw!J8</f>
        <v>127.16711889545969</v>
      </c>
      <c r="K7" s="477">
        <f>landbouw!K8</f>
        <v>0</v>
      </c>
      <c r="L7" s="477">
        <f>landbouw!L8</f>
        <v>0</v>
      </c>
      <c r="M7" s="477">
        <f>landbouw!M8</f>
        <v>0</v>
      </c>
      <c r="N7" s="477">
        <f>landbouw!N8</f>
        <v>0</v>
      </c>
      <c r="O7" s="477">
        <f>landbouw!O8</f>
        <v>0</v>
      </c>
      <c r="P7" s="478">
        <f>landbouw!P8</f>
        <v>0</v>
      </c>
      <c r="Q7" s="476">
        <f t="shared" si="0"/>
        <v>5084.3367839619868</v>
      </c>
    </row>
    <row r="8" spans="1:17">
      <c r="A8" s="476" t="s">
        <v>638</v>
      </c>
      <c r="B8" s="477">
        <f>industrie!B18</f>
        <v>2889.9520967689996</v>
      </c>
      <c r="C8" s="477">
        <f>industrie!C18</f>
        <v>0</v>
      </c>
      <c r="D8" s="477">
        <f>industrie!D18</f>
        <v>10761.77378582966</v>
      </c>
      <c r="E8" s="477">
        <f>industrie!E18</f>
        <v>334.79596605323002</v>
      </c>
      <c r="F8" s="477">
        <f>industrie!F18</f>
        <v>1253.7197075051922</v>
      </c>
      <c r="G8" s="477">
        <f>industrie!G18</f>
        <v>0</v>
      </c>
      <c r="H8" s="477">
        <f>industrie!H18</f>
        <v>0</v>
      </c>
      <c r="I8" s="477">
        <f>industrie!I18</f>
        <v>0</v>
      </c>
      <c r="J8" s="477">
        <f>industrie!J18</f>
        <v>11.951923834147333</v>
      </c>
      <c r="K8" s="477">
        <f>industrie!K18</f>
        <v>0</v>
      </c>
      <c r="L8" s="477">
        <f>industrie!L18</f>
        <v>0</v>
      </c>
      <c r="M8" s="477">
        <f>industrie!M18</f>
        <v>0</v>
      </c>
      <c r="N8" s="477">
        <f>industrie!N18</f>
        <v>699.11292745355843</v>
      </c>
      <c r="O8" s="477">
        <f>industrie!O18</f>
        <v>0</v>
      </c>
      <c r="P8" s="478">
        <f>industrie!P18</f>
        <v>0</v>
      </c>
      <c r="Q8" s="476">
        <f t="shared" si="0"/>
        <v>15951.306407444788</v>
      </c>
    </row>
    <row r="9" spans="1:17" s="482" customFormat="1">
      <c r="A9" s="480" t="s">
        <v>564</v>
      </c>
      <c r="B9" s="481">
        <f>transport!B14</f>
        <v>14.188457397173202</v>
      </c>
      <c r="C9" s="481">
        <f>transport!C14</f>
        <v>0</v>
      </c>
      <c r="D9" s="481">
        <f>transport!D14</f>
        <v>35.956248550202027</v>
      </c>
      <c r="E9" s="481">
        <f>transport!E14</f>
        <v>136.22348398787915</v>
      </c>
      <c r="F9" s="481">
        <f>transport!F14</f>
        <v>0</v>
      </c>
      <c r="G9" s="481">
        <f>transport!G14</f>
        <v>47162.648697468139</v>
      </c>
      <c r="H9" s="481">
        <f>transport!H14</f>
        <v>9592.8834719513816</v>
      </c>
      <c r="I9" s="481">
        <f>transport!I14</f>
        <v>0</v>
      </c>
      <c r="J9" s="481">
        <f>transport!J14</f>
        <v>0</v>
      </c>
      <c r="K9" s="481">
        <f>transport!K14</f>
        <v>0</v>
      </c>
      <c r="L9" s="481">
        <f>transport!L14</f>
        <v>0</v>
      </c>
      <c r="M9" s="481">
        <f>transport!M14</f>
        <v>1773.287454076459</v>
      </c>
      <c r="N9" s="481">
        <f>transport!N14</f>
        <v>0</v>
      </c>
      <c r="O9" s="481">
        <f>transport!O14</f>
        <v>0</v>
      </c>
      <c r="P9" s="481">
        <f>transport!P14</f>
        <v>0</v>
      </c>
      <c r="Q9" s="480">
        <f>SUM(B9:P9)</f>
        <v>58715.187813431236</v>
      </c>
    </row>
    <row r="10" spans="1:17">
      <c r="A10" s="476" t="s">
        <v>554</v>
      </c>
      <c r="B10" s="477">
        <f>transport!B54</f>
        <v>0</v>
      </c>
      <c r="C10" s="477">
        <f>transport!C54</f>
        <v>0</v>
      </c>
      <c r="D10" s="477">
        <f>transport!D54</f>
        <v>0</v>
      </c>
      <c r="E10" s="477">
        <f>transport!E54</f>
        <v>0</v>
      </c>
      <c r="F10" s="477">
        <f>transport!F54</f>
        <v>0</v>
      </c>
      <c r="G10" s="477">
        <f>transport!G54</f>
        <v>841.85929343882253</v>
      </c>
      <c r="H10" s="477">
        <f>transport!H54</f>
        <v>0</v>
      </c>
      <c r="I10" s="477">
        <f>transport!I54</f>
        <v>0</v>
      </c>
      <c r="J10" s="477">
        <f>transport!J54</f>
        <v>0</v>
      </c>
      <c r="K10" s="477">
        <f>transport!K54</f>
        <v>0</v>
      </c>
      <c r="L10" s="477">
        <f>transport!L54</f>
        <v>0</v>
      </c>
      <c r="M10" s="477">
        <f>transport!M54</f>
        <v>26.112591889940258</v>
      </c>
      <c r="N10" s="477">
        <f>transport!N54</f>
        <v>0</v>
      </c>
      <c r="O10" s="477">
        <f>transport!O54</f>
        <v>0</v>
      </c>
      <c r="P10" s="478">
        <f>transport!P54</f>
        <v>0</v>
      </c>
      <c r="Q10" s="476">
        <f t="shared" si="0"/>
        <v>867.97188532876282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1814.1431038999999</v>
      </c>
      <c r="C14" s="484"/>
      <c r="D14" s="484">
        <f>'SEAP template'!E25</f>
        <v>1039.1582572</v>
      </c>
      <c r="E14" s="484"/>
      <c r="F14" s="484"/>
      <c r="G14" s="484"/>
      <c r="H14" s="484"/>
      <c r="I14" s="484"/>
      <c r="J14" s="484"/>
      <c r="K14" s="484"/>
      <c r="L14" s="484"/>
      <c r="M14" s="484"/>
      <c r="N14" s="484"/>
      <c r="O14" s="484"/>
      <c r="P14" s="485"/>
      <c r="Q14" s="476">
        <f t="shared" si="0"/>
        <v>2853.3013610999997</v>
      </c>
    </row>
    <row r="15" spans="1:17" s="486" customFormat="1">
      <c r="A15" s="1038" t="s">
        <v>558</v>
      </c>
      <c r="B15" s="978">
        <f ca="1">SUM(B4:B14)</f>
        <v>47480.779681628133</v>
      </c>
      <c r="C15" s="978">
        <f t="shared" ref="C15:Q15" ca="1" si="1">SUM(C4:C14)</f>
        <v>45.5625</v>
      </c>
      <c r="D15" s="978">
        <f t="shared" ca="1" si="1"/>
        <v>67008.408159596889</v>
      </c>
      <c r="E15" s="978">
        <f t="shared" si="1"/>
        <v>8840.6724752569189</v>
      </c>
      <c r="F15" s="978">
        <f t="shared" ca="1" si="1"/>
        <v>31341.715738023227</v>
      </c>
      <c r="G15" s="978">
        <f t="shared" si="1"/>
        <v>48004.507990906961</v>
      </c>
      <c r="H15" s="978">
        <f t="shared" si="1"/>
        <v>9592.8834719513816</v>
      </c>
      <c r="I15" s="978">
        <f t="shared" si="1"/>
        <v>0</v>
      </c>
      <c r="J15" s="978">
        <f t="shared" si="1"/>
        <v>2361.6578954118181</v>
      </c>
      <c r="K15" s="978">
        <f t="shared" si="1"/>
        <v>0</v>
      </c>
      <c r="L15" s="978">
        <f t="shared" ca="1" si="1"/>
        <v>0</v>
      </c>
      <c r="M15" s="978">
        <f t="shared" si="1"/>
        <v>1799.4000459663991</v>
      </c>
      <c r="N15" s="978">
        <f t="shared" ca="1" si="1"/>
        <v>12932.184907477418</v>
      </c>
      <c r="O15" s="978">
        <f t="shared" si="1"/>
        <v>181.34666666666666</v>
      </c>
      <c r="P15" s="978">
        <f t="shared" si="1"/>
        <v>686.4</v>
      </c>
      <c r="Q15" s="978">
        <f t="shared" ca="1" si="1"/>
        <v>230275.51953288578</v>
      </c>
    </row>
    <row r="17" spans="1:17">
      <c r="A17" s="487" t="s">
        <v>559</v>
      </c>
      <c r="B17" s="786">
        <f ca="1">huishoudens!B10</f>
        <v>0.11400590189140358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3459.26330480451</v>
      </c>
      <c r="C22" s="477">
        <f t="shared" ref="C22:C32" ca="1" si="3">C4*$C$17</f>
        <v>0</v>
      </c>
      <c r="D22" s="477">
        <f t="shared" ref="D22:D32" si="4">D4*$D$17</f>
        <v>8891.1870346962478</v>
      </c>
      <c r="E22" s="477">
        <f t="shared" ref="E22:E32" si="5">E4*$E$17</f>
        <v>1841.8279413143309</v>
      </c>
      <c r="F22" s="477">
        <f t="shared" ref="F22:F32" si="6">F4*$F$17</f>
        <v>6403.164698617652</v>
      </c>
      <c r="G22" s="477">
        <f t="shared" ref="G22:G32" si="7">G4*$G$17</f>
        <v>0</v>
      </c>
      <c r="H22" s="477">
        <f t="shared" ref="H22:H32" si="8">H4*$H$17</f>
        <v>0</v>
      </c>
      <c r="I22" s="477">
        <f t="shared" ref="I22:I32" si="9">I4*$I$17</f>
        <v>0</v>
      </c>
      <c r="J22" s="477">
        <f t="shared" ref="J22:J32" si="10">J4*$J$17</f>
        <v>786.77875384950278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21382.221733282244</v>
      </c>
    </row>
    <row r="23" spans="1:17">
      <c r="A23" s="476" t="s">
        <v>156</v>
      </c>
      <c r="B23" s="477">
        <f t="shared" ca="1" si="2"/>
        <v>1186.811619107594</v>
      </c>
      <c r="C23" s="477">
        <f t="shared" ca="1" si="3"/>
        <v>0</v>
      </c>
      <c r="D23" s="477">
        <f t="shared" ca="1" si="4"/>
        <v>2087.3514277673989</v>
      </c>
      <c r="E23" s="477">
        <f t="shared" si="5"/>
        <v>52.912756174955973</v>
      </c>
      <c r="F23" s="477">
        <f t="shared" ca="1" si="6"/>
        <v>768.25619431811799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4095.3319973680668</v>
      </c>
    </row>
    <row r="24" spans="1:17">
      <c r="A24" s="476" t="s">
        <v>194</v>
      </c>
      <c r="B24" s="477">
        <f t="shared" ca="1" si="2"/>
        <v>128.39709489895924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128.39709489895924</v>
      </c>
    </row>
    <row r="25" spans="1:17">
      <c r="A25" s="476" t="s">
        <v>112</v>
      </c>
      <c r="B25" s="477">
        <f t="shared" ca="1" si="2"/>
        <v>100.7049074826769</v>
      </c>
      <c r="C25" s="477">
        <f t="shared" ca="1" si="3"/>
        <v>0</v>
      </c>
      <c r="D25" s="477">
        <f t="shared" si="4"/>
        <v>166.10855087579415</v>
      </c>
      <c r="E25" s="477">
        <f t="shared" si="5"/>
        <v>5.1705392347019137</v>
      </c>
      <c r="F25" s="477">
        <f t="shared" si="6"/>
        <v>862.07404721254613</v>
      </c>
      <c r="G25" s="477">
        <f t="shared" si="7"/>
        <v>0</v>
      </c>
      <c r="H25" s="477">
        <f t="shared" si="8"/>
        <v>0</v>
      </c>
      <c r="I25" s="477">
        <f t="shared" si="9"/>
        <v>0</v>
      </c>
      <c r="J25" s="477">
        <f t="shared" si="10"/>
        <v>45.017160088992732</v>
      </c>
      <c r="K25" s="477">
        <f t="shared" si="11"/>
        <v>0</v>
      </c>
      <c r="L25" s="477">
        <f t="shared" si="12"/>
        <v>0</v>
      </c>
      <c r="M25" s="477">
        <f t="shared" si="13"/>
        <v>0</v>
      </c>
      <c r="N25" s="477">
        <f t="shared" si="14"/>
        <v>0</v>
      </c>
      <c r="O25" s="477">
        <f t="shared" si="15"/>
        <v>0</v>
      </c>
      <c r="P25" s="478">
        <f t="shared" si="16"/>
        <v>0</v>
      </c>
      <c r="Q25" s="476">
        <f t="shared" ca="1" si="17"/>
        <v>1179.0752048947118</v>
      </c>
    </row>
    <row r="26" spans="1:17">
      <c r="A26" s="476" t="s">
        <v>638</v>
      </c>
      <c r="B26" s="477">
        <f t="shared" ca="1" si="2"/>
        <v>329.47159521510264</v>
      </c>
      <c r="C26" s="477">
        <f t="shared" ca="1" si="3"/>
        <v>0</v>
      </c>
      <c r="D26" s="477">
        <f t="shared" si="4"/>
        <v>2173.8783047375914</v>
      </c>
      <c r="E26" s="477">
        <f t="shared" si="5"/>
        <v>75.998684294083219</v>
      </c>
      <c r="F26" s="477">
        <f t="shared" si="6"/>
        <v>334.74316190388635</v>
      </c>
      <c r="G26" s="477">
        <f t="shared" si="7"/>
        <v>0</v>
      </c>
      <c r="H26" s="477">
        <f t="shared" si="8"/>
        <v>0</v>
      </c>
      <c r="I26" s="477">
        <f t="shared" si="9"/>
        <v>0</v>
      </c>
      <c r="J26" s="477">
        <f t="shared" si="10"/>
        <v>4.2309810372881556</v>
      </c>
      <c r="K26" s="477">
        <f t="shared" si="11"/>
        <v>0</v>
      </c>
      <c r="L26" s="477">
        <f t="shared" si="12"/>
        <v>0</v>
      </c>
      <c r="M26" s="477">
        <f t="shared" si="13"/>
        <v>0</v>
      </c>
      <c r="N26" s="477">
        <f t="shared" si="14"/>
        <v>0</v>
      </c>
      <c r="O26" s="477">
        <f t="shared" si="15"/>
        <v>0</v>
      </c>
      <c r="P26" s="478">
        <f t="shared" si="16"/>
        <v>0</v>
      </c>
      <c r="Q26" s="476">
        <f t="shared" ca="1" si="17"/>
        <v>2918.3227271879518</v>
      </c>
    </row>
    <row r="27" spans="1:17" s="482" customFormat="1">
      <c r="A27" s="480" t="s">
        <v>564</v>
      </c>
      <c r="B27" s="780">
        <f t="shared" ca="1" si="2"/>
        <v>1.6175678820124875</v>
      </c>
      <c r="C27" s="481">
        <f t="shared" ca="1" si="3"/>
        <v>0</v>
      </c>
      <c r="D27" s="481">
        <f t="shared" si="4"/>
        <v>7.2631622071408097</v>
      </c>
      <c r="E27" s="481">
        <f t="shared" si="5"/>
        <v>30.922730865248568</v>
      </c>
      <c r="F27" s="481">
        <f t="shared" si="6"/>
        <v>0</v>
      </c>
      <c r="G27" s="481">
        <f t="shared" si="7"/>
        <v>12592.427202223995</v>
      </c>
      <c r="H27" s="481">
        <f t="shared" si="8"/>
        <v>2388.6279845158938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15020.858647694289</v>
      </c>
    </row>
    <row r="28" spans="1:17">
      <c r="A28" s="476" t="s">
        <v>554</v>
      </c>
      <c r="B28" s="477">
        <f t="shared" ca="1" si="2"/>
        <v>0</v>
      </c>
      <c r="C28" s="477">
        <f t="shared" ca="1" si="3"/>
        <v>0</v>
      </c>
      <c r="D28" s="477">
        <f t="shared" si="4"/>
        <v>0</v>
      </c>
      <c r="E28" s="477">
        <f t="shared" si="5"/>
        <v>0</v>
      </c>
      <c r="F28" s="477">
        <f t="shared" si="6"/>
        <v>0</v>
      </c>
      <c r="G28" s="477">
        <f t="shared" si="7"/>
        <v>224.77643134816563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224.77643134816563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206.82302072018976</v>
      </c>
      <c r="C32" s="477">
        <f t="shared" ca="1" si="3"/>
        <v>0</v>
      </c>
      <c r="D32" s="477">
        <f t="shared" si="4"/>
        <v>209.9099679544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416.73298867458976</v>
      </c>
    </row>
    <row r="33" spans="1:17" s="486" customFormat="1">
      <c r="A33" s="1038" t="s">
        <v>558</v>
      </c>
      <c r="B33" s="978">
        <f ca="1">SUM(B22:B32)</f>
        <v>5413.0891101110456</v>
      </c>
      <c r="C33" s="978">
        <f t="shared" ref="C33:Q33" ca="1" si="18">SUM(C22:C32)</f>
        <v>0</v>
      </c>
      <c r="D33" s="978">
        <f t="shared" ca="1" si="18"/>
        <v>13535.698448238571</v>
      </c>
      <c r="E33" s="978">
        <f t="shared" si="18"/>
        <v>2006.8326518833205</v>
      </c>
      <c r="F33" s="978">
        <f t="shared" ca="1" si="18"/>
        <v>8368.2381020522025</v>
      </c>
      <c r="G33" s="978">
        <f t="shared" si="18"/>
        <v>12817.20363357216</v>
      </c>
      <c r="H33" s="978">
        <f t="shared" si="18"/>
        <v>2388.6279845158938</v>
      </c>
      <c r="I33" s="978">
        <f t="shared" si="18"/>
        <v>0</v>
      </c>
      <c r="J33" s="978">
        <f t="shared" si="18"/>
        <v>836.02689497578365</v>
      </c>
      <c r="K33" s="978">
        <f t="shared" si="18"/>
        <v>0</v>
      </c>
      <c r="L33" s="978">
        <f t="shared" ca="1" si="18"/>
        <v>0</v>
      </c>
      <c r="M33" s="978">
        <f t="shared" si="18"/>
        <v>0</v>
      </c>
      <c r="N33" s="978">
        <f t="shared" ca="1" si="18"/>
        <v>0</v>
      </c>
      <c r="O33" s="978">
        <f t="shared" si="18"/>
        <v>0</v>
      </c>
      <c r="P33" s="978">
        <f t="shared" si="18"/>
        <v>0</v>
      </c>
      <c r="Q33" s="978">
        <f t="shared" ca="1" si="18"/>
        <v>45365.716825348973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19843.327069001127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3103.336729771594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40.5</v>
      </c>
      <c r="C8" s="1055">
        <f>'SEAP template'!C76</f>
        <v>0</v>
      </c>
      <c r="D8" s="1055">
        <f>'SEAP template'!D76</f>
        <v>0</v>
      </c>
      <c r="E8" s="1055">
        <f>'SEAP template'!E76</f>
        <v>0</v>
      </c>
      <c r="F8" s="1055">
        <f>'SEAP template'!F76</f>
        <v>0</v>
      </c>
      <c r="G8" s="1055">
        <f>'SEAP template'!G76</f>
        <v>0</v>
      </c>
      <c r="H8" s="1055">
        <f>'SEAP template'!H76</f>
        <v>0</v>
      </c>
      <c r="I8" s="1055">
        <f>'SEAP template'!I76</f>
        <v>47.647058823529413</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22987.163798772723</v>
      </c>
      <c r="C10" s="1059">
        <f>SUM(C4:C9)</f>
        <v>0</v>
      </c>
      <c r="D10" s="1059">
        <f t="shared" ref="D10:H10" si="0">SUM(D8:D9)</f>
        <v>0</v>
      </c>
      <c r="E10" s="1059">
        <f t="shared" si="0"/>
        <v>0</v>
      </c>
      <c r="F10" s="1059">
        <f t="shared" si="0"/>
        <v>0</v>
      </c>
      <c r="G10" s="1059">
        <f t="shared" si="0"/>
        <v>0</v>
      </c>
      <c r="H10" s="1059">
        <f t="shared" si="0"/>
        <v>0</v>
      </c>
      <c r="I10" s="1059">
        <f>SUM(I8:I9)</f>
        <v>47.647058823529413</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0.11400590189140358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45.5625</v>
      </c>
      <c r="C17" s="1061">
        <f>'SEAP template'!C87</f>
        <v>0</v>
      </c>
      <c r="D17" s="1056">
        <f>'SEAP template'!D87</f>
        <v>0</v>
      </c>
      <c r="E17" s="1056">
        <f>'SEAP template'!E87</f>
        <v>0</v>
      </c>
      <c r="F17" s="1056">
        <f>'SEAP template'!F87</f>
        <v>0</v>
      </c>
      <c r="G17" s="1056">
        <f>'SEAP template'!G87</f>
        <v>0</v>
      </c>
      <c r="H17" s="1056">
        <f>'SEAP template'!H87</f>
        <v>0</v>
      </c>
      <c r="I17" s="1056">
        <f>'SEAP template'!I87</f>
        <v>53.602941176470587</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45.5625</v>
      </c>
      <c r="C20" s="1059">
        <f>SUM(C17:C19)</f>
        <v>0</v>
      </c>
      <c r="D20" s="1059">
        <f t="shared" ref="D20:H20" si="2">SUM(D17:D19)</f>
        <v>0</v>
      </c>
      <c r="E20" s="1059">
        <f t="shared" si="2"/>
        <v>0</v>
      </c>
      <c r="F20" s="1059">
        <f t="shared" si="2"/>
        <v>0</v>
      </c>
      <c r="G20" s="1059">
        <f t="shared" si="2"/>
        <v>0</v>
      </c>
      <c r="H20" s="1059">
        <f t="shared" si="2"/>
        <v>0</v>
      </c>
      <c r="I20" s="1059">
        <f>SUM(I17:I19)</f>
        <v>53.602941176470587</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0.11400590189140358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0.11400590189140358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0.11400590189140358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6236</v>
      </c>
      <c r="C9" s="342">
        <v>6966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1833.63</v>
      </c>
    </row>
    <row r="15" spans="1:6">
      <c r="A15" s="348" t="s">
        <v>184</v>
      </c>
      <c r="B15" s="334">
        <v>25</v>
      </c>
    </row>
    <row r="16" spans="1:6">
      <c r="A16" s="348" t="s">
        <v>6</v>
      </c>
      <c r="B16" s="334">
        <v>953</v>
      </c>
    </row>
    <row r="17" spans="1:6">
      <c r="A17" s="348" t="s">
        <v>7</v>
      </c>
      <c r="B17" s="334">
        <v>532</v>
      </c>
    </row>
    <row r="18" spans="1:6">
      <c r="A18" s="348" t="s">
        <v>8</v>
      </c>
      <c r="B18" s="334">
        <v>827</v>
      </c>
    </row>
    <row r="19" spans="1:6">
      <c r="A19" s="348" t="s">
        <v>9</v>
      </c>
      <c r="B19" s="334">
        <v>941</v>
      </c>
    </row>
    <row r="20" spans="1:6">
      <c r="A20" s="348" t="s">
        <v>10</v>
      </c>
      <c r="B20" s="334">
        <v>637</v>
      </c>
    </row>
    <row r="21" spans="1:6">
      <c r="A21" s="348" t="s">
        <v>11</v>
      </c>
      <c r="B21" s="334">
        <v>230</v>
      </c>
    </row>
    <row r="22" spans="1:6">
      <c r="A22" s="348" t="s">
        <v>12</v>
      </c>
      <c r="B22" s="334">
        <v>2802</v>
      </c>
    </row>
    <row r="23" spans="1:6">
      <c r="A23" s="348" t="s">
        <v>13</v>
      </c>
      <c r="B23" s="334">
        <v>0</v>
      </c>
    </row>
    <row r="24" spans="1:6">
      <c r="A24" s="348" t="s">
        <v>14</v>
      </c>
      <c r="B24" s="334">
        <v>0</v>
      </c>
    </row>
    <row r="25" spans="1:6">
      <c r="A25" s="348" t="s">
        <v>15</v>
      </c>
      <c r="B25" s="334">
        <v>91</v>
      </c>
    </row>
    <row r="26" spans="1:6">
      <c r="A26" s="348" t="s">
        <v>16</v>
      </c>
      <c r="B26" s="334">
        <v>72</v>
      </c>
    </row>
    <row r="27" spans="1:6">
      <c r="A27" s="348" t="s">
        <v>17</v>
      </c>
      <c r="B27" s="334">
        <v>0</v>
      </c>
    </row>
    <row r="28" spans="1:6" s="356" customFormat="1">
      <c r="A28" s="355" t="s">
        <v>18</v>
      </c>
      <c r="B28" s="355">
        <v>97433</v>
      </c>
    </row>
    <row r="29" spans="1:6">
      <c r="A29" s="355" t="s">
        <v>881</v>
      </c>
      <c r="B29" s="355">
        <v>56</v>
      </c>
      <c r="C29" s="356"/>
      <c r="D29" s="356"/>
      <c r="E29" s="356"/>
      <c r="F29" s="356"/>
    </row>
    <row r="30" spans="1:6">
      <c r="A30" s="355" t="s">
        <v>882</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11991.375816</v>
      </c>
    </row>
    <row r="37" spans="1:6">
      <c r="A37" s="348" t="s">
        <v>25</v>
      </c>
      <c r="B37" s="348" t="s">
        <v>28</v>
      </c>
      <c r="C37" s="334">
        <v>0</v>
      </c>
      <c r="D37" s="334">
        <v>0</v>
      </c>
      <c r="E37" s="334">
        <v>0</v>
      </c>
      <c r="F37" s="334">
        <v>0</v>
      </c>
    </row>
    <row r="38" spans="1:6">
      <c r="A38" s="348" t="s">
        <v>25</v>
      </c>
      <c r="B38" s="348" t="s">
        <v>29</v>
      </c>
      <c r="C38" s="334">
        <v>0</v>
      </c>
      <c r="D38" s="334">
        <v>0</v>
      </c>
      <c r="E38" s="334">
        <v>3</v>
      </c>
      <c r="F38" s="334">
        <v>4190.2813403</v>
      </c>
    </row>
    <row r="39" spans="1:6">
      <c r="A39" s="348" t="s">
        <v>30</v>
      </c>
      <c r="B39" s="348" t="s">
        <v>31</v>
      </c>
      <c r="C39" s="334">
        <v>3186</v>
      </c>
      <c r="D39" s="334">
        <v>48762536.616999999</v>
      </c>
      <c r="E39" s="334">
        <v>6039</v>
      </c>
      <c r="F39" s="334">
        <v>27445254.859000001</v>
      </c>
    </row>
    <row r="40" spans="1:6">
      <c r="A40" s="348" t="s">
        <v>30</v>
      </c>
      <c r="B40" s="348" t="s">
        <v>29</v>
      </c>
      <c r="C40" s="334">
        <v>1</v>
      </c>
      <c r="D40" s="334">
        <v>35442.761588000001</v>
      </c>
      <c r="E40" s="334">
        <v>2</v>
      </c>
      <c r="F40" s="334">
        <v>11491.837968</v>
      </c>
    </row>
    <row r="41" spans="1:6">
      <c r="A41" s="348" t="s">
        <v>32</v>
      </c>
      <c r="B41" s="348" t="s">
        <v>33</v>
      </c>
      <c r="C41" s="334">
        <v>53</v>
      </c>
      <c r="D41" s="334">
        <v>1011921.9577</v>
      </c>
      <c r="E41" s="334">
        <v>138</v>
      </c>
      <c r="F41" s="334">
        <v>953822.63933000003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70814.726318999994</v>
      </c>
    </row>
    <row r="45" spans="1:6">
      <c r="A45" s="348" t="s">
        <v>32</v>
      </c>
      <c r="B45" s="348" t="s">
        <v>37</v>
      </c>
      <c r="C45" s="334">
        <v>0</v>
      </c>
      <c r="D45" s="334">
        <v>0</v>
      </c>
      <c r="E45" s="334">
        <v>3</v>
      </c>
      <c r="F45" s="334">
        <v>132131.4571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10781207.613</v>
      </c>
      <c r="E48" s="334">
        <v>34</v>
      </c>
      <c r="F48" s="334">
        <v>1455262.1436999999</v>
      </c>
    </row>
    <row r="49" spans="1:6">
      <c r="A49" s="348" t="s">
        <v>32</v>
      </c>
      <c r="B49" s="348" t="s">
        <v>40</v>
      </c>
      <c r="C49" s="334">
        <v>0</v>
      </c>
      <c r="D49" s="334">
        <v>0</v>
      </c>
      <c r="E49" s="334">
        <v>0</v>
      </c>
      <c r="F49" s="334">
        <v>0</v>
      </c>
    </row>
    <row r="50" spans="1:6">
      <c r="A50" s="348" t="s">
        <v>32</v>
      </c>
      <c r="B50" s="348" t="s">
        <v>41</v>
      </c>
      <c r="C50" s="334">
        <v>3</v>
      </c>
      <c r="D50" s="334">
        <v>137883.49562999999</v>
      </c>
      <c r="E50" s="334">
        <v>10</v>
      </c>
      <c r="F50" s="334">
        <v>277921.13032</v>
      </c>
    </row>
    <row r="51" spans="1:6">
      <c r="A51" s="348" t="s">
        <v>42</v>
      </c>
      <c r="B51" s="348" t="s">
        <v>43</v>
      </c>
      <c r="C51" s="334">
        <v>7</v>
      </c>
      <c r="D51" s="334">
        <v>138014.87985</v>
      </c>
      <c r="E51" s="334">
        <v>62</v>
      </c>
      <c r="F51" s="334">
        <v>835388.85514999996</v>
      </c>
    </row>
    <row r="52" spans="1:6">
      <c r="A52" s="348" t="s">
        <v>42</v>
      </c>
      <c r="B52" s="348" t="s">
        <v>29</v>
      </c>
      <c r="C52" s="334">
        <v>8</v>
      </c>
      <c r="D52" s="334">
        <v>773647.60218000005</v>
      </c>
      <c r="E52" s="334">
        <v>8</v>
      </c>
      <c r="F52" s="334">
        <v>47941.795385999998</v>
      </c>
    </row>
    <row r="53" spans="1:6">
      <c r="A53" s="348" t="s">
        <v>44</v>
      </c>
      <c r="B53" s="348" t="s">
        <v>45</v>
      </c>
      <c r="C53" s="334">
        <v>79</v>
      </c>
      <c r="D53" s="334">
        <v>1039158.2572</v>
      </c>
      <c r="E53" s="334">
        <v>206</v>
      </c>
      <c r="F53" s="334">
        <v>1814143.1039</v>
      </c>
    </row>
    <row r="54" spans="1:6">
      <c r="A54" s="348" t="s">
        <v>46</v>
      </c>
      <c r="B54" s="348" t="s">
        <v>47</v>
      </c>
      <c r="C54" s="334">
        <v>0</v>
      </c>
      <c r="D54" s="334">
        <v>0</v>
      </c>
      <c r="E54" s="334">
        <v>3</v>
      </c>
      <c r="F54" s="334">
        <v>1126232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741756.63795999996</v>
      </c>
      <c r="E57" s="334">
        <v>40</v>
      </c>
      <c r="F57" s="334">
        <v>1134516.2531999999</v>
      </c>
    </row>
    <row r="58" spans="1:6">
      <c r="A58" s="348" t="s">
        <v>49</v>
      </c>
      <c r="B58" s="348" t="s">
        <v>51</v>
      </c>
      <c r="C58" s="334">
        <v>12</v>
      </c>
      <c r="D58" s="334">
        <v>329149.05378000002</v>
      </c>
      <c r="E58" s="334">
        <v>24</v>
      </c>
      <c r="F58" s="334">
        <v>173242.91407</v>
      </c>
    </row>
    <row r="59" spans="1:6">
      <c r="A59" s="348" t="s">
        <v>49</v>
      </c>
      <c r="B59" s="348" t="s">
        <v>52</v>
      </c>
      <c r="C59" s="334">
        <v>40</v>
      </c>
      <c r="D59" s="334">
        <v>1371304.2623000001</v>
      </c>
      <c r="E59" s="334">
        <v>138</v>
      </c>
      <c r="F59" s="334">
        <v>3186621.6641000002</v>
      </c>
    </row>
    <row r="60" spans="1:6">
      <c r="A60" s="348" t="s">
        <v>49</v>
      </c>
      <c r="B60" s="348" t="s">
        <v>53</v>
      </c>
      <c r="C60" s="334">
        <v>55</v>
      </c>
      <c r="D60" s="334">
        <v>2599615.8922000001</v>
      </c>
      <c r="E60" s="334">
        <v>98</v>
      </c>
      <c r="F60" s="334">
        <v>2453941.9737</v>
      </c>
    </row>
    <row r="61" spans="1:6">
      <c r="A61" s="348" t="s">
        <v>49</v>
      </c>
      <c r="B61" s="348" t="s">
        <v>54</v>
      </c>
      <c r="C61" s="334">
        <v>69</v>
      </c>
      <c r="D61" s="334">
        <v>4300229.8624</v>
      </c>
      <c r="E61" s="334">
        <v>153</v>
      </c>
      <c r="F61" s="334">
        <v>1776083.4219</v>
      </c>
    </row>
    <row r="62" spans="1:6">
      <c r="A62" s="348" t="s">
        <v>49</v>
      </c>
      <c r="B62" s="348" t="s">
        <v>55</v>
      </c>
      <c r="C62" s="334">
        <v>3</v>
      </c>
      <c r="D62" s="334">
        <v>214322.22865999999</v>
      </c>
      <c r="E62" s="334">
        <v>8</v>
      </c>
      <c r="F62" s="334">
        <v>166271.27562</v>
      </c>
    </row>
    <row r="63" spans="1:6">
      <c r="A63" s="348" t="s">
        <v>49</v>
      </c>
      <c r="B63" s="348" t="s">
        <v>29</v>
      </c>
      <c r="C63" s="334">
        <v>75</v>
      </c>
      <c r="D63" s="334">
        <v>1899745.0225</v>
      </c>
      <c r="E63" s="334">
        <v>98</v>
      </c>
      <c r="F63" s="334">
        <v>1478911.7947</v>
      </c>
    </row>
    <row r="64" spans="1:6">
      <c r="A64" s="348" t="s">
        <v>56</v>
      </c>
      <c r="B64" s="348" t="s">
        <v>57</v>
      </c>
      <c r="C64" s="334">
        <v>0</v>
      </c>
      <c r="D64" s="334">
        <v>0</v>
      </c>
      <c r="E64" s="334">
        <v>0</v>
      </c>
      <c r="F64" s="334">
        <v>0</v>
      </c>
    </row>
    <row r="65" spans="1:6">
      <c r="A65" s="348" t="s">
        <v>56</v>
      </c>
      <c r="B65" s="348" t="s">
        <v>29</v>
      </c>
      <c r="C65" s="334">
        <v>3</v>
      </c>
      <c r="D65" s="334">
        <v>73632.618799999997</v>
      </c>
      <c r="E65" s="334">
        <v>4</v>
      </c>
      <c r="F65" s="334">
        <v>13275.532590000001</v>
      </c>
    </row>
    <row r="66" spans="1:6">
      <c r="A66" s="348" t="s">
        <v>56</v>
      </c>
      <c r="B66" s="348" t="s">
        <v>58</v>
      </c>
      <c r="C66" s="334">
        <v>0</v>
      </c>
      <c r="D66" s="334">
        <v>0</v>
      </c>
      <c r="E66" s="334">
        <v>3</v>
      </c>
      <c r="F66" s="334">
        <v>9136.8076084999993</v>
      </c>
    </row>
    <row r="67" spans="1:6">
      <c r="A67" s="355" t="s">
        <v>56</v>
      </c>
      <c r="B67" s="355" t="s">
        <v>59</v>
      </c>
      <c r="C67" s="334">
        <v>0</v>
      </c>
      <c r="D67" s="334">
        <v>0</v>
      </c>
      <c r="E67" s="334">
        <v>0</v>
      </c>
      <c r="F67" s="334">
        <v>0</v>
      </c>
    </row>
    <row r="68" spans="1:6">
      <c r="A68" s="341" t="s">
        <v>56</v>
      </c>
      <c r="B68" s="341" t="s">
        <v>60</v>
      </c>
      <c r="C68" s="334">
        <v>0</v>
      </c>
      <c r="D68" s="334">
        <v>0</v>
      </c>
      <c r="E68" s="334">
        <v>4</v>
      </c>
      <c r="F68" s="334">
        <v>50135.713170000003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38911968</v>
      </c>
      <c r="E73" s="475">
        <v>44141733.65875975</v>
      </c>
    </row>
    <row r="74" spans="1:6">
      <c r="A74" s="348" t="s">
        <v>64</v>
      </c>
      <c r="B74" s="348" t="s">
        <v>667</v>
      </c>
      <c r="C74" s="1294" t="s">
        <v>669</v>
      </c>
      <c r="D74" s="475">
        <v>3527284.2923688614</v>
      </c>
      <c r="E74" s="475">
        <v>3827140.0756069878</v>
      </c>
    </row>
    <row r="75" spans="1:6">
      <c r="A75" s="348" t="s">
        <v>65</v>
      </c>
      <c r="B75" s="348" t="s">
        <v>666</v>
      </c>
      <c r="C75" s="1294" t="s">
        <v>670</v>
      </c>
      <c r="D75" s="475">
        <v>21635721</v>
      </c>
      <c r="E75" s="475">
        <v>24505964.181273244</v>
      </c>
    </row>
    <row r="76" spans="1:6">
      <c r="A76" s="348" t="s">
        <v>65</v>
      </c>
      <c r="B76" s="348" t="s">
        <v>667</v>
      </c>
      <c r="C76" s="1294" t="s">
        <v>671</v>
      </c>
      <c r="D76" s="475">
        <v>1885668.2923688611</v>
      </c>
      <c r="E76" s="475">
        <v>2052546.4986134877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233125.4152622775</v>
      </c>
      <c r="C83" s="475">
        <v>233125.4152622775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19843.327069001127</v>
      </c>
    </row>
    <row r="91" spans="1:6">
      <c r="A91" s="348" t="s">
        <v>68</v>
      </c>
      <c r="B91" s="334">
        <v>2886.0973787679595</v>
      </c>
    </row>
    <row r="92" spans="1:6">
      <c r="A92" s="341" t="s">
        <v>69</v>
      </c>
      <c r="B92" s="342">
        <v>217.2393510036344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47480.779681628133</v>
      </c>
      <c r="C3" s="43" t="s">
        <v>170</v>
      </c>
      <c r="D3" s="43"/>
      <c r="E3" s="154"/>
      <c r="F3" s="43"/>
      <c r="G3" s="43"/>
      <c r="H3" s="43"/>
      <c r="I3" s="43"/>
      <c r="J3" s="43"/>
      <c r="K3" s="96"/>
    </row>
    <row r="4" spans="1:11">
      <c r="A4" s="383" t="s">
        <v>171</v>
      </c>
      <c r="B4" s="49">
        <f>IF(ISERROR('SEAP template'!B78),0,'SEAP template'!B78)</f>
        <v>22987.163798772723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0.11400590189140358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45.5625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1126.232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1126.232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0.11400590189140358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128.39709489895924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27456.746696967999</v>
      </c>
      <c r="C5" s="17">
        <f>IF(ISERROR('Eigen informatie GS &amp; warmtenet'!B57),0,'Eigen informatie GS &amp; warmtenet'!B57)</f>
        <v>0</v>
      </c>
      <c r="D5" s="30">
        <f>(SUM(HH_hh_gas_kWh,HH_rest_gas_kWh)/1000)*0.902</f>
        <v>44015.777399486375</v>
      </c>
      <c r="E5" s="17">
        <f>B46*B57</f>
        <v>8113.7794771556428</v>
      </c>
      <c r="F5" s="17">
        <f>B51*B62</f>
        <v>23981.89025699495</v>
      </c>
      <c r="G5" s="18"/>
      <c r="H5" s="17"/>
      <c r="I5" s="17"/>
      <c r="J5" s="17">
        <f>B50*B61+C50*C61</f>
        <v>2222.5388526822112</v>
      </c>
      <c r="K5" s="17"/>
      <c r="L5" s="17"/>
      <c r="M5" s="17"/>
      <c r="N5" s="17">
        <f>B48*B59+C48*C59</f>
        <v>11199.995500289464</v>
      </c>
      <c r="O5" s="17">
        <f>B69*B70*B71</f>
        <v>176.65666666666667</v>
      </c>
      <c r="P5" s="17">
        <f>B77*B78*B79/1000-B77*B78*B79/1000/B80</f>
        <v>648.26666666666665</v>
      </c>
    </row>
    <row r="6" spans="1:16">
      <c r="A6" s="16" t="s">
        <v>624</v>
      </c>
      <c r="B6" s="788">
        <f>kWh_PV_kleiner_dan_10kW</f>
        <v>2886.0973787679595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30342.844075735957</v>
      </c>
      <c r="C8" s="21">
        <f>C5</f>
        <v>0</v>
      </c>
      <c r="D8" s="21">
        <f>D5</f>
        <v>44015.777399486375</v>
      </c>
      <c r="E8" s="21">
        <f>E5</f>
        <v>8113.7794771556428</v>
      </c>
      <c r="F8" s="21">
        <f>F5</f>
        <v>23981.89025699495</v>
      </c>
      <c r="G8" s="21"/>
      <c r="H8" s="21"/>
      <c r="I8" s="21"/>
      <c r="J8" s="21">
        <f>J5</f>
        <v>2222.5388526822112</v>
      </c>
      <c r="K8" s="21"/>
      <c r="L8" s="21">
        <f>L5</f>
        <v>0</v>
      </c>
      <c r="M8" s="21">
        <f>M5</f>
        <v>0</v>
      </c>
      <c r="N8" s="21">
        <f>N5</f>
        <v>11199.995500289464</v>
      </c>
      <c r="O8" s="21">
        <f>O5</f>
        <v>176.65666666666667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0.11400590189140358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3459.26330480451</v>
      </c>
      <c r="C12" s="23">
        <f ca="1">C10*C8</f>
        <v>0</v>
      </c>
      <c r="D12" s="23">
        <f>D8*D10</f>
        <v>8891.1870346962478</v>
      </c>
      <c r="E12" s="23">
        <f>E10*E8</f>
        <v>1841.8279413143309</v>
      </c>
      <c r="F12" s="23">
        <f>F10*F8</f>
        <v>6403.164698617652</v>
      </c>
      <c r="G12" s="23"/>
      <c r="H12" s="23"/>
      <c r="I12" s="23"/>
      <c r="J12" s="23">
        <f>J10*J8</f>
        <v>786.77875384950278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6236</v>
      </c>
      <c r="C28" s="36"/>
      <c r="D28" s="228"/>
    </row>
    <row r="29" spans="1:7" s="15" customFormat="1">
      <c r="A29" s="230" t="s">
        <v>699</v>
      </c>
      <c r="B29" s="37">
        <f>SUM(HH_hh_gas_aantal,HH_rest_gas_aantal)</f>
        <v>3187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3187</v>
      </c>
      <c r="C32" s="167">
        <f>IF(ISERROR(B32/SUM($B$32,$B$34,$B$35,$B$36,$B$38,$B$39)*100),0,B32/SUM($B$32,$B$34,$B$35,$B$36,$B$38,$B$39)*100)</f>
        <v>51.386649467913578</v>
      </c>
      <c r="D32" s="233"/>
      <c r="G32" s="15"/>
    </row>
    <row r="33" spans="1:7">
      <c r="A33" s="171" t="s">
        <v>72</v>
      </c>
      <c r="B33" s="34" t="s">
        <v>111</v>
      </c>
      <c r="C33" s="167"/>
      <c r="D33" s="233"/>
      <c r="G33" s="15"/>
    </row>
    <row r="34" spans="1:7">
      <c r="A34" s="171" t="s">
        <v>73</v>
      </c>
      <c r="B34" s="33">
        <f>IF((($B$28-$B$32-$B$39-$B$77-$B$38)*C20/100)&lt;0,0,($B$28-$B$32-$B$39-$B$77-$B$38)*C20/100)</f>
        <v>358.73285568065512</v>
      </c>
      <c r="C34" s="167">
        <f>IF(ISERROR(B34/SUM($B$32,$B$34,$B$35,$B$36,$B$38,$B$39)*100),0,B34/SUM($B$32,$B$34,$B$35,$B$36,$B$38,$B$39)*100)</f>
        <v>5.7841479471243975</v>
      </c>
      <c r="D34" s="233"/>
      <c r="G34" s="15"/>
    </row>
    <row r="35" spans="1:7">
      <c r="A35" s="171" t="s">
        <v>74</v>
      </c>
      <c r="B35" s="33">
        <f>IF((($B$28-$B$32-$B$39-$B$77-$B$38)*C21/100)&lt;0,0,($B$28-$B$32-$B$39-$B$77-$B$38)*C21/100)</f>
        <v>1424.910951893552</v>
      </c>
      <c r="C35" s="167">
        <f>IF(ISERROR(B35/SUM($B$32,$B$34,$B$35,$B$36,$B$38,$B$39)*100),0,B35/SUM($B$32,$B$34,$B$35,$B$36,$B$38,$B$39)*100)</f>
        <v>22.975023410086294</v>
      </c>
      <c r="D35" s="233"/>
      <c r="G35" s="15"/>
    </row>
    <row r="36" spans="1:7">
      <c r="A36" s="171" t="s">
        <v>75</v>
      </c>
      <c r="B36" s="33">
        <f>IF((($B$28-$B$32-$B$39-$B$77-$B$38)*C22/100)&lt;0,0,($B$28-$B$32-$B$39-$B$77-$B$38)*C22/100)</f>
        <v>174.35619242579327</v>
      </c>
      <c r="C36" s="167">
        <f>IF(ISERROR(B36/SUM($B$32,$B$34,$B$35,$B$36,$B$38,$B$39)*100),0,B36/SUM($B$32,$B$34,$B$35,$B$36,$B$38,$B$39)*100)</f>
        <v>2.8112897843565507</v>
      </c>
      <c r="D36" s="233"/>
      <c r="G36" s="15"/>
    </row>
    <row r="37" spans="1:7">
      <c r="A37" s="171" t="s">
        <v>76</v>
      </c>
      <c r="B37" s="34" t="s">
        <v>111</v>
      </c>
      <c r="C37" s="167"/>
      <c r="D37" s="173"/>
      <c r="G37" s="15"/>
    </row>
    <row r="38" spans="1:7">
      <c r="A38" s="171" t="s">
        <v>77</v>
      </c>
      <c r="B38" s="33">
        <f>IF((B24-(B29-B18)*0.1)&lt;0,0,B24-(B29-B18)*0.1)</f>
        <v>71.799999999999983</v>
      </c>
      <c r="C38" s="167">
        <f>IF(ISERROR(B38/SUM($B$32,$B$34,$B$35,$B$36,$B$38,$B$39)*100),0,B38/SUM($B$32,$B$34,$B$35,$B$36,$B$38,$B$39)*100)</f>
        <v>1.1576910673976135</v>
      </c>
      <c r="D38" s="234"/>
      <c r="G38" s="15"/>
    </row>
    <row r="39" spans="1:7">
      <c r="A39" s="171" t="s">
        <v>78</v>
      </c>
      <c r="B39" s="33">
        <f>IF((B25-(B29-B18))&lt;0,0,B25-(B29-B18)*0.9)</f>
        <v>985.2</v>
      </c>
      <c r="C39" s="167">
        <f>IF(ISERROR(B39/SUM($B$32,$B$34,$B$35,$B$36,$B$38,$B$39)*100),0,B39/SUM($B$32,$B$34,$B$35,$B$36,$B$38,$B$39)*100)</f>
        <v>15.885198323121575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3187</v>
      </c>
      <c r="C44" s="34" t="s">
        <v>111</v>
      </c>
      <c r="D44" s="174"/>
    </row>
    <row r="45" spans="1:7">
      <c r="A45" s="171" t="s">
        <v>72</v>
      </c>
      <c r="B45" s="33" t="str">
        <f t="shared" si="0"/>
        <v>-</v>
      </c>
      <c r="C45" s="34" t="s">
        <v>111</v>
      </c>
      <c r="D45" s="174"/>
    </row>
    <row r="46" spans="1:7">
      <c r="A46" s="171" t="s">
        <v>73</v>
      </c>
      <c r="B46" s="33">
        <f t="shared" si="0"/>
        <v>358.73285568065512</v>
      </c>
      <c r="C46" s="34" t="s">
        <v>111</v>
      </c>
      <c r="D46" s="174"/>
    </row>
    <row r="47" spans="1:7">
      <c r="A47" s="171" t="s">
        <v>74</v>
      </c>
      <c r="B47" s="33">
        <f t="shared" si="0"/>
        <v>1424.910951893552</v>
      </c>
      <c r="C47" s="34" t="s">
        <v>111</v>
      </c>
      <c r="D47" s="174"/>
    </row>
    <row r="48" spans="1:7">
      <c r="A48" s="171" t="s">
        <v>75</v>
      </c>
      <c r="B48" s="33">
        <f t="shared" si="0"/>
        <v>174.35619242579327</v>
      </c>
      <c r="C48" s="33">
        <f>B48*10</f>
        <v>1743.5619242579328</v>
      </c>
      <c r="D48" s="234"/>
    </row>
    <row r="49" spans="1:6">
      <c r="A49" s="171" t="s">
        <v>76</v>
      </c>
      <c r="B49" s="33" t="str">
        <f t="shared" si="0"/>
        <v>-</v>
      </c>
      <c r="C49" s="34" t="s">
        <v>111</v>
      </c>
      <c r="D49" s="234"/>
    </row>
    <row r="50" spans="1:6">
      <c r="A50" s="171" t="s">
        <v>77</v>
      </c>
      <c r="B50" s="33">
        <f t="shared" si="0"/>
        <v>71.799999999999983</v>
      </c>
      <c r="C50" s="33">
        <f>B50*2</f>
        <v>143.59999999999997</v>
      </c>
      <c r="D50" s="234"/>
    </row>
    <row r="51" spans="1:6">
      <c r="A51" s="171" t="s">
        <v>78</v>
      </c>
      <c r="B51" s="33">
        <f t="shared" si="0"/>
        <v>985.2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10369.589297289998</v>
      </c>
      <c r="C5" s="17">
        <f>IF(ISERROR('Eigen informatie GS &amp; warmtenet'!B58),0,'Eigen informatie GS &amp; warmtenet'!B58)</f>
        <v>0</v>
      </c>
      <c r="D5" s="30">
        <f>SUM(D6:D12)</f>
        <v>10333.422909739598</v>
      </c>
      <c r="E5" s="17">
        <f>SUM(E6:E12)</f>
        <v>233.09584218042278</v>
      </c>
      <c r="F5" s="17">
        <f>SUM(F6:F12)</f>
        <v>2877.3640236633632</v>
      </c>
      <c r="G5" s="18"/>
      <c r="H5" s="17"/>
      <c r="I5" s="17"/>
      <c r="J5" s="17">
        <f>SUM(J6:J12)</f>
        <v>0</v>
      </c>
      <c r="K5" s="17"/>
      <c r="L5" s="17"/>
      <c r="M5" s="17"/>
      <c r="N5" s="17">
        <f>SUM(N6:N12)</f>
        <v>1033.0764797343963</v>
      </c>
      <c r="O5" s="17">
        <f>B38*B39*B40</f>
        <v>4.6900000000000004</v>
      </c>
      <c r="P5" s="17">
        <f>B46*B47*B48/1000-B46*B47*B48/1000/B49</f>
        <v>38.133333333333333</v>
      </c>
      <c r="R5" s="32"/>
    </row>
    <row r="6" spans="1:18">
      <c r="A6" s="32" t="s">
        <v>54</v>
      </c>
      <c r="B6" s="37">
        <f>B26</f>
        <v>1776.0834218999998</v>
      </c>
      <c r="C6" s="33"/>
      <c r="D6" s="37">
        <f>IF(ISERROR(TER_kantoor_gas_kWh/1000),0,TER_kantoor_gas_kWh/1000)*0.902</f>
        <v>3878.8073358847996</v>
      </c>
      <c r="E6" s="33">
        <f>$C$26*'E Balans VL '!I12/100/3.6*1000000</f>
        <v>23.251119810204433</v>
      </c>
      <c r="F6" s="33">
        <f>$C$26*('E Balans VL '!L12+'E Balans VL '!N12)/100/3.6*1000000</f>
        <v>452.88291922400606</v>
      </c>
      <c r="G6" s="34"/>
      <c r="H6" s="33"/>
      <c r="I6" s="33"/>
      <c r="J6" s="33">
        <f>$C$26*('E Balans VL '!D12+'E Balans VL '!E12)/100/3.6*1000000</f>
        <v>0</v>
      </c>
      <c r="K6" s="33"/>
      <c r="L6" s="33"/>
      <c r="M6" s="33"/>
      <c r="N6" s="33">
        <f>$C$26*'E Balans VL '!Y12/100/3.6*1000000</f>
        <v>1.7820642876912305</v>
      </c>
      <c r="O6" s="33"/>
      <c r="P6" s="33"/>
      <c r="R6" s="32"/>
    </row>
    <row r="7" spans="1:18">
      <c r="A7" s="32" t="s">
        <v>53</v>
      </c>
      <c r="B7" s="37">
        <f t="shared" ref="B7:B12" si="0">B27</f>
        <v>2453.9419736999998</v>
      </c>
      <c r="C7" s="33"/>
      <c r="D7" s="37">
        <f>IF(ISERROR(TER_horeca_gas_kWh/1000),0,TER_horeca_gas_kWh/1000)*0.902</f>
        <v>2344.8535347644001</v>
      </c>
      <c r="E7" s="33">
        <f>$C$27*'E Balans VL '!I9/100/3.6*1000000</f>
        <v>81.210552501178483</v>
      </c>
      <c r="F7" s="33">
        <f>$C$27*('E Balans VL '!L9+'E Balans VL '!N9)/100/3.6*1000000</f>
        <v>1055.1856440461886</v>
      </c>
      <c r="G7" s="34"/>
      <c r="H7" s="33"/>
      <c r="I7" s="33"/>
      <c r="J7" s="33">
        <f>$C$27*('E Balans VL '!D9+'E Balans VL '!E9)/100/3.6*1000000</f>
        <v>0</v>
      </c>
      <c r="K7" s="33"/>
      <c r="L7" s="33"/>
      <c r="M7" s="33"/>
      <c r="N7" s="33">
        <f>$C$27*'E Balans VL '!Y9/100/3.6*1000000</f>
        <v>0.59069946821768071</v>
      </c>
      <c r="O7" s="33"/>
      <c r="P7" s="33"/>
      <c r="R7" s="32"/>
    </row>
    <row r="8" spans="1:18">
      <c r="A8" s="6" t="s">
        <v>52</v>
      </c>
      <c r="B8" s="37">
        <f t="shared" si="0"/>
        <v>3186.6216641000001</v>
      </c>
      <c r="C8" s="33"/>
      <c r="D8" s="37">
        <f>IF(ISERROR(TER_handel_gas_kWh/1000),0,TER_handel_gas_kWh/1000)*0.902</f>
        <v>1236.9164445946001</v>
      </c>
      <c r="E8" s="33">
        <f>$C$28*'E Balans VL '!I13/100/3.6*1000000</f>
        <v>100.57464873196487</v>
      </c>
      <c r="F8" s="33">
        <f>$C$28*('E Balans VL '!L13+'E Balans VL '!N13)/100/3.6*1000000</f>
        <v>624.95262125371562</v>
      </c>
      <c r="G8" s="34"/>
      <c r="H8" s="33"/>
      <c r="I8" s="33"/>
      <c r="J8" s="33">
        <f>$C$28*('E Balans VL '!D13+'E Balans VL '!E13)/100/3.6*1000000</f>
        <v>0</v>
      </c>
      <c r="K8" s="33"/>
      <c r="L8" s="33"/>
      <c r="M8" s="33"/>
      <c r="N8" s="33">
        <f>$C$28*'E Balans VL '!Y13/100/3.6*1000000</f>
        <v>3.7819012402857575</v>
      </c>
      <c r="O8" s="33"/>
      <c r="P8" s="33"/>
      <c r="R8" s="32"/>
    </row>
    <row r="9" spans="1:18">
      <c r="A9" s="32" t="s">
        <v>51</v>
      </c>
      <c r="B9" s="37">
        <f t="shared" si="0"/>
        <v>173.24291407000001</v>
      </c>
      <c r="C9" s="33"/>
      <c r="D9" s="37">
        <f>IF(ISERROR(TER_gezond_gas_kWh/1000),0,TER_gezond_gas_kWh/1000)*0.902</f>
        <v>296.89244650956005</v>
      </c>
      <c r="E9" s="33">
        <f>$C$29*'E Balans VL '!I10/100/3.6*1000000</f>
        <v>2.2180161109959278E-2</v>
      </c>
      <c r="F9" s="33">
        <f>$C$29*('E Balans VL '!L10+'E Balans VL '!N10)/100/3.6*1000000</f>
        <v>36.093760276757564</v>
      </c>
      <c r="G9" s="34"/>
      <c r="H9" s="33"/>
      <c r="I9" s="33"/>
      <c r="J9" s="33">
        <f>$C$29*('E Balans VL '!D10+'E Balans VL '!E10)/100/3.6*1000000</f>
        <v>0</v>
      </c>
      <c r="K9" s="33"/>
      <c r="L9" s="33"/>
      <c r="M9" s="33"/>
      <c r="N9" s="33">
        <f>$C$29*'E Balans VL '!Y10/100/3.6*1000000</f>
        <v>2.0348199111184662</v>
      </c>
      <c r="O9" s="33"/>
      <c r="P9" s="33"/>
      <c r="R9" s="32"/>
    </row>
    <row r="10" spans="1:18">
      <c r="A10" s="32" t="s">
        <v>50</v>
      </c>
      <c r="B10" s="37">
        <f t="shared" si="0"/>
        <v>1134.5162531999999</v>
      </c>
      <c r="C10" s="33"/>
      <c r="D10" s="37">
        <f>IF(ISERROR(TER_ander_gas_kWh/1000),0,TER_ander_gas_kWh/1000)*0.902</f>
        <v>669.06448743991996</v>
      </c>
      <c r="E10" s="33">
        <f>$C$30*'E Balans VL '!I14/100/3.6*1000000</f>
        <v>1.7060456456311111</v>
      </c>
      <c r="F10" s="33">
        <f>$C$30*('E Balans VL '!L14+'E Balans VL '!N14)/100/3.6*1000000</f>
        <v>250.46461803236227</v>
      </c>
      <c r="G10" s="34"/>
      <c r="H10" s="33"/>
      <c r="I10" s="33"/>
      <c r="J10" s="33">
        <f>$C$30*('E Balans VL '!D14+'E Balans VL '!E14)/100/3.6*1000000</f>
        <v>0</v>
      </c>
      <c r="K10" s="33"/>
      <c r="L10" s="33"/>
      <c r="M10" s="33"/>
      <c r="N10" s="33">
        <f>$C$30*'E Balans VL '!Y14/100/3.6*1000000</f>
        <v>894.0751575867564</v>
      </c>
      <c r="O10" s="33"/>
      <c r="P10" s="33"/>
      <c r="R10" s="32"/>
    </row>
    <row r="11" spans="1:18">
      <c r="A11" s="32" t="s">
        <v>55</v>
      </c>
      <c r="B11" s="37">
        <f t="shared" si="0"/>
        <v>166.27127562000001</v>
      </c>
      <c r="C11" s="33"/>
      <c r="D11" s="37">
        <f>IF(ISERROR(TER_onderwijs_gas_kWh/1000),0,TER_onderwijs_gas_kWh/1000)*0.902</f>
        <v>193.31865025132001</v>
      </c>
      <c r="E11" s="33">
        <f>$C$31*'E Balans VL '!I11/100/3.6*1000000</f>
        <v>0.29281764985155395</v>
      </c>
      <c r="F11" s="33">
        <f>$C$31*('E Balans VL '!L11+'E Balans VL '!N11)/100/3.6*1000000</f>
        <v>76.770456627510228</v>
      </c>
      <c r="G11" s="34"/>
      <c r="H11" s="33"/>
      <c r="I11" s="33"/>
      <c r="J11" s="33">
        <f>$C$31*('E Balans VL '!D11+'E Balans VL '!E11)/100/3.6*1000000</f>
        <v>0</v>
      </c>
      <c r="K11" s="33"/>
      <c r="L11" s="33"/>
      <c r="M11" s="33"/>
      <c r="N11" s="33">
        <f>$C$31*'E Balans VL '!Y11/100/3.6*1000000</f>
        <v>0.30976568580873659</v>
      </c>
      <c r="O11" s="33"/>
      <c r="P11" s="33"/>
      <c r="R11" s="32"/>
    </row>
    <row r="12" spans="1:18">
      <c r="A12" s="32" t="s">
        <v>260</v>
      </c>
      <c r="B12" s="37">
        <f t="shared" si="0"/>
        <v>1478.9117947</v>
      </c>
      <c r="C12" s="33"/>
      <c r="D12" s="37">
        <f>IF(ISERROR(TER_rest_gas_kWh/1000),0,TER_rest_gas_kWh/1000)*0.902</f>
        <v>1713.570010295</v>
      </c>
      <c r="E12" s="33">
        <f>$C$32*'E Balans VL '!I8/100/3.6*1000000</f>
        <v>26.038477680482366</v>
      </c>
      <c r="F12" s="33">
        <f>$C$32*('E Balans VL '!L8+'E Balans VL '!N8)/100/3.6*1000000</f>
        <v>381.014004202823</v>
      </c>
      <c r="G12" s="34"/>
      <c r="H12" s="33"/>
      <c r="I12" s="33"/>
      <c r="J12" s="33">
        <f>$C$32*('E Balans VL '!D8+'E Balans VL '!E8)/100/3.6*1000000</f>
        <v>0</v>
      </c>
      <c r="K12" s="33"/>
      <c r="L12" s="33"/>
      <c r="M12" s="33"/>
      <c r="N12" s="33">
        <f>$C$32*'E Balans VL '!Y8/100/3.6*1000000</f>
        <v>130.50207155451793</v>
      </c>
      <c r="O12" s="33"/>
      <c r="P12" s="33"/>
      <c r="R12" s="32"/>
    </row>
    <row r="13" spans="1:18">
      <c r="A13" s="16" t="s">
        <v>491</v>
      </c>
      <c r="B13" s="247">
        <f ca="1">'lokale energieproductie'!N91+'lokale energieproductie'!N60</f>
        <v>40.5</v>
      </c>
      <c r="C13" s="247">
        <f ca="1">'lokale energieproductie'!O91+'lokale energieproductie'!O60</f>
        <v>45.5625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10410.089297289998</v>
      </c>
      <c r="C16" s="21">
        <f t="shared" ca="1" si="1"/>
        <v>45.5625</v>
      </c>
      <c r="D16" s="21">
        <f t="shared" ca="1" si="1"/>
        <v>10333.422909739598</v>
      </c>
      <c r="E16" s="21">
        <f t="shared" si="1"/>
        <v>233.09584218042278</v>
      </c>
      <c r="F16" s="21">
        <f t="shared" ca="1" si="1"/>
        <v>2877.3640236633632</v>
      </c>
      <c r="G16" s="21">
        <f t="shared" si="1"/>
        <v>0</v>
      </c>
      <c r="H16" s="21">
        <f t="shared" si="1"/>
        <v>0</v>
      </c>
      <c r="I16" s="21">
        <f t="shared" si="1"/>
        <v>0</v>
      </c>
      <c r="J16" s="21">
        <f t="shared" si="1"/>
        <v>0</v>
      </c>
      <c r="K16" s="21">
        <f t="shared" si="1"/>
        <v>0</v>
      </c>
      <c r="L16" s="21">
        <f t="shared" ca="1" si="1"/>
        <v>0</v>
      </c>
      <c r="M16" s="21">
        <f t="shared" si="1"/>
        <v>0</v>
      </c>
      <c r="N16" s="21">
        <f t="shared" ca="1" si="1"/>
        <v>1033.0764797343963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0.11400590189140358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1186.811619107594</v>
      </c>
      <c r="C20" s="23">
        <f t="shared" ref="C20:P20" ca="1" si="2">C16*C18</f>
        <v>0</v>
      </c>
      <c r="D20" s="23">
        <f t="shared" ca="1" si="2"/>
        <v>2087.3514277673989</v>
      </c>
      <c r="E20" s="23">
        <f t="shared" si="2"/>
        <v>52.912756174955973</v>
      </c>
      <c r="F20" s="23">
        <f t="shared" ca="1" si="2"/>
        <v>768.25619431811799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1776.0834218999998</v>
      </c>
      <c r="C26" s="39">
        <f>IF(ISERROR(B26*3.6/1000000/'E Balans VL '!Z12*100),0,B26*3.6/1000000/'E Balans VL '!Z12*100)</f>
        <v>3.8045086682580276E-2</v>
      </c>
      <c r="D26" s="237" t="s">
        <v>660</v>
      </c>
      <c r="F26" s="6"/>
    </row>
    <row r="27" spans="1:18">
      <c r="A27" s="231" t="s">
        <v>53</v>
      </c>
      <c r="B27" s="33">
        <f>IF(ISERROR(TER_horeca_ele_kWh/1000),0,TER_horeca_ele_kWh/1000)</f>
        <v>2453.9419736999998</v>
      </c>
      <c r="C27" s="39">
        <f>IF(ISERROR(B27*3.6/1000000/'E Balans VL '!Z9*100),0,B27*3.6/1000000/'E Balans VL '!Z9*100)</f>
        <v>0.19692031357418965</v>
      </c>
      <c r="D27" s="237" t="s">
        <v>660</v>
      </c>
      <c r="F27" s="6"/>
    </row>
    <row r="28" spans="1:18">
      <c r="A28" s="171" t="s">
        <v>52</v>
      </c>
      <c r="B28" s="33">
        <f>IF(ISERROR(TER_handel_ele_kWh/1000),0,TER_handel_ele_kWh/1000)</f>
        <v>3186.6216641000001</v>
      </c>
      <c r="C28" s="39">
        <f>IF(ISERROR(B28*3.6/1000000/'E Balans VL '!Z13*100),0,B28*3.6/1000000/'E Balans VL '!Z13*100)</f>
        <v>9.3987061358124263E-2</v>
      </c>
      <c r="D28" s="237" t="s">
        <v>660</v>
      </c>
      <c r="F28" s="6"/>
    </row>
    <row r="29" spans="1:18">
      <c r="A29" s="231" t="s">
        <v>51</v>
      </c>
      <c r="B29" s="33">
        <f>IF(ISERROR(TER_gezond_ele_kWh/1000),0,TER_gezond_ele_kWh/1000)</f>
        <v>173.24291407000001</v>
      </c>
      <c r="C29" s="39">
        <f>IF(ISERROR(B29*3.6/1000000/'E Balans VL '!Z10*100),0,B29*3.6/1000000/'E Balans VL '!Z10*100)</f>
        <v>1.849769840597059E-2</v>
      </c>
      <c r="D29" s="237" t="s">
        <v>660</v>
      </c>
      <c r="F29" s="6"/>
    </row>
    <row r="30" spans="1:18">
      <c r="A30" s="231" t="s">
        <v>50</v>
      </c>
      <c r="B30" s="33">
        <f>IF(ISERROR(TER_ander_ele_kWh/1000),0,TER_ander_ele_kWh/1000)</f>
        <v>1134.5162531999999</v>
      </c>
      <c r="C30" s="39">
        <f>IF(ISERROR(B30*3.6/1000000/'E Balans VL '!Z14*100),0,B30*3.6/1000000/'E Balans VL '!Z14*100)</f>
        <v>8.5694467669819793E-2</v>
      </c>
      <c r="D30" s="237" t="s">
        <v>660</v>
      </c>
      <c r="F30" s="6"/>
    </row>
    <row r="31" spans="1:18">
      <c r="A31" s="231" t="s">
        <v>55</v>
      </c>
      <c r="B31" s="33">
        <f>IF(ISERROR(TER_onderwijs_ele_kWh/1000),0,TER_onderwijs_ele_kWh/1000)</f>
        <v>166.27127562000001</v>
      </c>
      <c r="C31" s="39">
        <f>IF(ISERROR(B31*3.6/1000000/'E Balans VL '!Z11*100),0,B31*3.6/1000000/'E Balans VL '!Z11*100)</f>
        <v>3.3575721111662647E-2</v>
      </c>
      <c r="D31" s="237" t="s">
        <v>660</v>
      </c>
    </row>
    <row r="32" spans="1:18">
      <c r="A32" s="231" t="s">
        <v>260</v>
      </c>
      <c r="B32" s="33">
        <f>IF(ISERROR(TER_rest_ele_kWh/1000),0,TER_rest_ele_kWh/1000)</f>
        <v>1478.9117947</v>
      </c>
      <c r="C32" s="39">
        <f>IF(ISERROR(B32*3.6/1000000/'E Balans VL '!Z8*100),0,B32*3.6/1000000/'E Balans VL '!Z8*100)</f>
        <v>1.2262238147880579E-2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2889.9520967689996</v>
      </c>
      <c r="C5" s="17">
        <f>IF(ISERROR('Eigen informatie GS &amp; warmtenet'!B59),0,'Eigen informatie GS &amp; warmtenet'!B59)</f>
        <v>0</v>
      </c>
      <c r="D5" s="30">
        <f>SUM(D6:D15)</f>
        <v>10761.77378582966</v>
      </c>
      <c r="E5" s="17">
        <f>SUM(E6:E15)</f>
        <v>334.79596605323002</v>
      </c>
      <c r="F5" s="17">
        <f>SUM(F6:F15)</f>
        <v>1253.7197075051922</v>
      </c>
      <c r="G5" s="18"/>
      <c r="H5" s="17"/>
      <c r="I5" s="17"/>
      <c r="J5" s="17">
        <f>SUM(J6:J15)</f>
        <v>11.951923834147333</v>
      </c>
      <c r="K5" s="17"/>
      <c r="L5" s="17"/>
      <c r="M5" s="17"/>
      <c r="N5" s="17">
        <f>SUM(N6:N15)</f>
        <v>699.11292745355843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70.814726318999988</v>
      </c>
      <c r="C8" s="33"/>
      <c r="D8" s="37">
        <f>IF( ISERROR(IND_metaal_Gas_kWH/1000),0,IND_metaal_Gas_kWH/1000)*0.902</f>
        <v>0</v>
      </c>
      <c r="E8" s="33">
        <f>C30*'E Balans VL '!I18/100/3.6*1000000</f>
        <v>2.5481280820268957</v>
      </c>
      <c r="F8" s="33">
        <f>C30*'E Balans VL '!L18/100/3.6*1000000+C30*'E Balans VL '!N18/100/3.6*1000000</f>
        <v>30.922495417059729</v>
      </c>
      <c r="G8" s="34"/>
      <c r="H8" s="33"/>
      <c r="I8" s="33"/>
      <c r="J8" s="40">
        <f>C30*'E Balans VL '!D18/100/3.6*1000000+C30*'E Balans VL '!E18/100/3.6*1000000</f>
        <v>0</v>
      </c>
      <c r="K8" s="33"/>
      <c r="L8" s="33"/>
      <c r="M8" s="33"/>
      <c r="N8" s="33">
        <f>C30*'E Balans VL '!Y18/100/3.6*1000000</f>
        <v>3.5491859594025765</v>
      </c>
      <c r="O8" s="33"/>
      <c r="P8" s="33"/>
      <c r="R8" s="32"/>
    </row>
    <row r="9" spans="1:18">
      <c r="A9" s="6" t="s">
        <v>33</v>
      </c>
      <c r="B9" s="37">
        <f t="shared" si="0"/>
        <v>953.82263933000002</v>
      </c>
      <c r="C9" s="33"/>
      <c r="D9" s="37">
        <f>IF( ISERROR(IND_andere_gas_kWh/1000),0,IND_andere_gas_kWh/1000)*0.902</f>
        <v>912.75360584539999</v>
      </c>
      <c r="E9" s="33">
        <f>C31*'E Balans VL '!I19/100/3.6*1000000</f>
        <v>243.39395671534425</v>
      </c>
      <c r="F9" s="33">
        <f>C31*'E Balans VL '!L19/100/3.6*1000000+C31*'E Balans VL '!N19/100/3.6*1000000</f>
        <v>821.16960036640887</v>
      </c>
      <c r="G9" s="34"/>
      <c r="H9" s="33"/>
      <c r="I9" s="33"/>
      <c r="J9" s="40">
        <f>C31*'E Balans VL '!D19/100/3.6*1000000+C31*'E Balans VL '!E19/100/3.6*1000000</f>
        <v>0</v>
      </c>
      <c r="K9" s="33"/>
      <c r="L9" s="33"/>
      <c r="M9" s="33"/>
      <c r="N9" s="33">
        <f>C31*'E Balans VL '!Y19/100/3.6*1000000</f>
        <v>298.29300433239393</v>
      </c>
      <c r="O9" s="33"/>
      <c r="P9" s="33"/>
      <c r="R9" s="32"/>
    </row>
    <row r="10" spans="1:18">
      <c r="A10" s="6" t="s">
        <v>41</v>
      </c>
      <c r="B10" s="37">
        <f t="shared" si="0"/>
        <v>277.92113031999997</v>
      </c>
      <c r="C10" s="33"/>
      <c r="D10" s="37">
        <f>IF( ISERROR(IND_voed_gas_kWh/1000),0,IND_voed_gas_kWh/1000)*0.902</f>
        <v>124.37091305826</v>
      </c>
      <c r="E10" s="33">
        <f>C32*'E Balans VL '!I20/100/3.6*1000000</f>
        <v>7.0651367497191933</v>
      </c>
      <c r="F10" s="33">
        <f>C32*'E Balans VL '!L20/100/3.6*1000000+C32*'E Balans VL '!N20/100/3.6*1000000</f>
        <v>62.889379835460176</v>
      </c>
      <c r="G10" s="34"/>
      <c r="H10" s="33"/>
      <c r="I10" s="33"/>
      <c r="J10" s="40">
        <f>C32*'E Balans VL '!D20/100/3.6*1000000+C32*'E Balans VL '!E20/100/3.6*1000000</f>
        <v>0</v>
      </c>
      <c r="K10" s="33"/>
      <c r="L10" s="33"/>
      <c r="M10" s="33"/>
      <c r="N10" s="33">
        <f>C32*'E Balans VL '!Y20/100/3.6*1000000</f>
        <v>104.22795721855144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132.13145710000001</v>
      </c>
      <c r="C12" s="33"/>
      <c r="D12" s="37">
        <f>IF( ISERROR(IND_min_gas_kWh/1000),0,IND_min_gas_kWh/1000)*0.902</f>
        <v>0</v>
      </c>
      <c r="E12" s="33">
        <f>C34*'E Balans VL '!I22/100/3.6*1000000</f>
        <v>2.80746231258192</v>
      </c>
      <c r="F12" s="33">
        <f>C34*'E Balans VL '!L22/100/3.6*1000000+C34*'E Balans VL '!N22/100/3.6*1000000</f>
        <v>21.55837326317263</v>
      </c>
      <c r="G12" s="34"/>
      <c r="H12" s="33"/>
      <c r="I12" s="33"/>
      <c r="J12" s="40">
        <f>C34*'E Balans VL '!D22/100/3.6*1000000+C34*'E Balans VL '!E22/100/3.6*1000000</f>
        <v>0.15394547809672138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1455.2621436999998</v>
      </c>
      <c r="C15" s="33"/>
      <c r="D15" s="37">
        <f>IF( ISERROR(IND_rest_gas_kWh/1000),0,IND_rest_gas_kWh/1000)*0.902</f>
        <v>9724.6492669260006</v>
      </c>
      <c r="E15" s="33">
        <f>C37*'E Balans VL '!I15/100/3.6*1000000</f>
        <v>78.98128219355776</v>
      </c>
      <c r="F15" s="33">
        <f>C37*'E Balans VL '!L15/100/3.6*1000000+C37*'E Balans VL '!N15/100/3.6*1000000</f>
        <v>317.17985862309075</v>
      </c>
      <c r="G15" s="34"/>
      <c r="H15" s="33"/>
      <c r="I15" s="33"/>
      <c r="J15" s="40">
        <f>C37*'E Balans VL '!D15/100/3.6*1000000+C37*'E Balans VL '!E15/100/3.6*1000000</f>
        <v>11.797978356050612</v>
      </c>
      <c r="K15" s="33"/>
      <c r="L15" s="33"/>
      <c r="M15" s="33"/>
      <c r="N15" s="33">
        <f>C37*'E Balans VL '!Y15/100/3.6*1000000</f>
        <v>293.04277994321046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2889.9520967689996</v>
      </c>
      <c r="C18" s="21">
        <f>C5+C16</f>
        <v>0</v>
      </c>
      <c r="D18" s="21">
        <f>MAX((D5+D16),0)</f>
        <v>10761.77378582966</v>
      </c>
      <c r="E18" s="21">
        <f>MAX((E5+E16),0)</f>
        <v>334.79596605323002</v>
      </c>
      <c r="F18" s="21">
        <f>MAX((F5+F16),0)</f>
        <v>1253.7197075051922</v>
      </c>
      <c r="G18" s="21"/>
      <c r="H18" s="21"/>
      <c r="I18" s="21"/>
      <c r="J18" s="21">
        <f>MAX((J5+J16),0)</f>
        <v>11.951923834147333</v>
      </c>
      <c r="K18" s="21"/>
      <c r="L18" s="21">
        <f>MAX((L5+L16),0)</f>
        <v>0</v>
      </c>
      <c r="M18" s="21"/>
      <c r="N18" s="21">
        <f>MAX((N5+N16),0)</f>
        <v>699.11292745355843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0.11400590189140358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329.47159521510264</v>
      </c>
      <c r="C22" s="23">
        <f ca="1">C18*C20</f>
        <v>0</v>
      </c>
      <c r="D22" s="23">
        <f>D18*D20</f>
        <v>2173.8783047375914</v>
      </c>
      <c r="E22" s="23">
        <f>E18*E20</f>
        <v>75.998684294083219</v>
      </c>
      <c r="F22" s="23">
        <f>F18*F20</f>
        <v>334.74316190388635</v>
      </c>
      <c r="G22" s="23"/>
      <c r="H22" s="23"/>
      <c r="I22" s="23"/>
      <c r="J22" s="23">
        <f>J18*J20</f>
        <v>4.2309810372881556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70.814726318999988</v>
      </c>
      <c r="C30" s="39">
        <f>IF(ISERROR(B30*3.6/1000000/'E Balans VL '!Z18*100),0,B30*3.6/1000000/'E Balans VL '!Z18*100)</f>
        <v>1.5004122279277533E-2</v>
      </c>
      <c r="D30" s="237" t="s">
        <v>660</v>
      </c>
    </row>
    <row r="31" spans="1:18">
      <c r="A31" s="6" t="s">
        <v>33</v>
      </c>
      <c r="B31" s="37">
        <f>IF( ISERROR(IND_ander_ele_kWh/1000),0,IND_ander_ele_kWh/1000)</f>
        <v>953.82263933000002</v>
      </c>
      <c r="C31" s="39">
        <f>IF(ISERROR(B31*3.6/1000000/'E Balans VL '!Z19*100),0,B31*3.6/1000000/'E Balans VL '!Z19*100)</f>
        <v>4.0148560701212949E-2</v>
      </c>
      <c r="D31" s="237" t="s">
        <v>660</v>
      </c>
    </row>
    <row r="32" spans="1:18">
      <c r="A32" s="171" t="s">
        <v>41</v>
      </c>
      <c r="B32" s="37">
        <f>IF( ISERROR(IND_voed_ele_kWh/1000),0,IND_voed_ele_kWh/1000)</f>
        <v>277.92113031999997</v>
      </c>
      <c r="C32" s="39">
        <f>IF(ISERROR(B32*3.6/1000000/'E Balans VL '!Z20*100),0,B32*3.6/1000000/'E Balans VL '!Z20*100)</f>
        <v>4.642986928127997E-2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132.13145710000001</v>
      </c>
      <c r="C34" s="39">
        <f>IF(ISERROR(B34*3.6/1000000/'E Balans VL '!Z22*100),0,B34*3.6/1000000/'E Balans VL '!Z22*100)</f>
        <v>1.6748374770268557E-2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1455.2621436999998</v>
      </c>
      <c r="C37" s="39">
        <f>IF(ISERROR(B37*3.6/1000000/'E Balans VL '!Z15*100),0,B37*3.6/1000000/'E Balans VL '!Z15*100)</f>
        <v>1.1748894789419607E-2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883.33065053599989</v>
      </c>
      <c r="C5" s="17">
        <f>'Eigen informatie GS &amp; warmtenet'!B60</f>
        <v>0</v>
      </c>
      <c r="D5" s="30">
        <f>IF(ISERROR(SUM(LB_lb_gas_kWh,LB_rest_gas_kWh)/1000),0,SUM(LB_lb_gas_kWh,LB_rest_gas_kWh)/1000)*0.902</f>
        <v>822.3195587910601</v>
      </c>
      <c r="E5" s="17">
        <f>B17*'E Balans VL '!I25/3.6*1000000/100</f>
        <v>22.777705879744111</v>
      </c>
      <c r="F5" s="17">
        <f>B17*('E Balans VL '!L25/3.6*1000000+'E Balans VL '!N25/3.6*1000000)/100</f>
        <v>3228.7417498597233</v>
      </c>
      <c r="G5" s="18"/>
      <c r="H5" s="17"/>
      <c r="I5" s="17"/>
      <c r="J5" s="17">
        <f>('E Balans VL '!D25+'E Balans VL '!E25)/3.6*1000000*landbouw!B17/100</f>
        <v>127.16711889545969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883.33065053599989</v>
      </c>
      <c r="C8" s="21">
        <f>C5+C6</f>
        <v>0</v>
      </c>
      <c r="D8" s="21">
        <f>MAX((D5+D6),0)</f>
        <v>822.3195587910601</v>
      </c>
      <c r="E8" s="21">
        <f>MAX((E5+E6),0)</f>
        <v>22.777705879744111</v>
      </c>
      <c r="F8" s="21">
        <f>MAX((F5+F6),0)</f>
        <v>3228.7417498597233</v>
      </c>
      <c r="G8" s="21"/>
      <c r="H8" s="21"/>
      <c r="I8" s="21"/>
      <c r="J8" s="21">
        <f>MAX((J5+J6),0)</f>
        <v>127.16711889545969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0.11400590189140358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100.7049074826769</v>
      </c>
      <c r="C12" s="23">
        <f ca="1">C8*C10</f>
        <v>0</v>
      </c>
      <c r="D12" s="23">
        <f>D8*D10</f>
        <v>166.10855087579415</v>
      </c>
      <c r="E12" s="23">
        <f>E8*E10</f>
        <v>5.1705392347019137</v>
      </c>
      <c r="F12" s="23">
        <f>F8*F10</f>
        <v>862.07404721254613</v>
      </c>
      <c r="G12" s="23"/>
      <c r="H12" s="23"/>
      <c r="I12" s="23"/>
      <c r="J12" s="23">
        <f>J8*J10</f>
        <v>45.017160088992732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0.12455547277660778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300.55023746577439</v>
      </c>
      <c r="C26" s="247">
        <f>B26*'GWP N2O_CH4'!B5</f>
        <v>6311.5549867812624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62.431924794209507</v>
      </c>
      <c r="C27" s="247">
        <f>B27*'GWP N2O_CH4'!B5</f>
        <v>1311.0704206783996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3.7283301882342554</v>
      </c>
      <c r="C28" s="247">
        <f>B28*'GWP N2O_CH4'!B4</f>
        <v>1155.7823583526192</v>
      </c>
      <c r="D28" s="50"/>
    </row>
    <row r="29" spans="1:4">
      <c r="A29" s="41" t="s">
        <v>277</v>
      </c>
      <c r="B29" s="247">
        <f>B34*'ha_N2O bodem landbouw'!B4</f>
        <v>12.096604929675404</v>
      </c>
      <c r="C29" s="247">
        <f>B29*'GWP N2O_CH4'!B4</f>
        <v>3749.9475281993755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2.7223934578107186E-3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5.1078446629823526E-5</v>
      </c>
      <c r="C5" s="463" t="s">
        <v>211</v>
      </c>
      <c r="D5" s="448">
        <f>SUM(D6:D11)</f>
        <v>1.2944249478072728E-4</v>
      </c>
      <c r="E5" s="448">
        <f>SUM(E6:E11)</f>
        <v>4.9040454235636495E-4</v>
      </c>
      <c r="F5" s="461" t="s">
        <v>211</v>
      </c>
      <c r="G5" s="448">
        <f>SUM(G6:G11)</f>
        <v>0.1697855353108853</v>
      </c>
      <c r="H5" s="448">
        <f>SUM(H6:H11)</f>
        <v>3.4534380499024971E-2</v>
      </c>
      <c r="I5" s="463" t="s">
        <v>211</v>
      </c>
      <c r="J5" s="463" t="s">
        <v>211</v>
      </c>
      <c r="K5" s="463" t="s">
        <v>211</v>
      </c>
      <c r="L5" s="463" t="s">
        <v>211</v>
      </c>
      <c r="M5" s="448">
        <f>SUM(M6:M11)</f>
        <v>6.3838348346752522E-3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3.2826403675776969E-5</v>
      </c>
      <c r="C6" s="449"/>
      <c r="D6" s="892">
        <f>vkm_2011_GW_PW*SUMIFS(TableVerdeelsleutelVkm[CNG],TableVerdeelsleutelVkm[Voertuigtype],"Lichte voertuigen")*SUMIFS(TableECFTransport[EnergieConsumptieFactor (PJ per km)],TableECFTransport[Index],CONCATENATE($A6,"_CNG_CNG"))</f>
        <v>6.5226639108600069E-5</v>
      </c>
      <c r="E6" s="892">
        <f>vkm_2011_GW_PW*SUMIFS(TableVerdeelsleutelVkm[LPG],TableVerdeelsleutelVkm[Voertuigtype],"Lichte voertuigen")*SUMIFS(TableECFTransport[EnergieConsumptieFactor (PJ per km)],TableECFTransport[Index],CONCATENATE($A6,"_LPG_LPG"))</f>
        <v>2.5669020688964274E-4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6.1032123643775214E-2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1.7658813506753301E-2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2.452082265884266E-3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3.3799135379313991E-2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1.0918564407150485E-5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1.0649590405540934E-3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1.8252042954046557E-5</v>
      </c>
      <c r="C8" s="449"/>
      <c r="D8" s="451">
        <f>vkm_2011_NGW_PW*SUMIFS(TableVerdeelsleutelVkm[CNG],TableVerdeelsleutelVkm[Voertuigtype],"Lichte voertuigen")*SUMIFS(TableECFTransport[EnergieConsumptieFactor (PJ per km)],TableECFTransport[Index],CONCATENATE($A8,"_CNG_CNG"))</f>
        <v>6.421585567212721E-5</v>
      </c>
      <c r="E8" s="451">
        <f>vkm_2011_NGW_PW*SUMIFS(TableVerdeelsleutelVkm[LPG],TableVerdeelsleutelVkm[Voertuigtype],"Lichte voertuigen")*SUMIFS(TableECFTransport[EnergieConsumptieFactor (PJ per km)],TableECFTransport[Index],CONCATENATE($A8,"_LPG_LPG"))</f>
        <v>2.3371433546672226E-4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5.189115242277937E-2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1.6857602447969102E-2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2.1401219126711652E-3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2.3063123865016751E-2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7.0459798954196163E-6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7.2667161556572786E-4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14.188457397173202</v>
      </c>
      <c r="C14" s="21"/>
      <c r="D14" s="21">
        <f t="shared" ref="D14:M14" si="0">((D5)*10^9/3600)+D12</f>
        <v>35.956248550202027</v>
      </c>
      <c r="E14" s="21">
        <f t="shared" si="0"/>
        <v>136.22348398787915</v>
      </c>
      <c r="F14" s="21"/>
      <c r="G14" s="21">
        <f t="shared" si="0"/>
        <v>47162.648697468139</v>
      </c>
      <c r="H14" s="21">
        <f t="shared" si="0"/>
        <v>9592.8834719513816</v>
      </c>
      <c r="I14" s="21"/>
      <c r="J14" s="21"/>
      <c r="K14" s="21"/>
      <c r="L14" s="21"/>
      <c r="M14" s="21">
        <f t="shared" si="0"/>
        <v>1773.287454076459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0.11400590189140358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1.6175678820124875</v>
      </c>
      <c r="C18" s="23"/>
      <c r="D18" s="23">
        <f t="shared" ref="D18:M18" si="1">D14*D16</f>
        <v>7.2631622071408097</v>
      </c>
      <c r="E18" s="23">
        <f t="shared" si="1"/>
        <v>30.922730865248568</v>
      </c>
      <c r="F18" s="23"/>
      <c r="G18" s="23">
        <f t="shared" si="1"/>
        <v>12592.427202223995</v>
      </c>
      <c r="H18" s="23">
        <f t="shared" si="1"/>
        <v>2388.6279845158938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3.0306934563797609E-3</v>
      </c>
      <c r="H50" s="321">
        <f t="shared" si="2"/>
        <v>0</v>
      </c>
      <c r="I50" s="321">
        <f t="shared" si="2"/>
        <v>0</v>
      </c>
      <c r="J50" s="321">
        <f t="shared" si="2"/>
        <v>0</v>
      </c>
      <c r="K50" s="321">
        <f t="shared" si="2"/>
        <v>0</v>
      </c>
      <c r="L50" s="321">
        <f t="shared" si="2"/>
        <v>0</v>
      </c>
      <c r="M50" s="321">
        <f t="shared" si="2"/>
        <v>9.4005330803784937E-5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3.0306934563797609E-3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9.4005330803784937E-5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841.85929343882253</v>
      </c>
      <c r="H54" s="21">
        <f t="shared" si="3"/>
        <v>0</v>
      </c>
      <c r="I54" s="21">
        <f t="shared" si="3"/>
        <v>0</v>
      </c>
      <c r="J54" s="21">
        <f t="shared" si="3"/>
        <v>0</v>
      </c>
      <c r="K54" s="21">
        <f t="shared" si="3"/>
        <v>0</v>
      </c>
      <c r="L54" s="21">
        <f t="shared" si="3"/>
        <v>0</v>
      </c>
      <c r="M54" s="21">
        <f t="shared" si="3"/>
        <v>26.112591889940258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0.11400590189140358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224.77643134816563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19843.327069001127</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3103.336729771594</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40.5</v>
      </c>
      <c r="C8" s="570">
        <f>B101</f>
        <v>0</v>
      </c>
      <c r="D8" s="1043"/>
      <c r="E8" s="1043">
        <f>E101</f>
        <v>0</v>
      </c>
      <c r="F8" s="1044"/>
      <c r="G8" s="571"/>
      <c r="H8" s="1043">
        <f>I101</f>
        <v>0</v>
      </c>
      <c r="I8" s="1043">
        <f>G101+F101</f>
        <v>47.647058823529413</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22987.163798772723</v>
      </c>
      <c r="C10" s="583">
        <f t="shared" ref="C10:L10" si="0">SUM(C8:C9)</f>
        <v>0</v>
      </c>
      <c r="D10" s="583">
        <f t="shared" si="0"/>
        <v>0</v>
      </c>
      <c r="E10" s="583">
        <f t="shared" si="0"/>
        <v>0</v>
      </c>
      <c r="F10" s="583">
        <f t="shared" si="0"/>
        <v>0</v>
      </c>
      <c r="G10" s="583">
        <f t="shared" si="0"/>
        <v>0</v>
      </c>
      <c r="H10" s="583">
        <f t="shared" si="0"/>
        <v>0</v>
      </c>
      <c r="I10" s="583">
        <f t="shared" si="0"/>
        <v>47.647058823529413</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45.5625</v>
      </c>
      <c r="C17" s="595">
        <f>B102</f>
        <v>0</v>
      </c>
      <c r="D17" s="596"/>
      <c r="E17" s="596">
        <f>E102</f>
        <v>0</v>
      </c>
      <c r="F17" s="1049"/>
      <c r="G17" s="597"/>
      <c r="H17" s="595">
        <f>I102</f>
        <v>0</v>
      </c>
      <c r="I17" s="596">
        <f>G102+F102</f>
        <v>53.602941176470587</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45.5625</v>
      </c>
      <c r="C20" s="582">
        <f>SUM(C17:C19)</f>
        <v>0</v>
      </c>
      <c r="D20" s="582">
        <f t="shared" ref="D20:L20" si="1">SUM(D17:D19)</f>
        <v>0</v>
      </c>
      <c r="E20" s="582">
        <f t="shared" si="1"/>
        <v>0</v>
      </c>
      <c r="F20" s="582">
        <f t="shared" si="1"/>
        <v>0</v>
      </c>
      <c r="G20" s="582">
        <f t="shared" si="1"/>
        <v>0</v>
      </c>
      <c r="H20" s="582">
        <f t="shared" si="1"/>
        <v>0</v>
      </c>
      <c r="I20" s="582">
        <f t="shared" si="1"/>
        <v>53.602941176470587</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42003</v>
      </c>
      <c r="C28" s="796">
        <v>9290</v>
      </c>
      <c r="D28" s="653" t="s">
        <v>887</v>
      </c>
      <c r="E28" s="652" t="s">
        <v>888</v>
      </c>
      <c r="F28" s="652" t="s">
        <v>889</v>
      </c>
      <c r="G28" s="652" t="s">
        <v>890</v>
      </c>
      <c r="H28" s="652" t="s">
        <v>891</v>
      </c>
      <c r="I28" s="652" t="s">
        <v>888</v>
      </c>
      <c r="J28" s="795">
        <v>40787</v>
      </c>
      <c r="K28" s="795">
        <v>40848</v>
      </c>
      <c r="L28" s="652" t="s">
        <v>892</v>
      </c>
      <c r="M28" s="652">
        <v>9</v>
      </c>
      <c r="N28" s="652">
        <v>40.5</v>
      </c>
      <c r="O28" s="652">
        <v>45.5625</v>
      </c>
      <c r="P28" s="652">
        <v>0</v>
      </c>
      <c r="Q28" s="652">
        <v>0</v>
      </c>
      <c r="R28" s="652">
        <v>0</v>
      </c>
      <c r="S28" s="652">
        <v>0</v>
      </c>
      <c r="T28" s="652">
        <v>0</v>
      </c>
      <c r="U28" s="652">
        <v>101.25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v>
      </c>
      <c r="N58" s="610">
        <f>SUM(N28:N57)</f>
        <v>40.5</v>
      </c>
      <c r="O58" s="610">
        <f t="shared" ref="O58:W58" si="2">SUM(O28:O57)</f>
        <v>45.5625</v>
      </c>
      <c r="P58" s="610">
        <f t="shared" si="2"/>
        <v>0</v>
      </c>
      <c r="Q58" s="610">
        <f t="shared" si="2"/>
        <v>0</v>
      </c>
      <c r="R58" s="610">
        <f t="shared" si="2"/>
        <v>0</v>
      </c>
      <c r="S58" s="610">
        <f t="shared" si="2"/>
        <v>0</v>
      </c>
      <c r="T58" s="610">
        <f t="shared" si="2"/>
        <v>0</v>
      </c>
      <c r="U58" s="610">
        <f t="shared" si="2"/>
        <v>101.25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40.5</v>
      </c>
      <c r="O60" s="610">
        <f ca="1">SUMIF($Z$28:AE57,"tertiair",O28:O57)</f>
        <v>45.5625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101.25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47.647058823529413</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53.602941176470587</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2019-06-29T16:57:32Z</dcterms:modified>
</cp:coreProperties>
</file>