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8"/>
  <c r="I27"/>
  <c r="I22"/>
  <c r="I30"/>
  <c r="I29"/>
  <c r="I31"/>
  <c r="I24"/>
  <c r="D4"/>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E28" i="48"/>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32" i="48"/>
  <c r="J29"/>
  <c r="J28"/>
  <c r="J24"/>
  <c r="J31"/>
  <c r="J27"/>
  <c r="J30"/>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33" s="1"/>
  <c r="K15"/>
  <c r="G13"/>
  <c r="H18" i="14"/>
  <c r="H13" i="48"/>
  <c r="H31" s="1"/>
  <c r="I18" i="14"/>
  <c r="C22"/>
  <c r="P8" i="48"/>
  <c r="P26" s="1"/>
  <c r="Q13" i="14"/>
  <c r="Q16" s="1"/>
  <c r="Q27" s="1"/>
  <c r="Q63" s="1"/>
  <c r="F20"/>
  <c r="F22" s="1"/>
  <c r="E9" i="48"/>
  <c r="E27" s="1"/>
  <c r="D9"/>
  <c r="D27" s="1"/>
  <c r="E20" i="14"/>
  <c r="E22" s="1"/>
  <c r="P10"/>
  <c r="O5" i="48"/>
  <c r="O23" s="1"/>
  <c r="J7"/>
  <c r="J25" s="1"/>
  <c r="K24" i="14"/>
  <c r="K26" s="1"/>
  <c r="C20"/>
  <c r="B9" i="48"/>
  <c r="P15"/>
  <c r="P22"/>
  <c r="P33"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O22" i="16"/>
  <c r="P43" i="14" s="1"/>
  <c r="P46" s="1"/>
  <c r="P61" s="1"/>
  <c r="P63" s="1"/>
  <c r="O8" i="48"/>
  <c r="O26" s="1"/>
  <c r="O33" s="1"/>
  <c r="P13" i="14"/>
  <c r="P16" s="1"/>
  <c r="P27" s="1"/>
  <c r="H20"/>
  <c r="R20" s="1"/>
  <c r="G9" i="48"/>
  <c r="I20" i="14"/>
  <c r="I22" s="1"/>
  <c r="I27" s="1"/>
  <c r="H9" i="48"/>
  <c r="M10"/>
  <c r="M28" s="1"/>
  <c r="N19" i="14"/>
  <c r="G10" i="48"/>
  <c r="H19" i="14"/>
  <c r="I23" i="48"/>
  <c r="I33" s="1"/>
  <c r="I15"/>
  <c r="G31"/>
  <c r="Q13"/>
  <c r="J4"/>
  <c r="K11" i="14"/>
  <c r="F24"/>
  <c r="F26" s="1"/>
  <c r="E7" i="48"/>
  <c r="E25" s="1"/>
  <c r="R18" i="14"/>
  <c r="N22"/>
  <c r="N27" s="1"/>
  <c r="N52"/>
  <c r="N61" s="1"/>
  <c r="J63"/>
  <c r="Q9"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F10"/>
  <c r="E5" i="48"/>
  <c r="E23" s="1"/>
  <c r="G28"/>
  <c r="Q10"/>
  <c r="J5"/>
  <c r="J23" s="1"/>
  <c r="K10" i="14"/>
  <c r="G27" i="48"/>
  <c r="G33" s="1"/>
  <c r="G15"/>
  <c r="E22"/>
  <c r="Q4"/>
  <c r="H27"/>
  <c r="H33" s="1"/>
  <c r="H15"/>
  <c r="J22"/>
  <c r="M27"/>
  <c r="M33" s="1"/>
  <c r="M15"/>
  <c r="N63" i="14"/>
  <c r="R19"/>
  <c r="H22"/>
  <c r="H27" s="1"/>
  <c r="R22"/>
  <c r="R11"/>
  <c r="R24"/>
  <c r="R26" s="1"/>
  <c r="Q7" i="48"/>
  <c r="E20" i="15"/>
  <c r="F40" i="14" s="1"/>
  <c r="J18" i="16"/>
  <c r="E18"/>
  <c r="F18"/>
  <c r="F22" s="1"/>
  <c r="G43" i="14" s="1"/>
  <c r="N18" i="16"/>
  <c r="G18" i="22"/>
  <c r="H50" i="14" s="1"/>
  <c r="H52" s="1"/>
  <c r="H61" s="1"/>
  <c r="E22" i="16"/>
  <c r="F43" i="14" s="1"/>
  <c r="H18" i="22"/>
  <c r="I50" i="14" s="1"/>
  <c r="I52" s="1"/>
  <c r="I61" s="1"/>
  <c r="J22" i="16" l="1"/>
  <c r="K43" i="14" s="1"/>
  <c r="K46" s="1"/>
  <c r="K61" s="1"/>
  <c r="J8" i="48"/>
  <c r="J26" s="1"/>
  <c r="K13" i="14"/>
  <c r="E8" i="48"/>
  <c r="F13" i="14"/>
  <c r="J15" i="48"/>
  <c r="K16" i="14"/>
  <c r="K27" s="1"/>
  <c r="H63"/>
  <c r="J33" i="48"/>
  <c r="F16" i="14"/>
  <c r="F27" s="1"/>
  <c r="F46"/>
  <c r="F61" s="1"/>
  <c r="N8" i="48"/>
  <c r="N26" s="1"/>
  <c r="O13" i="14"/>
  <c r="N22" i="16"/>
  <c r="O43" i="14" s="1"/>
  <c r="G13"/>
  <c r="F8" i="48"/>
  <c r="E26" l="1"/>
  <c r="E33" s="1"/>
  <c r="E15"/>
  <c r="R13" i="14"/>
  <c r="K6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<sst xmlns="http://schemas.openxmlformats.org/spreadsheetml/2006/main" count="2389" uniqueCount="887">
  <si>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</si>
  <si>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</si>
  <si>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</si>
  <si>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</si>
  <si>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</si>
  <si>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</si>
  <si>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</si>
  <si>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</si>
  <si>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</si>
  <si>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</si>
  <si>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</si>
  <si>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</si>
  <si>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</si>
  <si>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</si>
  <si>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</si>
  <si>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</si>
  <si>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</si>
  <si>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</si>
  <si>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</si>
  <si>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</si>
  <si>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</si>
  <si>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</si>
  <si>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</si>
  <si>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</si>
  <si>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</si>
  <si>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</si>
  <si>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</si>
  <si>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</si>
  <si>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</si>
  <si>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</si>
  <si>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</si>
  <si>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</si>
  <si>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</si>
  <si>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</si>
  <si>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</si>
  <si>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</si>
  <si>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</si>
  <si>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</si>
  <si>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</si>
  <si>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</si>
  <si>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</si>
  <si>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</si>
  <si>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</si>
  <si>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</si>
  <si>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</si>
  <si>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</si>
  <si>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</si>
  <si>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</si>
  <si>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</si>
  <si>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</si>
  <si>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</si>
  <si>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</si>
  <si>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</si>
  <si>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</si>
  <si>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</si>
  <si>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</si>
  <si>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</si>
  <si>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</si>
  <si>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</si>
  <si>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</si>
  <si>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</si>
  <si>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</si>
  <si>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</si>
  <si>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</si>
  <si>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</si>
  <si>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</si>
  <si>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</si>
  <si>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</si>
  <si>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</si>
  <si>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</si>
  <si>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</si>
  <si>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</si>
  <si>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</si>
  <si>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</si>
  <si>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</si>
  <si>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</si>
  <si>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</si>
  <si>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</si>
  <si>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</si>
  <si>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</si>
  <si>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</si>
  <si>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</si>
  <si>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</si>
  <si>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</si>
  <si>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</si>
  <si>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</si>
  <si>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</si>
  <si>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</si>
  <si>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</si>
  <si>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</si>
  <si>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</si>
  <si>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</si>
  <si>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</si>
  <si>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</si>
  <si>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</si>
  <si>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</si>
  <si>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</si>
  <si>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</si>
  <si>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</si>
  <si>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</si>
  <si>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</si>
  <si>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</si>
  <si>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</si>
  <si>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</si>
  <si>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</si>
  <si>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</si>
  <si>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</si>
  <si>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</si>
  <si>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</si>
  <si>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</si>
  <si>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</si>
  <si>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</si>
  <si>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</si>
  <si>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</si>
  <si>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</si>
  <si>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</si>
  <si>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</si>
  <si>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</si>
  <si>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</si>
  <si>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</si>
  <si>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</si>
  <si>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</si>
  <si>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</si>
  <si>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</si>
  <si>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</si>
  <si>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</si>
  <si>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</si>
  <si>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</si>
  <si>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</si>
  <si>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</si>
  <si>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</si>
  <si>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</si>
  <si>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</si>
  <si>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</si>
  <si>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</si>
  <si>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</si>
  <si>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</si>
  <si>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</si>
  <si>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</si>
  <si>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</si>
  <si>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</si>
  <si>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</si>
  <si>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</si>
  <si>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</si>
  <si>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</si>
  <si>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</si>
  <si>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</si>
  <si>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</si>
  <si>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</si>
  <si>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</si>
  <si>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</si>
  <si>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</si>
  <si>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</si>
  <si>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</si>
  <si>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</si>
  <si>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</si>
  <si>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</si>
  <si>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</si>
  <si>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</si>
  <si>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</si>
  <si>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</si>
  <si>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</si>
  <si>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</si>
  <si>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</si>
  <si>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</si>
  <si>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</si>
  <si>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</si>
  <si>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</si>
  <si>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</si>
  <si>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</si>
  <si>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</si>
  <si>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</si>
  <si>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</si>
  <si>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</si>
  <si>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</si>
  <si>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</si>
  <si>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</si>
  <si>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</si>
  <si>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</si>
  <si>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</si>
  <si>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</si>
  <si>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</si>
  <si>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</si>
  <si>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</si>
  <si>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</si>
  <si>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</si>
  <si>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</si>
  <si>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</si>
  <si>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</si>
  <si>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</si>
  <si>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</si>
  <si>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</si>
  <si>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</si>
  <si>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</si>
  <si>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</si>
  <si>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</si>
  <si>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</si>
  <si>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</si>
  <si>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</si>
  <si>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</si>
  <si>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</si>
  <si>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</si>
  <si>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</si>
  <si>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</si>
  <si>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</si>
  <si>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</si>
  <si>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</si>
  <si>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</si>
  <si>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</si>
  <si>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</si>
  <si>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</si>
  <si>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</si>
  <si>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</si>
  <si>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</si>
  <si>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</si>
  <si>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</si>
  <si>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</si>
  <si>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</si>
  <si>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</si>
  <si>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</si>
  <si>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</si>
  <si>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</si>
  <si>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</si>
  <si>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</si>
  <si>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</si>
  <si>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</si>
  <si>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</si>
  <si>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</si>
  <si>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</si>
  <si>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</si>
  <si>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</si>
  <si>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</si>
  <si>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</si>
  <si>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</si>
  <si>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</si>
  <si>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</si>
  <si>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</si>
  <si>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</si>
  <si>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</si>
  <si>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</si>
  <si>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</si>
  <si>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</si>
  <si>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</si>
  <si>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</si>
  <si>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</si>
  <si>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</si>
  <si>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</si>
  <si>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</si>
  <si>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</si>
  <si>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</si>
  <si>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</si>
  <si>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</si>
  <si>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</si>
  <si>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</si>
  <si>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</si>
  <si>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</si>
  <si>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</si>
  <si>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</si>
  <si>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</si>
  <si>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</si>
  <si>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</si>
  <si>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</si>
  <si>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</si>
  <si>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</si>
  <si>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</si>
  <si>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</si>
  <si>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</si>
  <si>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</si>
  <si>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</si>
  <si>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</si>
  <si>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</si>
  <si>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</si>
  <si>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</si>
  <si>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</si>
  <si>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</si>
  <si>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</si>
  <si>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</si>
  <si>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</si>
  <si>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</si>
  <si>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</si>
  <si>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</si>
  <si>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</si>
  <si>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</si>
  <si>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</si>
  <si>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</si>
  <si>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</si>
  <si>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</si>
  <si>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</si>
  <si>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</si>
  <si>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</si>
  <si>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</si>
  <si>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</si>
  <si>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</si>
  <si>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</si>
  <si>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</si>
  <si>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</si>
  <si>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</si>
  <si>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</si>
  <si>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</si>
  <si>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</si>
  <si>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</si>
  <si>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</si>
  <si>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</si>
  <si>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</si>
  <si>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</si>
  <si>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</si>
  <si>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</si>
  <si>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</si>
  <si>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</si>
  <si>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</si>
  <si>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</si>
  <si>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</si>
  <si>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</si>
  <si>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</si>
  <si>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</si>
  <si>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</si>
  <si>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</si>
  <si>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</si>
  <si>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</si>
  <si>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</si>
  <si>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</si>
  <si>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</si>
  <si>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</si>
  <si>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</si>
  <si>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</si>
  <si>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</si>
  <si>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</si>
  <si>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</si>
  <si>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</si>
  <si>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</si>
  <si>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</si>
  <si>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</si>
  <si>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</si>
  <si>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</si>
  <si>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</si>
  <si>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</si>
  <si>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</si>
  <si>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</si>
  <si>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</si>
  <si>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</si>
  <si>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</si>
  <si>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</si>
  <si>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</si>
  <si>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</si>
  <si>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</si>
  <si>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</si>
  <si>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</si>
  <si>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</si>
  <si>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</si>
  <si>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</si>
  <si>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</si>
  <si>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</si>
  <si>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</si>
  <si>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</si>
  <si>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</si>
  <si>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</si>
  <si>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</si>
  <si>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</si>
  <si>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</si>
  <si>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</si>
  <si>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</si>
  <si>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</si>
  <si>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</si>
  <si>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</si>
  <si>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</si>
  <si>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</si>
  <si>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</si>
  <si>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</si>
  <si>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</si>
  <si>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</si>
  <si>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</si>
  <si>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</si>
  <si>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</si>
  <si>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</si>
  <si>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</si>
  <si>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</si>
  <si>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</si>
  <si>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</si>
  <si>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</si>
  <si>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</si>
  <si>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</si>
  <si>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</si>
  <si>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</si>
  <si>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</si>
  <si>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</si>
  <si>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</si>
  <si>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</si>
  <si>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</si>
  <si>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</si>
  <si>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</si>
  <si>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</si>
  <si>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</si>
  <si>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</si>
  <si>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</si>
  <si>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</si>
  <si>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</si>
  <si>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</si>
  <si>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</si>
  <si>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</si>
  <si>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</si>
  <si>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</si>
  <si>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</si>
  <si>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</si>
  <si>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</si>
  <si>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</si>
  <si>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</si>
  <si>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</si>
  <si>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</si>
  <si>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</si>
  <si>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</si>
  <si>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</si>
  <si>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</si>
  <si>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</si>
  <si>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</si>
  <si>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</si>
  <si>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</si>
  <si>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</si>
  <si>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</si>
  <si>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</si>
  <si>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</si>
  <si>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</si>
  <si>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</si>
  <si>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</si>
  <si>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</si>
  <si>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</si>
  <si>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</si>
  <si>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</si>
  <si>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</si>
  <si>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</si>
  <si>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</si>
  <si>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</si>
  <si>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</si>
  <si>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</si>
  <si>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</si>
  <si>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</si>
  <si>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</si>
  <si>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</si>
  <si>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</si>
  <si>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</si>
  <si>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</si>
  <si>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</si>
  <si>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</si>
  <si>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</si>
  <si>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</si>
  <si>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</si>
  <si>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</si>
  <si>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</si>
  <si>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</si>
  <si>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</si>
  <si>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</si>
  <si>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</si>
  <si>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</si>
  <si>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</si>
  <si>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</si>
  <si>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</si>
  <si>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</si>
  <si>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</si>
  <si>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</si>
  <si>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</si>
  <si>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</si>
  <si>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</si>
  <si>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</si>
  <si>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</si>
  <si>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</si>
  <si>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</si>
  <si>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</si>
  <si>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</si>
  <si>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</si>
  <si>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</si>
  <si>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</si>
  <si>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</si>
  <si>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</si>
  <si>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</si>
  <si>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</si>
  <si>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</si>
  <si>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</si>
  <si>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</si>
  <si>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</si>
  <si>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</si>
  <si>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</si>
  <si>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</si>
  <si>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</si>
  <si>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</si>
  <si>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</si>
  <si>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</si>
  <si>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</si>
  <si>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</si>
  <si>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</si>
  <si>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</si>
  <si>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</si>
  <si>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</si>
  <si>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</si>
  <si>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</si>
  <si>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</si>
  <si>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</si>
  <si>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</si>
  <si>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</si>
  <si>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</si>
  <si>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</si>
  <si>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</si>
  <si>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</si>
  <si>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</si>
  <si>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</si>
  <si>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</si>
  <si>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</si>
  <si>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</si>
  <si>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</si>
  <si>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</si>
  <si>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</si>
  <si>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</si>
  <si>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</si>
  <si>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</si>
  <si>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</si>
  <si>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</si>
  <si>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</si>
  <si>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</si>
  <si>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</si>
  <si>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</si>
  <si>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</si>
  <si>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</si>
  <si>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</si>
  <si>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</si>
  <si>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</si>
  <si>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</si>
  <si>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</si>
  <si>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</si>
  <si>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</si>
  <si>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</si>
  <si>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</si>
  <si>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</si>
  <si>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</si>
  <si>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</si>
  <si>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</si>
  <si>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</si>
  <si>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</si>
  <si>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</si>
  <si>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</si>
  <si>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</si>
  <si>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</si>
  <si>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</si>
  <si>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</si>
  <si>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</si>
  <si>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</si>
  <si>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</si>
  <si>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</si>
  <si>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</si>
  <si>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</si>
  <si>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</si>
  <si>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</si>
  <si>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</si>
  <si>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</si>
  <si>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</si>
  <si>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</si>
  <si>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</si>
  <si>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</si>
  <si>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</si>
  <si>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</si>
  <si>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</si>
  <si>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</si>
  <si>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</si>
  <si>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</si>
  <si>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</si>
  <si>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</si>
  <si>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</si>
  <si>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</si>
  <si>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</si>
  <si>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</si>
  <si>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</si>
  <si>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</si>
  <si>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</si>
  <si>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</si>
  <si>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</si>
  <si>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</si>
  <si>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</si>
  <si>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</si>
  <si>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</si>
  <si>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</si>
  <si>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</si>
  <si>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</si>
  <si>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</si>
  <si>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</si>
  <si>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</si>
  <si>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</si>
  <si>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</si>
  <si>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</si>
  <si>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</si>
  <si>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</si>
  <si>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</si>
  <si>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</si>
  <si>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</si>
  <si>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</si>
  <si>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</si>
  <si>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</si>
  <si>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</si>
  <si>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</si>
  <si>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</si>
  <si>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</si>
  <si>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</si>
  <si>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</si>
  <si>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</si>
  <si>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</si>
  <si>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</si>
  <si>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</si>
  <si>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</si>
  <si>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</si>
  <si>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</si>
  <si>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</si>
  <si>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</si>
  <si>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</si>
  <si>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</si>
  <si>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</si>
  <si>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</si>
  <si>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</si>
  <si>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</si>
  <si>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</si>
  <si>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</si>
  <si>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</si>
  <si>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</si>
  <si>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</si>
  <si>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</si>
  <si>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</si>
  <si>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</si>
  <si>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</si>
  <si>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</si>
  <si>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</si>
  <si>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</si>
  <si>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</si>
  <si>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</si>
  <si>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</si>
  <si>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</si>
  <si>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</si>
  <si>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</si>
  <si>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</si>
  <si>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</si>
  <si>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</si>
  <si>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</si>
  <si>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</si>
  <si>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</si>
  <si>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</si>
  <si>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</si>
  <si>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</si>
  <si>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</si>
  <si>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</si>
  <si>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</si>
  <si>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</si>
  <si>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</si>
  <si>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</si>
  <si>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</si>
  <si>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</si>
  <si>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</si>
  <si>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</si>
  <si>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</si>
  <si>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</si>
  <si>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</si>
  <si>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</si>
  <si>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</si>
  <si>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</si>
  <si>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</si>
  <si>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</si>
  <si>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</si>
  <si>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</si>
  <si>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</si>
  <si>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</si>
  <si>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</si>
  <si>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</si>
  <si>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</si>
  <si>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</si>
  <si>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</si>
  <si>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</si>
  <si>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</si>
  <si>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</si>
  <si>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</si>
  <si>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</si>
  <si>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</si>
  <si>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</si>
  <si>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</si>
  <si>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</si>
  <si>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</si>
  <si>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</si>
  <si>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</si>
  <si>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</si>
  <si>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</si>
  <si>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</si>
  <si>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</si>
  <si>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</si>
  <si>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</si>
  <si>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</si>
  <si>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</si>
  <si>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</si>
  <si>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</si>
  <si>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</si>
  <si>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</si>
  <si>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</si>
  <si>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</si>
  <si>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</si>
  <si>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</si>
  <si>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</si>
  <si>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</si>
  <si>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</si>
  <si>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</si>
  <si>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</si>
  <si>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</si>
  <si>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</si>
  <si>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</si>
  <si>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</si>
  <si>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</si>
  <si>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</si>
  <si>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</si>
  <si>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</si>
  <si>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</si>
  <si>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</si>
  <si>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</si>
  <si>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</si>
  <si>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</si>
  <si>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</si>
  <si>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</si>
  <si>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</si>
  <si>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</si>
  <si>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</si>
  <si>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</si>
  <si>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</si>
  <si>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</si>
  <si>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</si>
  <si>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</si>
  <si>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</si>
  <si>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</si>
  <si>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</si>
  <si>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</si>
  <si>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</si>
  <si>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</si>
  <si>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</si>
  <si>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</si>
  <si>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</si>
  <si>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</si>
  <si>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</si>
  <si>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</si>
  <si>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</si>
  <si>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</si>
  <si>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</si>
  <si>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</si>
  <si>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</si>
  <si>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</si>
  <si>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</si>
  <si>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</si>
  <si>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</si>
  <si>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</si>
  <si>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</si>
  <si>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</si>
  <si>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</si>
  <si>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</si>
  <si>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</si>
  <si>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</si>
  <si>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</si>
  <si>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</si>
  <si>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</si>
  <si>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</si>
  <si>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</si>
  <si>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</si>
  <si>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</si>
  <si>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</si>
  <si>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</si>
  <si>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</si>
  <si>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</si>
  <si>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</si>
  <si>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</si>
  <si>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</si>
  <si>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</si>
  <si>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</si>
  <si>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</si>
  <si>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</si>
  <si>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</si>
  <si>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</si>
  <si>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</si>
  <si>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</si>
  <si>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</si>
  <si>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</si>
  <si>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</si>
  <si>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</si>
  <si>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</si>
  <si>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</si>
  <si>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</si>
  <si>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</si>
  <si>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</si>
  <si>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</si>
  <si>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</si>
  <si>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</si>
  <si>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</si>
  <si>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</si>
  <si>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</si>
  <si>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</si>
  <si>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</si>
  <si>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</si>
  <si>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</si>
  <si>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</si>
  <si>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</si>
  <si>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</si>
  <si>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</si>
  <si>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</si>
  <si>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</si>
  <si>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</si>
  <si>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</si>
  <si>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</si>
  <si>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</si>
  <si>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</si>
  <si>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</si>
  <si>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</si>
  <si>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</si>
  <si>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</si>
  <si>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</si>
  <si>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</si>
  <si>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</si>
  <si>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</si>
  <si>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</si>
  <si>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</si>
  <si>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</si>
  <si>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</si>
  <si>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</si>
  <si>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</si>
  <si>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</si>
  <si>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</si>
  <si>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</si>
  <si>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</si>
  <si>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</si>
  <si>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</si>
  <si>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</si>
  <si>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</si>
  <si>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</si>
  <si>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</si>
  <si>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</si>
  <si>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</si>
  <si>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</si>
  <si>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</si>
  <si>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</si>
  <si>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</si>
  <si>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</si>
  <si>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</si>
  <si>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</si>
  <si>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</si>
  <si>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</si>
  <si>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</si>
  <si>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</si>
  <si>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</si>
  <si>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</si>
  <si>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</si>
  <si>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</si>
  <si>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</si>
  <si>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</si>
  <si>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</si>
  <si>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</si>
  <si>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</si>
  <si>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</si>
  <si>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</si>
  <si>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</si>
  <si>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</si>
  <si>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</si>
  <si>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</si>
  <si>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</si>
  <si>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</si>
  <si>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</si>
  <si>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</si>
  <si>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</si>
  <si>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</si>
  <si>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</si>
  <si>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</si>
  <si>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</si>
  <si>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</si>
  <si>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</si>
  <si>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</si>
  <si>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</si>
  <si>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</si>
  <si>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</si>
  <si>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</si>
  <si>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</si>
  <si>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</si>
  <si>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</si>
  <si>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</si>
  <si>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</si>
  <si>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</si>
  <si>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</si>
  <si>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24048</t>
  </si>
  <si>
    <t>KEERBERGEN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</si>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</sst>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118459.89192606686</c:v>
                </c:pt>
                <c:pt idx="1">
                  <c:v>23983.155174021744</c:v>
                </c:pt>
                <c:pt idx="2">
                  <c:v>1008.742</c:v>
                </c:pt>
                <c:pt idx="3">
                  <c:v>362.38115545447727</c:v>
                </c:pt>
                <c:pt idx="4">
                  <c:v>2328.6798470900912</c:v>
                </c:pt>
                <c:pt idx="5">
                  <c:v>52236.077515793542</c:v>
                </c:pt>
                <c:pt idx="6">
                  <c:v>1383.9255340283796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100352"/>
        <c:axId val="182101888"/>
      </c:barChart>
      <c:catAx>
        <c:axId val="182100352"/>
        <c:scaling>
          <c:orientation val="minMax"/>
        </c:scaling>
        <c:axPos val="b"/>
        <c:numFmt formatCode="General" sourceLinked="0"/>
        <c:tickLblPos val="nextTo"/>
        <c:crossAx val="182101888"/>
        <c:crosses val="autoZero"/>
        <c:auto val="1"/>
        <c:lblAlgn val="ctr"/>
        <c:lblOffset val="100"/>
      </c:catAx>
      <c:valAx>
        <c:axId val="182101888"/>
        <c:scaling>
          <c:orientation val="minMax"/>
        </c:scaling>
        <c:axPos val="l"/>
        <c:majorGridlines/>
        <c:numFmt formatCode="#,##0" sourceLinked="1"/>
        <c:tickLblPos val="nextTo"/>
        <c:crossAx val="182100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118459.89192606686</c:v>
                </c:pt>
                <c:pt idx="1">
                  <c:v>23983.155174021744</c:v>
                </c:pt>
                <c:pt idx="2">
                  <c:v>1008.742</c:v>
                </c:pt>
                <c:pt idx="3">
                  <c:v>362.38115545447727</c:v>
                </c:pt>
                <c:pt idx="4">
                  <c:v>2328.6798470900912</c:v>
                </c:pt>
                <c:pt idx="5">
                  <c:v>52236.077515793542</c:v>
                </c:pt>
                <c:pt idx="6">
                  <c:v>1383.9255340283796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26348.189498437263</c:v>
                </c:pt>
                <c:pt idx="2">
                  <c:v>4940.9734053600614</c:v>
                </c:pt>
                <c:pt idx="3">
                  <c:v>212.98027114018868</c:v>
                </c:pt>
                <c:pt idx="4">
                  <c:v>86.789290835555249</c:v>
                </c:pt>
                <c:pt idx="5">
                  <c:v>465.3307046881954</c:v>
                </c:pt>
                <c:pt idx="6">
                  <c:v>13314.416901188752</c:v>
                </c:pt>
                <c:pt idx="7">
                  <c:v>358.39161158160982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96256"/>
        <c:axId val="182616832"/>
      </c:barChart>
      <c:catAx>
        <c:axId val="182496256"/>
        <c:scaling>
          <c:orientation val="minMax"/>
        </c:scaling>
        <c:axPos val="b"/>
        <c:numFmt formatCode="General" sourceLinked="0"/>
        <c:tickLblPos val="nextTo"/>
        <c:crossAx val="182616832"/>
        <c:crosses val="autoZero"/>
        <c:auto val="1"/>
        <c:lblAlgn val="ctr"/>
        <c:lblOffset val="100"/>
      </c:catAx>
      <c:valAx>
        <c:axId val="182616832"/>
        <c:scaling>
          <c:orientation val="minMax"/>
        </c:scaling>
        <c:axPos val="l"/>
        <c:majorGridlines/>
        <c:numFmt formatCode="#,##0" sourceLinked="1"/>
        <c:tickLblPos val="nextTo"/>
        <c:crossAx val="182496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26348.189498437263</c:v>
                </c:pt>
                <c:pt idx="2">
                  <c:v>4940.9734053600614</c:v>
                </c:pt>
                <c:pt idx="3">
                  <c:v>212.98027114018868</c:v>
                </c:pt>
                <c:pt idx="4">
                  <c:v>86.789290835555249</c:v>
                </c:pt>
                <c:pt idx="5">
                  <c:v>465.3307046881954</c:v>
                </c:pt>
                <c:pt idx="6">
                  <c:v>13314.416901188752</c:v>
                </c:pt>
                <c:pt idx="7">
                  <c:v>358.39161158160982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0.21113453305224594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0.21113453305224594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5061</v>
      </c>
      <c r="C9" s="342">
        <v>5385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241.38</v>
      </c>
    </row>
    <row r="15" spans="1:6">
      <c r="A15" s="348" t="s">
        <v>184</v>
      </c>
      <c r="B15" s="334">
        <v>0</v>
      </c>
    </row>
    <row r="16" spans="1:6">
      <c r="A16" s="348" t="s">
        <v>6</v>
      </c>
      <c r="B16" s="334">
        <v>90</v>
      </c>
    </row>
    <row r="17" spans="1:6">
      <c r="A17" s="348" t="s">
        <v>7</v>
      </c>
      <c r="B17" s="334">
        <v>22</v>
      </c>
    </row>
    <row r="18" spans="1:6">
      <c r="A18" s="348" t="s">
        <v>8</v>
      </c>
      <c r="B18" s="334">
        <v>73</v>
      </c>
    </row>
    <row r="19" spans="1:6">
      <c r="A19" s="348" t="s">
        <v>9</v>
      </c>
      <c r="B19" s="334">
        <v>62</v>
      </c>
    </row>
    <row r="20" spans="1:6">
      <c r="A20" s="348" t="s">
        <v>10</v>
      </c>
      <c r="B20" s="334">
        <v>42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881</v>
      </c>
      <c r="B29" s="355">
        <v>9</v>
      </c>
      <c r="C29" s="356"/>
      <c r="D29" s="356"/>
      <c r="E29" s="356"/>
      <c r="F29" s="356"/>
    </row>
    <row r="30" spans="1:6">
      <c r="A30" s="355" t="s">
        <v>882</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4473</v>
      </c>
    </row>
    <row r="39" spans="1:6">
      <c r="A39" s="348" t="s">
        <v>30</v>
      </c>
      <c r="B39" s="348" t="s">
        <v>31</v>
      </c>
      <c r="C39" s="334">
        <v>1851</v>
      </c>
      <c r="D39" s="334">
        <v>35838063.740999997</v>
      </c>
      <c r="E39" s="334">
        <v>4879</v>
      </c>
      <c r="F39" s="334">
        <v>26204758.500999998</v>
      </c>
    </row>
    <row r="40" spans="1:6">
      <c r="A40" s="348" t="s">
        <v>30</v>
      </c>
      <c r="B40" s="348" t="s">
        <v>29</v>
      </c>
      <c r="C40" s="334">
        <v>0</v>
      </c>
      <c r="D40" s="334">
        <v>0</v>
      </c>
      <c r="E40" s="334">
        <v>0</v>
      </c>
      <c r="F40" s="334">
        <v>0</v>
      </c>
    </row>
    <row r="41" spans="1:6">
      <c r="A41" s="348" t="s">
        <v>32</v>
      </c>
      <c r="B41" s="348" t="s">
        <v>33</v>
      </c>
      <c r="C41" s="334">
        <v>16</v>
      </c>
      <c r="D41" s="334">
        <v>278625.31274999998</v>
      </c>
      <c r="E41" s="334">
        <v>66</v>
      </c>
      <c r="F41" s="334">
        <v>494816.44144999998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41827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340091.47032000002</v>
      </c>
      <c r="E48" s="334">
        <v>18</v>
      </c>
      <c r="F48" s="334">
        <v>174400.41158000001</v>
      </c>
    </row>
    <row r="49" spans="1:6">
      <c r="A49" s="348" t="s">
        <v>32</v>
      </c>
      <c r="B49" s="348" t="s">
        <v>40</v>
      </c>
      <c r="C49" s="334">
        <v>0</v>
      </c>
      <c r="D49" s="334">
        <v>0</v>
      </c>
      <c r="E49" s="334">
        <v>0</v>
      </c>
      <c r="F49" s="334">
        <v>0</v>
      </c>
    </row>
    <row r="50" spans="1:6">
      <c r="A50" s="348" t="s">
        <v>32</v>
      </c>
      <c r="B50" s="348" t="s">
        <v>41</v>
      </c>
      <c r="C50" s="334">
        <v>0</v>
      </c>
      <c r="D50" s="334">
        <v>0</v>
      </c>
      <c r="E50" s="334">
        <v>3</v>
      </c>
      <c r="F50" s="334">
        <v>151633.23212999999</v>
      </c>
    </row>
    <row r="51" spans="1:6">
      <c r="A51" s="348" t="s">
        <v>42</v>
      </c>
      <c r="B51" s="348" t="s">
        <v>43</v>
      </c>
      <c r="C51" s="334">
        <v>0</v>
      </c>
      <c r="D51" s="334">
        <v>0</v>
      </c>
      <c r="E51" s="334">
        <v>7</v>
      </c>
      <c r="F51" s="334">
        <v>41563.597978999998</v>
      </c>
    </row>
    <row r="52" spans="1:6">
      <c r="A52" s="348" t="s">
        <v>42</v>
      </c>
      <c r="B52" s="348" t="s">
        <v>29</v>
      </c>
      <c r="C52" s="334">
        <v>2</v>
      </c>
      <c r="D52" s="334">
        <v>131794.85187000001</v>
      </c>
      <c r="E52" s="334">
        <v>4</v>
      </c>
      <c r="F52" s="334">
        <v>8903.8085437000009</v>
      </c>
    </row>
    <row r="53" spans="1:6">
      <c r="A53" s="348" t="s">
        <v>44</v>
      </c>
      <c r="B53" s="348" t="s">
        <v>45</v>
      </c>
      <c r="C53" s="334">
        <v>58</v>
      </c>
      <c r="D53" s="334">
        <v>3611023.0943999998</v>
      </c>
      <c r="E53" s="334">
        <v>180</v>
      </c>
      <c r="F53" s="334">
        <v>1007452.6745</v>
      </c>
    </row>
    <row r="54" spans="1:6">
      <c r="A54" s="348" t="s">
        <v>46</v>
      </c>
      <c r="B54" s="348" t="s">
        <v>47</v>
      </c>
      <c r="C54" s="334">
        <v>0</v>
      </c>
      <c r="D54" s="334">
        <v>0</v>
      </c>
      <c r="E54" s="334">
        <v>1</v>
      </c>
      <c r="F54" s="334">
        <v>1008742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201830.00216</v>
      </c>
      <c r="E57" s="334">
        <v>39</v>
      </c>
      <c r="F57" s="334">
        <v>974764.49473000003</v>
      </c>
    </row>
    <row r="58" spans="1:6">
      <c r="A58" s="348" t="s">
        <v>49</v>
      </c>
      <c r="B58" s="348" t="s">
        <v>51</v>
      </c>
      <c r="C58" s="334">
        <v>12</v>
      </c>
      <c r="D58" s="334">
        <v>368275.26273000002</v>
      </c>
      <c r="E58" s="334">
        <v>33</v>
      </c>
      <c r="F58" s="334">
        <v>401178.29044000001</v>
      </c>
    </row>
    <row r="59" spans="1:6">
      <c r="A59" s="348" t="s">
        <v>49</v>
      </c>
      <c r="B59" s="348" t="s">
        <v>52</v>
      </c>
      <c r="C59" s="334">
        <v>6</v>
      </c>
      <c r="D59" s="334">
        <v>106509.26661999999</v>
      </c>
      <c r="E59" s="334">
        <v>76</v>
      </c>
      <c r="F59" s="334">
        <v>1677591.1532000001</v>
      </c>
    </row>
    <row r="60" spans="1:6">
      <c r="A60" s="348" t="s">
        <v>49</v>
      </c>
      <c r="B60" s="348" t="s">
        <v>53</v>
      </c>
      <c r="C60" s="334">
        <v>23</v>
      </c>
      <c r="D60" s="334">
        <v>1385791.4280999999</v>
      </c>
      <c r="E60" s="334">
        <v>56</v>
      </c>
      <c r="F60" s="334">
        <v>1495458.6440000001</v>
      </c>
    </row>
    <row r="61" spans="1:6">
      <c r="A61" s="348" t="s">
        <v>49</v>
      </c>
      <c r="B61" s="348" t="s">
        <v>54</v>
      </c>
      <c r="C61" s="334">
        <v>90</v>
      </c>
      <c r="D61" s="334">
        <v>3220009.0101999999</v>
      </c>
      <c r="E61" s="334">
        <v>297</v>
      </c>
      <c r="F61" s="334">
        <v>3920312.6741999998</v>
      </c>
    </row>
    <row r="62" spans="1:6">
      <c r="A62" s="348" t="s">
        <v>49</v>
      </c>
      <c r="B62" s="348" t="s">
        <v>55</v>
      </c>
      <c r="C62" s="334">
        <v>4</v>
      </c>
      <c r="D62" s="334">
        <v>468979.04654000001</v>
      </c>
      <c r="E62" s="334">
        <v>11</v>
      </c>
      <c r="F62" s="334">
        <v>269201.03223999997</v>
      </c>
    </row>
    <row r="63" spans="1:6">
      <c r="A63" s="348" t="s">
        <v>49</v>
      </c>
      <c r="B63" s="348" t="s">
        <v>29</v>
      </c>
      <c r="C63" s="334">
        <v>65</v>
      </c>
      <c r="D63" s="334">
        <v>4114078.9399000001</v>
      </c>
      <c r="E63" s="334">
        <v>92</v>
      </c>
      <c r="F63" s="334">
        <v>2196712.8865999999</v>
      </c>
    </row>
    <row r="64" spans="1:6">
      <c r="A64" s="348" t="s">
        <v>56</v>
      </c>
      <c r="B64" s="348" t="s">
        <v>57</v>
      </c>
      <c r="C64" s="334">
        <v>0</v>
      </c>
      <c r="D64" s="334">
        <v>0</v>
      </c>
      <c r="E64" s="334">
        <v>0</v>
      </c>
      <c r="F64" s="334">
        <v>0</v>
      </c>
    </row>
    <row r="65" spans="1:6">
      <c r="A65" s="348" t="s">
        <v>56</v>
      </c>
      <c r="B65" s="348" t="s">
        <v>29</v>
      </c>
      <c r="C65" s="334">
        <v>1</v>
      </c>
      <c r="D65" s="334">
        <v>13150.710896000001</v>
      </c>
      <c r="E65" s="334">
        <v>1</v>
      </c>
      <c r="F65" s="334">
        <v>37267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99966.368872999999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554005</v>
      </c>
      <c r="E73" s="475">
        <v>576132.83752894122</v>
      </c>
    </row>
    <row r="74" spans="1:6">
      <c r="A74" s="348" t="s">
        <v>64</v>
      </c>
      <c r="B74" s="348" t="s">
        <v>667</v>
      </c>
      <c r="C74" s="1294" t="s">
        <v>669</v>
      </c>
      <c r="D74" s="475">
        <v>7101.5</v>
      </c>
      <c r="E74" s="475">
        <v>7365.949129371159</v>
      </c>
    </row>
    <row r="75" spans="1:6">
      <c r="A75" s="348" t="s">
        <v>65</v>
      </c>
      <c r="B75" s="348" t="s">
        <v>666</v>
      </c>
      <c r="C75" s="1294" t="s">
        <v>670</v>
      </c>
      <c r="D75" s="475">
        <v>51805184</v>
      </c>
      <c r="E75" s="475">
        <v>55750524.588151455</v>
      </c>
    </row>
    <row r="76" spans="1:6">
      <c r="A76" s="348" t="s">
        <v>65</v>
      </c>
      <c r="B76" s="348" t="s">
        <v>667</v>
      </c>
      <c r="C76" s="1294" t="s">
        <v>671</v>
      </c>
      <c r="D76" s="475">
        <v>1293513.2343692314</v>
      </c>
      <c r="E76" s="475">
        <v>1359016.0608175991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371703.53126153722</v>
      </c>
      <c r="C83" s="475">
        <v>371703.53126153722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1872.8512128202174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41954.437658675175</v>
      </c>
      <c r="C3" s="43" t="s">
        <v>170</v>
      </c>
      <c r="D3" s="43"/>
      <c r="E3" s="154"/>
      <c r="F3" s="43"/>
      <c r="G3" s="43"/>
      <c r="H3" s="43"/>
      <c r="I3" s="43"/>
      <c r="J3" s="43"/>
      <c r="K3" s="96"/>
    </row>
    <row r="4" spans="1:11">
      <c r="A4" s="383" t="s">
        <v>171</v>
      </c>
      <c r="B4" s="49">
        <f>IF(ISERROR('SEAP template'!B78),0,'SEAP template'!B78)</f>
        <v>1872.8512128202174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0.21113453305224594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1008.742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1008.742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0.21113453305224594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212.98027114018868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26204.758500999997</v>
      </c>
      <c r="C5" s="17">
        <f>IF(ISERROR('Eigen informatie GS &amp; warmtenet'!B57),0,'Eigen informatie GS &amp; warmtenet'!B57)</f>
        <v>0</v>
      </c>
      <c r="D5" s="30">
        <f>(SUM(HH_hh_gas_kWh,HH_rest_gas_kWh)/1000)*0.902</f>
        <v>32325.933494381999</v>
      </c>
      <c r="E5" s="17">
        <f>B46*B57</f>
        <v>3686.7534066060311</v>
      </c>
      <c r="F5" s="17">
        <f>B51*B62</f>
        <v>48888.782371243047</v>
      </c>
      <c r="G5" s="18"/>
      <c r="H5" s="17"/>
      <c r="I5" s="17"/>
      <c r="J5" s="17">
        <f>B50*B61+C50*C61</f>
        <v>0</v>
      </c>
      <c r="K5" s="17"/>
      <c r="L5" s="17"/>
      <c r="M5" s="17"/>
      <c r="N5" s="17">
        <f>B48*B59+C48*C59</f>
        <v>4311.4329400155893</v>
      </c>
      <c r="O5" s="17">
        <f>B69*B70*B71</f>
        <v>196.98000000000002</v>
      </c>
      <c r="P5" s="17">
        <f>B77*B78*B79/1000-B77*B78*B79/1000/B80</f>
        <v>972.4</v>
      </c>
    </row>
    <row r="6" spans="1:16">
      <c r="A6" s="16" t="s">
        <v>624</v>
      </c>
      <c r="B6" s="788">
        <f>kWh_PV_kleiner_dan_10kW</f>
        <v>1872.8512128202174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28077.609713820213</v>
      </c>
      <c r="C8" s="21">
        <f>C5</f>
        <v>0</v>
      </c>
      <c r="D8" s="21">
        <f>D5</f>
        <v>32325.933494381999</v>
      </c>
      <c r="E8" s="21">
        <f>E5</f>
        <v>3686.7534066060311</v>
      </c>
      <c r="F8" s="21">
        <f>F5</f>
        <v>48888.782371243047</v>
      </c>
      <c r="G8" s="21"/>
      <c r="H8" s="21"/>
      <c r="I8" s="21"/>
      <c r="J8" s="21">
        <f>J5</f>
        <v>0</v>
      </c>
      <c r="K8" s="21"/>
      <c r="L8" s="21">
        <f>L5</f>
        <v>0</v>
      </c>
      <c r="M8" s="21">
        <f>M5</f>
        <v>0</v>
      </c>
      <c r="N8" s="21">
        <f>N5</f>
        <v>4311.4329400155893</v>
      </c>
      <c r="O8" s="21">
        <f>O5</f>
        <v>196.98000000000002</v>
      </c>
      <c r="P8" s="21">
        <f>P5</f>
        <v>972.4</v>
      </c>
    </row>
    <row r="9" spans="1:16">
      <c r="B9" s="19"/>
      <c r="C9" s="19"/>
      <c r="D9" s="258"/>
      <c r="E9" s="19"/>
      <c r="F9" s="19"/>
      <c r="G9" s="19"/>
      <c r="H9" s="19"/>
      <c r="I9" s="19"/>
      <c r="J9" s="19"/>
      <c r="K9" s="19"/>
      <c r="L9" s="19"/>
      <c r="M9" s="19"/>
      <c r="N9" s="19"/>
      <c r="O9" s="19"/>
      <c r="P9" s="19"/>
    </row>
    <row r="10" spans="1:16">
      <c r="A10" s="24" t="s">
        <v>214</v>
      </c>
      <c r="B10" s="25">
        <f ca="1">'EF ele_warmte'!B12</f>
        <v>0.21113453305224594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5928.1530161506353</v>
      </c>
      <c r="C12" s="23">
        <f ca="1">C10*C8</f>
        <v>0</v>
      </c>
      <c r="D12" s="23">
        <f>D8*D10</f>
        <v>6529.8385658651641</v>
      </c>
      <c r="E12" s="23">
        <f>E10*E8</f>
        <v>836.89302329956911</v>
      </c>
      <c r="F12" s="23">
        <f>F10*F8</f>
        <v>13053.304893121895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698</v>
      </c>
      <c r="B28" s="37">
        <f>aantalHuishoudens2011</f>
        <v>5061</v>
      </c>
      <c r="C28" s="36"/>
      <c r="D28" s="228"/>
    </row>
    <row r="29" spans="1:7" s="15" customFormat="1">
      <c r="A29" s="230" t="s">
        <v>699</v>
      </c>
      <c r="B29" s="37">
        <f>SUM(HH_hh_gas_aantal,HH_rest_gas_aantal)</f>
        <v>1851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1851</v>
      </c>
      <c r="C32" s="167">
        <f>IF(ISERROR(B32/SUM($B$32,$B$34,$B$35,$B$36,$B$38,$B$39)*100),0,B32/SUM($B$32,$B$34,$B$35,$B$36,$B$38,$B$39)*100)</f>
        <v>36.946107784431135</v>
      </c>
      <c r="D32" s="233"/>
      <c r="G32" s="15"/>
    </row>
    <row r="33" spans="1:7">
      <c r="A33" s="171" t="s">
        <v>72</v>
      </c>
      <c r="B33" s="34" t="s">
        <v>111</v>
      </c>
      <c r="C33" s="167"/>
      <c r="D33" s="233"/>
      <c r="G33" s="15"/>
    </row>
    <row r="34" spans="1:7">
      <c r="A34" s="171" t="s">
        <v>73</v>
      </c>
      <c r="B34" s="33">
        <f>IF((($B$28-$B$32-$B$39-$B$77-$B$38)*C20/100)&lt;0,0,($B$28-$B$32-$B$39-$B$77-$B$38)*C20/100)</f>
        <v>163.00166666666667</v>
      </c>
      <c r="C34" s="167">
        <f>IF(ISERROR(B34/SUM($B$32,$B$34,$B$35,$B$36,$B$38,$B$39)*100),0,B34/SUM($B$32,$B$34,$B$35,$B$36,$B$38,$B$39)*100)</f>
        <v>3.2535262807717893</v>
      </c>
      <c r="D34" s="233"/>
      <c r="G34" s="15"/>
    </row>
    <row r="35" spans="1:7">
      <c r="A35" s="171" t="s">
        <v>74</v>
      </c>
      <c r="B35" s="33">
        <f>IF((($B$28-$B$32-$B$39-$B$77-$B$38)*C21/100)&lt;0,0,($B$28-$B$32-$B$39-$B$77-$B$38)*C21/100)</f>
        <v>920.48000000000013</v>
      </c>
      <c r="C35" s="167">
        <f>IF(ISERROR(B35/SUM($B$32,$B$34,$B$35,$B$36,$B$38,$B$39)*100),0,B35/SUM($B$32,$B$34,$B$35,$B$36,$B$38,$B$39)*100)</f>
        <v>18.372854291417166</v>
      </c>
      <c r="D35" s="233"/>
      <c r="G35" s="15"/>
    </row>
    <row r="36" spans="1:7">
      <c r="A36" s="171" t="s">
        <v>75</v>
      </c>
      <c r="B36" s="33">
        <f>IF((($B$28-$B$32-$B$39-$B$77-$B$38)*C22/100)&lt;0,0,($B$28-$B$32-$B$39-$B$77-$B$38)*C22/100)</f>
        <v>67.118333333333339</v>
      </c>
      <c r="C36" s="167">
        <f>IF(ISERROR(B36/SUM($B$32,$B$34,$B$35,$B$36,$B$38,$B$39)*100),0,B36/SUM($B$32,$B$34,$B$35,$B$36,$B$38,$B$39)*100)</f>
        <v>1.3396872920825018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2008.3999999999999</v>
      </c>
      <c r="C39" s="167">
        <f>IF(ISERROR(B39/SUM($B$32,$B$34,$B$35,$B$36,$B$38,$B$39)*100),0,B39/SUM($B$32,$B$34,$B$35,$B$36,$B$38,$B$39)*100)</f>
        <v>40.0878243512974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1851</v>
      </c>
      <c r="C44" s="34" t="s">
        <v>111</v>
      </c>
      <c r="D44" s="174"/>
    </row>
    <row r="45" spans="1:7">
      <c r="A45" s="171" t="s">
        <v>72</v>
      </c>
      <c r="B45" s="33" t="str">
        <f t="shared" si="0"/>
        <v>-</v>
      </c>
      <c r="C45" s="34" t="s">
        <v>111</v>
      </c>
      <c r="D45" s="174"/>
    </row>
    <row r="46" spans="1:7">
      <c r="A46" s="171" t="s">
        <v>73</v>
      </c>
      <c r="B46" s="33">
        <f t="shared" si="0"/>
        <v>163.00166666666667</v>
      </c>
      <c r="C46" s="34" t="s">
        <v>111</v>
      </c>
      <c r="D46" s="174"/>
    </row>
    <row r="47" spans="1:7">
      <c r="A47" s="171" t="s">
        <v>74</v>
      </c>
      <c r="B47" s="33">
        <f t="shared" si="0"/>
        <v>920.48000000000013</v>
      </c>
      <c r="C47" s="34" t="s">
        <v>111</v>
      </c>
      <c r="D47" s="174"/>
    </row>
    <row r="48" spans="1:7">
      <c r="A48" s="171" t="s">
        <v>75</v>
      </c>
      <c r="B48" s="33">
        <f t="shared" si="0"/>
        <v>67.118333333333339</v>
      </c>
      <c r="C48" s="33">
        <f>B48*10</f>
        <v>671.18333333333339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2008.3999999999999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10935.21917541</v>
      </c>
      <c r="C5" s="17">
        <f>IF(ISERROR('Eigen informatie GS &amp; warmtenet'!B58),0,'Eigen informatie GS &amp; warmtenet'!B58)</f>
        <v>0</v>
      </c>
      <c r="D5" s="30">
        <f>SUM(D6:D12)</f>
        <v>8898.6566065375009</v>
      </c>
      <c r="E5" s="17">
        <f>SUM(E6:E12)</f>
        <v>194.42736229518471</v>
      </c>
      <c r="F5" s="17">
        <f>SUM(F6:F12)</f>
        <v>2960.7017422259269</v>
      </c>
      <c r="G5" s="18"/>
      <c r="H5" s="17"/>
      <c r="I5" s="17"/>
      <c r="J5" s="17">
        <f>SUM(J6:J12)</f>
        <v>0</v>
      </c>
      <c r="K5" s="17"/>
      <c r="L5" s="17"/>
      <c r="M5" s="17"/>
      <c r="N5" s="17">
        <f>SUM(N6:N12)</f>
        <v>973.52028755313427</v>
      </c>
      <c r="O5" s="17">
        <f>B38*B39*B40</f>
        <v>1.5633333333333335</v>
      </c>
      <c r="P5" s="17">
        <f>B46*B47*B48/1000-B46*B47*B48/1000/B49</f>
        <v>19.066666666666666</v>
      </c>
      <c r="R5" s="32"/>
    </row>
    <row r="6" spans="1:18">
      <c r="A6" s="32" t="s">
        <v>54</v>
      </c>
      <c r="B6" s="37">
        <f>B26</f>
        <v>3920.3126741999999</v>
      </c>
      <c r="C6" s="33"/>
      <c r="D6" s="37">
        <f>IF(ISERROR(TER_kantoor_gas_kWh/1000),0,TER_kantoor_gas_kWh/1000)*0.902</f>
        <v>2904.4481272004</v>
      </c>
      <c r="E6" s="33">
        <f>$C$26*'E Balans VL '!I12/100/3.6*1000000</f>
        <v>51.321722030250058</v>
      </c>
      <c r="F6" s="33">
        <f>$C$26*('E Balans VL '!L12+'E Balans VL '!N12)/100/3.6*1000000</f>
        <v>999.63922092310906</v>
      </c>
      <c r="G6" s="34"/>
      <c r="H6" s="33"/>
      <c r="I6" s="33"/>
      <c r="J6" s="33">
        <f>$C$26*('E Balans VL '!D12+'E Balans VL '!E12)/100/3.6*1000000</f>
        <v>0</v>
      </c>
      <c r="K6" s="33"/>
      <c r="L6" s="33"/>
      <c r="M6" s="33"/>
      <c r="N6" s="33">
        <f>$C$26*'E Balans VL '!Y12/100/3.6*1000000</f>
        <v>3.9335141171474084</v>
      </c>
      <c r="O6" s="33"/>
      <c r="P6" s="33"/>
      <c r="R6" s="32"/>
    </row>
    <row r="7" spans="1:18">
      <c r="A7" s="32" t="s">
        <v>53</v>
      </c>
      <c r="B7" s="37">
        <f t="shared" ref="B7:B12" si="0">B27</f>
        <v>1495.458644</v>
      </c>
      <c r="C7" s="33"/>
      <c r="D7" s="37">
        <f>IF(ISERROR(TER_horeca_gas_kWh/1000),0,TER_horeca_gas_kWh/1000)*0.902</f>
        <v>1249.9838681461999</v>
      </c>
      <c r="E7" s="33">
        <f>$C$27*'E Balans VL '!I9/100/3.6*1000000</f>
        <v>49.490584546621548</v>
      </c>
      <c r="F7" s="33">
        <f>$C$27*('E Balans VL '!L9+'E Balans VL '!N9)/100/3.6*1000000</f>
        <v>643.0414856282548</v>
      </c>
      <c r="G7" s="34"/>
      <c r="H7" s="33"/>
      <c r="I7" s="33"/>
      <c r="J7" s="33">
        <f>$C$27*('E Balans VL '!D9+'E Balans VL '!E9)/100/3.6*1000000</f>
        <v>0</v>
      </c>
      <c r="K7" s="33"/>
      <c r="L7" s="33"/>
      <c r="M7" s="33"/>
      <c r="N7" s="33">
        <f>$C$27*'E Balans VL '!Y9/100/3.6*1000000</f>
        <v>0.35997861205349241</v>
      </c>
      <c r="O7" s="33"/>
      <c r="P7" s="33"/>
      <c r="R7" s="32"/>
    </row>
    <row r="8" spans="1:18">
      <c r="A8" s="6" t="s">
        <v>52</v>
      </c>
      <c r="B8" s="37">
        <f t="shared" si="0"/>
        <v>1677.5911532</v>
      </c>
      <c r="C8" s="33"/>
      <c r="D8" s="37">
        <f>IF(ISERROR(TER_handel_gas_kWh/1000),0,TER_handel_gas_kWh/1000)*0.902</f>
        <v>96.071358491239991</v>
      </c>
      <c r="E8" s="33">
        <f>$C$28*'E Balans VL '!I13/100/3.6*1000000</f>
        <v>52.947340077973905</v>
      </c>
      <c r="F8" s="33">
        <f>$C$28*('E Balans VL '!L13+'E Balans VL '!N13)/100/3.6*1000000</f>
        <v>329.00516568868818</v>
      </c>
      <c r="G8" s="34"/>
      <c r="H8" s="33"/>
      <c r="I8" s="33"/>
      <c r="J8" s="33">
        <f>$C$28*('E Balans VL '!D13+'E Balans VL '!E13)/100/3.6*1000000</f>
        <v>0</v>
      </c>
      <c r="K8" s="33"/>
      <c r="L8" s="33"/>
      <c r="M8" s="33"/>
      <c r="N8" s="33">
        <f>$C$28*'E Balans VL '!Y13/100/3.6*1000000</f>
        <v>1.9909749985244551</v>
      </c>
      <c r="O8" s="33"/>
      <c r="P8" s="33"/>
      <c r="R8" s="32"/>
    </row>
    <row r="9" spans="1:18">
      <c r="A9" s="32" t="s">
        <v>51</v>
      </c>
      <c r="B9" s="37">
        <f t="shared" si="0"/>
        <v>401.17829044000001</v>
      </c>
      <c r="C9" s="33"/>
      <c r="D9" s="37">
        <f>IF(ISERROR(TER_gezond_gas_kWh/1000),0,TER_gezond_gas_kWh/1000)*0.902</f>
        <v>332.18428698246004</v>
      </c>
      <c r="E9" s="33">
        <f>$C$29*'E Balans VL '!I10/100/3.6*1000000</f>
        <v>5.1362557386802302E-2</v>
      </c>
      <c r="F9" s="33">
        <f>$C$29*('E Balans VL '!L10+'E Balans VL '!N10)/100/3.6*1000000</f>
        <v>83.58225282178077</v>
      </c>
      <c r="G9" s="34"/>
      <c r="H9" s="33"/>
      <c r="I9" s="33"/>
      <c r="J9" s="33">
        <f>$C$29*('E Balans VL '!D10+'E Balans VL '!E10)/100/3.6*1000000</f>
        <v>0</v>
      </c>
      <c r="K9" s="33"/>
      <c r="L9" s="33"/>
      <c r="M9" s="33"/>
      <c r="N9" s="33">
        <f>$C$29*'E Balans VL '!Y10/100/3.6*1000000</f>
        <v>4.7120286430066454</v>
      </c>
      <c r="O9" s="33"/>
      <c r="P9" s="33"/>
      <c r="R9" s="32"/>
    </row>
    <row r="10" spans="1:18">
      <c r="A10" s="32" t="s">
        <v>50</v>
      </c>
      <c r="B10" s="37">
        <f t="shared" si="0"/>
        <v>974.76449473000002</v>
      </c>
      <c r="C10" s="33"/>
      <c r="D10" s="37">
        <f>IF(ISERROR(TER_ander_gas_kWh/1000),0,TER_ander_gas_kWh/1000)*0.902</f>
        <v>182.05066194832</v>
      </c>
      <c r="E10" s="33">
        <f>$C$30*'E Balans VL '!I14/100/3.6*1000000</f>
        <v>1.4658165690084326</v>
      </c>
      <c r="F10" s="33">
        <f>$C$30*('E Balans VL '!L14+'E Balans VL '!N14)/100/3.6*1000000</f>
        <v>215.19657929573856</v>
      </c>
      <c r="G10" s="34"/>
      <c r="H10" s="33"/>
      <c r="I10" s="33"/>
      <c r="J10" s="33">
        <f>$C$30*('E Balans VL '!D14+'E Balans VL '!E14)/100/3.6*1000000</f>
        <v>0</v>
      </c>
      <c r="K10" s="33"/>
      <c r="L10" s="33"/>
      <c r="M10" s="33"/>
      <c r="N10" s="33">
        <f>$C$30*'E Balans VL '!Y14/100/3.6*1000000</f>
        <v>768.18002102440005</v>
      </c>
      <c r="O10" s="33"/>
      <c r="P10" s="33"/>
      <c r="R10" s="32"/>
    </row>
    <row r="11" spans="1:18">
      <c r="A11" s="32" t="s">
        <v>55</v>
      </c>
      <c r="B11" s="37">
        <f t="shared" si="0"/>
        <v>269.20103223999996</v>
      </c>
      <c r="C11" s="33"/>
      <c r="D11" s="37">
        <f>IF(ISERROR(TER_onderwijs_gas_kWh/1000),0,TER_onderwijs_gas_kWh/1000)*0.902</f>
        <v>423.01909997908001</v>
      </c>
      <c r="E11" s="33">
        <f>$C$31*'E Balans VL '!I11/100/3.6*1000000</f>
        <v>0.47408557674316348</v>
      </c>
      <c r="F11" s="33">
        <f>$C$31*('E Balans VL '!L11+'E Balans VL '!N11)/100/3.6*1000000</f>
        <v>124.2949877698298</v>
      </c>
      <c r="G11" s="34"/>
      <c r="H11" s="33"/>
      <c r="I11" s="33"/>
      <c r="J11" s="33">
        <f>$C$31*('E Balans VL '!D11+'E Balans VL '!E11)/100/3.6*1000000</f>
        <v>0</v>
      </c>
      <c r="K11" s="33"/>
      <c r="L11" s="33"/>
      <c r="M11" s="33"/>
      <c r="N11" s="33">
        <f>$C$31*'E Balans VL '!Y11/100/3.6*1000000</f>
        <v>0.50152524578462354</v>
      </c>
      <c r="O11" s="33"/>
      <c r="P11" s="33"/>
      <c r="R11" s="32"/>
    </row>
    <row r="12" spans="1:18">
      <c r="A12" s="32" t="s">
        <v>260</v>
      </c>
      <c r="B12" s="37">
        <f t="shared" si="0"/>
        <v>2196.7128865999998</v>
      </c>
      <c r="C12" s="33"/>
      <c r="D12" s="37">
        <f>IF(ISERROR(TER_rest_gas_kWh/1000),0,TER_rest_gas_kWh/1000)*0.902</f>
        <v>3710.8992037898006</v>
      </c>
      <c r="E12" s="33">
        <f>$C$32*'E Balans VL '!I8/100/3.6*1000000</f>
        <v>38.676450937200784</v>
      </c>
      <c r="F12" s="33">
        <f>$C$32*('E Balans VL '!L8+'E Balans VL '!N8)/100/3.6*1000000</f>
        <v>565.94205009852556</v>
      </c>
      <c r="G12" s="34"/>
      <c r="H12" s="33"/>
      <c r="I12" s="33"/>
      <c r="J12" s="33">
        <f>$C$32*('E Balans VL '!D8+'E Balans VL '!E8)/100/3.6*1000000</f>
        <v>0</v>
      </c>
      <c r="K12" s="33"/>
      <c r="L12" s="33"/>
      <c r="M12" s="33"/>
      <c r="N12" s="33">
        <f>$C$32*'E Balans VL '!Y8/100/3.6*1000000</f>
        <v>193.84224491221772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10935.21917541</v>
      </c>
      <c r="C16" s="21">
        <f t="shared" ca="1" si="1"/>
        <v>0</v>
      </c>
      <c r="D16" s="21">
        <f t="shared" ca="1" si="1"/>
        <v>8898.6566065375009</v>
      </c>
      <c r="E16" s="21">
        <f t="shared" si="1"/>
        <v>194.42736229518471</v>
      </c>
      <c r="F16" s="21">
        <f t="shared" ca="1" si="1"/>
        <v>2960.7017422259269</v>
      </c>
      <c r="G16" s="21">
        <f t="shared" si="1"/>
        <v>0</v>
      </c>
      <c r="H16" s="21">
        <f t="shared" si="1"/>
        <v>0</v>
      </c>
      <c r="I16" s="21">
        <f t="shared" si="1"/>
        <v>0</v>
      </c>
      <c r="J16" s="21">
        <f t="shared" si="1"/>
        <v>0</v>
      </c>
      <c r="K16" s="21">
        <f t="shared" si="1"/>
        <v>0</v>
      </c>
      <c r="L16" s="21">
        <f t="shared" ca="1" si="1"/>
        <v>0</v>
      </c>
      <c r="M16" s="21">
        <f t="shared" si="1"/>
        <v>0</v>
      </c>
      <c r="N16" s="21">
        <f t="shared" ca="1" si="1"/>
        <v>973.52028755313427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0.21113453305224594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2308.8023944241563</v>
      </c>
      <c r="C20" s="23">
        <f t="shared" ref="C20:P20" ca="1" si="2">C16*C18</f>
        <v>0</v>
      </c>
      <c r="D20" s="23">
        <f t="shared" ca="1" si="2"/>
        <v>1797.5286345205752</v>
      </c>
      <c r="E20" s="23">
        <f t="shared" si="2"/>
        <v>44.135011241006929</v>
      </c>
      <c r="F20" s="23">
        <f t="shared" ca="1" si="2"/>
        <v>790.50736517432256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3920.3126741999999</v>
      </c>
      <c r="C26" s="39">
        <f>IF(ISERROR(B26*3.6/1000000/'E Balans VL '!Z12*100),0,B26*3.6/1000000/'E Balans VL '!Z12*100)</f>
        <v>8.3976143053687433E-2</v>
      </c>
      <c r="D26" s="237" t="s">
        <v>660</v>
      </c>
      <c r="F26" s="6"/>
    </row>
    <row r="27" spans="1:18">
      <c r="A27" s="231" t="s">
        <v>53</v>
      </c>
      <c r="B27" s="33">
        <f>IF(ISERROR(TER_horeca_ele_kWh/1000),0,TER_horeca_ele_kWh/1000)</f>
        <v>1495.458644</v>
      </c>
      <c r="C27" s="39">
        <f>IF(ISERROR(B27*3.6/1000000/'E Balans VL '!Z9*100),0,B27*3.6/1000000/'E Balans VL '!Z9*100)</f>
        <v>0.12000535801981195</v>
      </c>
      <c r="D27" s="237" t="s">
        <v>660</v>
      </c>
      <c r="F27" s="6"/>
    </row>
    <row r="28" spans="1:18">
      <c r="A28" s="171" t="s">
        <v>52</v>
      </c>
      <c r="B28" s="33">
        <f>IF(ISERROR(TER_handel_ele_kWh/1000),0,TER_handel_ele_kWh/1000)</f>
        <v>1677.5911532</v>
      </c>
      <c r="C28" s="39">
        <f>IF(ISERROR(B28*3.6/1000000/'E Balans VL '!Z13*100),0,B28*3.6/1000000/'E Balans VL '!Z13*100)</f>
        <v>4.9479316740346779E-2</v>
      </c>
      <c r="D28" s="237" t="s">
        <v>660</v>
      </c>
      <c r="F28" s="6"/>
    </row>
    <row r="29" spans="1:18">
      <c r="A29" s="231" t="s">
        <v>51</v>
      </c>
      <c r="B29" s="33">
        <f>IF(ISERROR(TER_gezond_ele_kWh/1000),0,TER_gezond_ele_kWh/1000)</f>
        <v>401.17829044000001</v>
      </c>
      <c r="C29" s="39">
        <f>IF(ISERROR(B29*3.6/1000000/'E Balans VL '!Z10*100),0,B29*3.6/1000000/'E Balans VL '!Z10*100)</f>
        <v>4.2835085425678869E-2</v>
      </c>
      <c r="D29" s="237" t="s">
        <v>660</v>
      </c>
      <c r="F29" s="6"/>
    </row>
    <row r="30" spans="1:18">
      <c r="A30" s="231" t="s">
        <v>50</v>
      </c>
      <c r="B30" s="33">
        <f>IF(ISERROR(TER_ander_ele_kWh/1000),0,TER_ander_ele_kWh/1000)</f>
        <v>974.76449473000002</v>
      </c>
      <c r="C30" s="39">
        <f>IF(ISERROR(B30*3.6/1000000/'E Balans VL '!Z14*100),0,B30*3.6/1000000/'E Balans VL '!Z14*100)</f>
        <v>7.3627790032729165E-2</v>
      </c>
      <c r="D30" s="237" t="s">
        <v>660</v>
      </c>
      <c r="F30" s="6"/>
    </row>
    <row r="31" spans="1:18">
      <c r="A31" s="231" t="s">
        <v>55</v>
      </c>
      <c r="B31" s="33">
        <f>IF(ISERROR(TER_onderwijs_ele_kWh/1000),0,TER_onderwijs_ele_kWh/1000)</f>
        <v>269.20103223999996</v>
      </c>
      <c r="C31" s="39">
        <f>IF(ISERROR(B31*3.6/1000000/'E Balans VL '!Z11*100),0,B31*3.6/1000000/'E Balans VL '!Z11*100)</f>
        <v>5.4360675033966778E-2</v>
      </c>
      <c r="D31" s="237" t="s">
        <v>660</v>
      </c>
    </row>
    <row r="32" spans="1:18">
      <c r="A32" s="231" t="s">
        <v>260</v>
      </c>
      <c r="B32" s="33">
        <f>IF(ISERROR(TER_rest_ele_kWh/1000),0,TER_rest_ele_kWh/1000)</f>
        <v>2196.7128865999998</v>
      </c>
      <c r="C32" s="39">
        <f>IF(ISERROR(B32*3.6/1000000/'E Balans VL '!Z8*100),0,B32*3.6/1000000/'E Balans VL '!Z8*100)</f>
        <v>1.8213808730541316E-2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862.67708515999993</v>
      </c>
      <c r="C5" s="17">
        <f>IF(ISERROR('Eigen informatie GS &amp; warmtenet'!B59),0,'Eigen informatie GS &amp; warmtenet'!B59)</f>
        <v>0</v>
      </c>
      <c r="D5" s="30">
        <f>SUM(D6:D15)</f>
        <v>558.08253832914011</v>
      </c>
      <c r="E5" s="17">
        <f>SUM(E6:E15)</f>
        <v>141.09096163529225</v>
      </c>
      <c r="F5" s="17">
        <f>SUM(F6:F15)</f>
        <v>516.58780923641416</v>
      </c>
      <c r="G5" s="18"/>
      <c r="H5" s="17"/>
      <c r="I5" s="17"/>
      <c r="J5" s="17">
        <f>SUM(J6:J15)</f>
        <v>1.4138842888304559</v>
      </c>
      <c r="K5" s="17"/>
      <c r="L5" s="17"/>
      <c r="M5" s="17"/>
      <c r="N5" s="17">
        <f>SUM(N6:N15)</f>
        <v>248.82756844041427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41.826999999999998</v>
      </c>
      <c r="C8" s="33"/>
      <c r="D8" s="37">
        <f>IF( ISERROR(IND_metaal_Gas_kWH/1000),0,IND_metaal_Gas_kWH/1000)*0.902</f>
        <v>0</v>
      </c>
      <c r="E8" s="33">
        <f>C30*'E Balans VL '!I18/100/3.6*1000000</f>
        <v>1.5050619952525726</v>
      </c>
      <c r="F8" s="33">
        <f>C30*'E Balans VL '!L18/100/3.6*1000000+C30*'E Balans VL '!N18/100/3.6*1000000</f>
        <v>18.264495014539548</v>
      </c>
      <c r="G8" s="34"/>
      <c r="H8" s="33"/>
      <c r="I8" s="33"/>
      <c r="J8" s="40">
        <f>C30*'E Balans VL '!D18/100/3.6*1000000+C30*'E Balans VL '!E18/100/3.6*1000000</f>
        <v>0</v>
      </c>
      <c r="K8" s="33"/>
      <c r="L8" s="33"/>
      <c r="M8" s="33"/>
      <c r="N8" s="33">
        <f>C30*'E Balans VL '!Y18/100/3.6*1000000</f>
        <v>2.0963408155416561</v>
      </c>
      <c r="O8" s="33"/>
      <c r="P8" s="33"/>
      <c r="R8" s="32"/>
    </row>
    <row r="9" spans="1:18">
      <c r="A9" s="6" t="s">
        <v>33</v>
      </c>
      <c r="B9" s="37">
        <f t="shared" si="0"/>
        <v>494.81644144999996</v>
      </c>
      <c r="C9" s="33"/>
      <c r="D9" s="37">
        <f>IF( ISERROR(IND_andere_gas_kWh/1000),0,IND_andere_gas_kWh/1000)*0.902</f>
        <v>251.32003210049999</v>
      </c>
      <c r="E9" s="33">
        <f>C31*'E Balans VL '!I19/100/3.6*1000000</f>
        <v>126.26596032247689</v>
      </c>
      <c r="F9" s="33">
        <f>C31*'E Balans VL '!L19/100/3.6*1000000+C31*'E Balans VL '!N19/100/3.6*1000000</f>
        <v>425.99976423881577</v>
      </c>
      <c r="G9" s="34"/>
      <c r="H9" s="33"/>
      <c r="I9" s="33"/>
      <c r="J9" s="40">
        <f>C31*'E Balans VL '!D19/100/3.6*1000000+C31*'E Balans VL '!E19/100/3.6*1000000</f>
        <v>0</v>
      </c>
      <c r="K9" s="33"/>
      <c r="L9" s="33"/>
      <c r="M9" s="33"/>
      <c r="N9" s="33">
        <f>C31*'E Balans VL '!Y19/100/3.6*1000000</f>
        <v>154.74604693474714</v>
      </c>
      <c r="O9" s="33"/>
      <c r="P9" s="33"/>
      <c r="R9" s="32"/>
    </row>
    <row r="10" spans="1:18">
      <c r="A10" s="6" t="s">
        <v>41</v>
      </c>
      <c r="B10" s="37">
        <f t="shared" si="0"/>
        <v>151.63323212999998</v>
      </c>
      <c r="C10" s="33"/>
      <c r="D10" s="37">
        <f>IF( ISERROR(IND_voed_gas_kWh/1000),0,IND_voed_gas_kWh/1000)*0.902</f>
        <v>0</v>
      </c>
      <c r="E10" s="33">
        <f>C32*'E Balans VL '!I20/100/3.6*1000000</f>
        <v>3.8547249702347299</v>
      </c>
      <c r="F10" s="33">
        <f>C32*'E Balans VL '!L20/100/3.6*1000000+C32*'E Balans VL '!N20/100/3.6*1000000</f>
        <v>34.312324219904148</v>
      </c>
      <c r="G10" s="34"/>
      <c r="H10" s="33"/>
      <c r="I10" s="33"/>
      <c r="J10" s="40">
        <f>C32*'E Balans VL '!D20/100/3.6*1000000+C32*'E Balans VL '!E20/100/3.6*1000000</f>
        <v>0</v>
      </c>
      <c r="K10" s="33"/>
      <c r="L10" s="33"/>
      <c r="M10" s="33"/>
      <c r="N10" s="33">
        <f>C32*'E Balans VL '!Y20/100/3.6*1000000</f>
        <v>56.866572229175318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174.40041158000002</v>
      </c>
      <c r="C15" s="33"/>
      <c r="D15" s="37">
        <f>IF( ISERROR(IND_rest_gas_kWh/1000),0,IND_rest_gas_kWh/1000)*0.902</f>
        <v>306.76250622864006</v>
      </c>
      <c r="E15" s="33">
        <f>C37*'E Balans VL '!I15/100/3.6*1000000</f>
        <v>9.4652143473280415</v>
      </c>
      <c r="F15" s="33">
        <f>C37*'E Balans VL '!L15/100/3.6*1000000+C37*'E Balans VL '!N15/100/3.6*1000000</f>
        <v>38.011225763154748</v>
      </c>
      <c r="G15" s="34"/>
      <c r="H15" s="33"/>
      <c r="I15" s="33"/>
      <c r="J15" s="40">
        <f>C37*'E Balans VL '!D15/100/3.6*1000000+C37*'E Balans VL '!E15/100/3.6*1000000</f>
        <v>1.4138842888304559</v>
      </c>
      <c r="K15" s="33"/>
      <c r="L15" s="33"/>
      <c r="M15" s="33"/>
      <c r="N15" s="33">
        <f>C37*'E Balans VL '!Y15/100/3.6*1000000</f>
        <v>35.118608460950171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862.67708515999993</v>
      </c>
      <c r="C18" s="21">
        <f>C5+C16</f>
        <v>0</v>
      </c>
      <c r="D18" s="21">
        <f>MAX((D5+D16),0)</f>
        <v>558.08253832914011</v>
      </c>
      <c r="E18" s="21">
        <f>MAX((E5+E16),0)</f>
        <v>141.09096163529225</v>
      </c>
      <c r="F18" s="21">
        <f>MAX((F5+F16),0)</f>
        <v>516.58780923641416</v>
      </c>
      <c r="G18" s="21"/>
      <c r="H18" s="21"/>
      <c r="I18" s="21"/>
      <c r="J18" s="21">
        <f>MAX((J5+J16),0)</f>
        <v>1.4138842888304559</v>
      </c>
      <c r="K18" s="21"/>
      <c r="L18" s="21">
        <f>MAX((L5+L16),0)</f>
        <v>0</v>
      </c>
      <c r="M18" s="21"/>
      <c r="N18" s="21">
        <f>MAX((N5+N16),0)</f>
        <v>248.82756844041427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0.21113453305224594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182.1409235501292</v>
      </c>
      <c r="C22" s="23">
        <f ca="1">C18*C20</f>
        <v>0</v>
      </c>
      <c r="D22" s="23">
        <f>D18*D20</f>
        <v>112.73267274248632</v>
      </c>
      <c r="E22" s="23">
        <f>E18*E20</f>
        <v>32.027648291211342</v>
      </c>
      <c r="F22" s="23">
        <f>F18*F20</f>
        <v>137.92894506612259</v>
      </c>
      <c r="G22" s="23"/>
      <c r="H22" s="23"/>
      <c r="I22" s="23"/>
      <c r="J22" s="23">
        <f>J18*J20</f>
        <v>0.50051503824598131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41.826999999999998</v>
      </c>
      <c r="C30" s="39">
        <f>IF(ISERROR(B30*3.6/1000000/'E Balans VL '!Z18*100),0,B30*3.6/1000000/'E Balans VL '!Z18*100)</f>
        <v>8.8622445527542608E-3</v>
      </c>
      <c r="D30" s="237" t="s">
        <v>660</v>
      </c>
    </row>
    <row r="31" spans="1:18">
      <c r="A31" s="6" t="s">
        <v>33</v>
      </c>
      <c r="B31" s="37">
        <f>IF( ISERROR(IND_ander_ele_kWh/1000),0,IND_ander_ele_kWh/1000)</f>
        <v>494.81644144999996</v>
      </c>
      <c r="C31" s="39">
        <f>IF(ISERROR(B31*3.6/1000000/'E Balans VL '!Z19*100),0,B31*3.6/1000000/'E Balans VL '!Z19*100)</f>
        <v>2.0827947583072919E-2</v>
      </c>
      <c r="D31" s="237" t="s">
        <v>660</v>
      </c>
    </row>
    <row r="32" spans="1:18">
      <c r="A32" s="171" t="s">
        <v>41</v>
      </c>
      <c r="B32" s="37">
        <f>IF( ISERROR(IND_voed_ele_kWh/1000),0,IND_voed_ele_kWh/1000)</f>
        <v>151.63323212999998</v>
      </c>
      <c r="C32" s="39">
        <f>IF(ISERROR(B32*3.6/1000000/'E Balans VL '!Z20*100),0,B32*3.6/1000000/'E Balans VL '!Z20*100)</f>
        <v>2.5332047039343962E-2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174.40041158000002</v>
      </c>
      <c r="C37" s="39">
        <f>IF(ISERROR(B37*3.6/1000000/'E Balans VL '!Z15*100),0,B37*3.6/1000000/'E Balans VL '!Z15*100)</f>
        <v>1.4080020536198997E-3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50.467406522699996</v>
      </c>
      <c r="C5" s="17">
        <f>'Eigen informatie GS &amp; warmtenet'!B60</f>
        <v>0</v>
      </c>
      <c r="D5" s="30">
        <f>IF(ISERROR(SUM(LB_lb_gas_kWh,LB_rest_gas_kWh)/1000),0,SUM(LB_lb_gas_kWh,LB_rest_gas_kWh)/1000)*0.902</f>
        <v>118.87895638674</v>
      </c>
      <c r="E5" s="17">
        <f>B17*'E Balans VL '!I25/3.6*1000000/100</f>
        <v>1.3013606417823391</v>
      </c>
      <c r="F5" s="17">
        <f>B17*('E Balans VL '!L25/3.6*1000000+'E Balans VL '!N25/3.6*1000000)/100</f>
        <v>184.46798189116336</v>
      </c>
      <c r="G5" s="18"/>
      <c r="H5" s="17"/>
      <c r="I5" s="17"/>
      <c r="J5" s="17">
        <f>('E Balans VL '!D25+'E Balans VL '!E25)/3.6*1000000*landbouw!B17/100</f>
        <v>7.2654500120916294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50.467406522699996</v>
      </c>
      <c r="C8" s="21">
        <f>C5+C6</f>
        <v>0</v>
      </c>
      <c r="D8" s="21">
        <f>MAX((D5+D6),0)</f>
        <v>118.87895638674</v>
      </c>
      <c r="E8" s="21">
        <f>MAX((E5+E6),0)</f>
        <v>1.3013606417823391</v>
      </c>
      <c r="F8" s="21">
        <f>MAX((F5+F6),0)</f>
        <v>184.46798189116336</v>
      </c>
      <c r="G8" s="21"/>
      <c r="H8" s="21"/>
      <c r="I8" s="21"/>
      <c r="J8" s="21">
        <f>MAX((J5+J6),0)</f>
        <v>7.2654500120916294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0.21113453305224594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10.655412310528135</v>
      </c>
      <c r="C12" s="23">
        <f ca="1">C8*C10</f>
        <v>0</v>
      </c>
      <c r="D12" s="23">
        <f>D8*D10</f>
        <v>24.013549190121481</v>
      </c>
      <c r="E12" s="23">
        <f>E8*E10</f>
        <v>0.29540886568459102</v>
      </c>
      <c r="F12" s="23">
        <f>F8*F10</f>
        <v>49.252951164940619</v>
      </c>
      <c r="G12" s="23"/>
      <c r="H12" s="23"/>
      <c r="I12" s="23"/>
      <c r="J12" s="23">
        <f>J8*J10</f>
        <v>2.5719693042804366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7.116238608305795E-3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23.030889805150014</v>
      </c>
      <c r="C26" s="247">
        <f>B26*'GWP N2O_CH4'!B5</f>
        <v>483.6486859081503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3.9728412198701788</v>
      </c>
      <c r="C27" s="247">
        <f>B27*'GWP N2O_CH4'!B5</f>
        <v>83.429665617273756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0.2627541167113297</v>
      </c>
      <c r="C28" s="247">
        <f>B28*'GWP N2O_CH4'!B4</f>
        <v>81.453776180512207</v>
      </c>
      <c r="D28" s="50"/>
    </row>
    <row r="29" spans="1:4">
      <c r="A29" s="41" t="s">
        <v>277</v>
      </c>
      <c r="B29" s="247">
        <f>B34*'ha_N2O bodem landbouw'!B4</f>
        <v>1.592403319058397</v>
      </c>
      <c r="C29" s="247">
        <f>B29*'GWP N2O_CH4'!B4</f>
        <v>493.64502890810309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3.5837728050171035E-4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4.4170571744155972E-5</v>
      </c>
      <c r="C5" s="463" t="s">
        <v>211</v>
      </c>
      <c r="D5" s="448">
        <f>SUM(D6:D11)</f>
        <v>1.5468892345432421E-4</v>
      </c>
      <c r="E5" s="448">
        <f>SUM(E6:E11)</f>
        <v>5.6326683298581627E-4</v>
      </c>
      <c r="F5" s="461" t="s">
        <v>211</v>
      </c>
      <c r="G5" s="448">
        <f>SUM(G6:G11)</f>
        <v>0.1410072611082907</v>
      </c>
      <c r="H5" s="448">
        <f>SUM(H6:H11)</f>
        <v>4.0620592215664567E-2</v>
      </c>
      <c r="I5" s="463" t="s">
        <v>211</v>
      </c>
      <c r="J5" s="463" t="s">
        <v>211</v>
      </c>
      <c r="K5" s="463" t="s">
        <v>211</v>
      </c>
      <c r="L5" s="463" t="s">
        <v>211</v>
      </c>
      <c r="M5" s="448">
        <f>SUM(M6:M11)</f>
        <v>5.659899404717162E-3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4.6736242608954709E-7</v>
      </c>
      <c r="C6" s="449"/>
      <c r="D6" s="892">
        <f>vkm_2011_GW_PW*SUMIFS(TableVerdeelsleutelVkm[CNG],TableVerdeelsleutelVkm[Voertuigtype],"Lichte voertuigen")*SUMIFS(TableECFTransport[EnergieConsumptieFactor (PJ per km)],TableECFTransport[Index],CONCATENATE($A6,"_CNG_CNG"))</f>
        <v>9.2865732720997258E-7</v>
      </c>
      <c r="E6" s="892">
        <f>vkm_2011_GW_PW*SUMIFS(TableVerdeelsleutelVkm[LPG],TableVerdeelsleutelVkm[Voertuigtype],"Lichte voertuigen")*SUMIFS(TableECFTransport[EnergieConsumptieFactor (PJ per km)],TableECFTransport[Index],CONCATENATE($A6,"_LPG_LPG"))</f>
        <v>3.6545994812674738E-6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8.6893836002511333E-4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2.514154765137775E-4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3.491126009641077E-5</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6.8047976857289849E-5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2.1982403092693701E-8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2.144087632192484E-6</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4.3703209318066425E-5</v>
      </c>
      <c r="C8" s="449"/>
      <c r="D8" s="451">
        <f>vkm_2011_NGW_PW*SUMIFS(TableVerdeelsleutelVkm[CNG],TableVerdeelsleutelVkm[Voertuigtype],"Lichte voertuigen")*SUMIFS(TableECFTransport[EnergieConsumptieFactor (PJ per km)],TableECFTransport[Index],CONCATENATE($A8,"_CNG_CNG"))</f>
        <v>1.5376026612711423E-4</v>
      </c>
      <c r="E8" s="451">
        <f>vkm_2011_NGW_PW*SUMIFS(TableVerdeelsleutelVkm[LPG],TableVerdeelsleutelVkm[Voertuigtype],"Lichte voertuigen")*SUMIFS(TableECFTransport[EnergieConsumptieFactor (PJ per km)],TableECFTransport[Index],CONCATENATE($A8,"_LPG_LPG"))</f>
        <v>5.5961223350454883E-4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0.12424964711063388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4.0364321420852563E-2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5.1243686063599013E-3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1.5820627660774397E-2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4.8333358951352494E-6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4.9847545062865761E-4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12.269603262265548</v>
      </c>
      <c r="C14" s="21"/>
      <c r="D14" s="21">
        <f t="shared" ref="D14:M14" si="0">((D5)*10^9/3600)+D12</f>
        <v>42.969145403978942</v>
      </c>
      <c r="E14" s="21">
        <f t="shared" si="0"/>
        <v>156.46300916272673</v>
      </c>
      <c r="F14" s="21"/>
      <c r="G14" s="21">
        <f t="shared" si="0"/>
        <v>39168.683641191863</v>
      </c>
      <c r="H14" s="21">
        <f t="shared" si="0"/>
        <v>11283.497837684601</v>
      </c>
      <c r="I14" s="21"/>
      <c r="J14" s="21"/>
      <c r="K14" s="21"/>
      <c r="L14" s="21"/>
      <c r="M14" s="21">
        <f t="shared" si="0"/>
        <v>1572.1942790881005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0.21113453305224594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2.5905369555147502</v>
      </c>
      <c r="C18" s="23"/>
      <c r="D18" s="23">
        <f t="shared" ref="D18:M18" si="1">D14*D16</f>
        <v>8.6797673716037469</v>
      </c>
      <c r="E18" s="23">
        <f t="shared" si="1"/>
        <v>35.51710307993897</v>
      </c>
      <c r="F18" s="23"/>
      <c r="G18" s="23">
        <f t="shared" si="1"/>
        <v>10458.038532198228</v>
      </c>
      <c r="H18" s="23">
        <f t="shared" si="1"/>
        <v>2809.5909615834657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4.8322464482913677E-3</v>
      </c>
      <c r="H50" s="321">
        <f t="shared" si="2"/>
        <v>0</v>
      </c>
      <c r="I50" s="321">
        <f t="shared" si="2"/>
        <v>0</v>
      </c>
      <c r="J50" s="321">
        <f t="shared" si="2"/>
        <v>0</v>
      </c>
      <c r="K50" s="321">
        <f t="shared" si="2"/>
        <v>0</v>
      </c>
      <c r="L50" s="321">
        <f t="shared" si="2"/>
        <v>0</v>
      </c>
      <c r="M50" s="321">
        <f t="shared" si="2"/>
        <v>1.4988547421079869E-4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4.8322464482913677E-3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1.4988547421079869E-4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1342.2906800809355</v>
      </c>
      <c r="H54" s="21">
        <f t="shared" si="3"/>
        <v>0</v>
      </c>
      <c r="I54" s="21">
        <f t="shared" si="3"/>
        <v>0</v>
      </c>
      <c r="J54" s="21">
        <f t="shared" si="3"/>
        <v>0</v>
      </c>
      <c r="K54" s="21">
        <f t="shared" si="3"/>
        <v>0</v>
      </c>
      <c r="L54" s="21">
        <f t="shared" si="3"/>
        <v>0</v>
      </c>
      <c r="M54" s="21">
        <f t="shared" si="3"/>
        <v>41.634853947444078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0.21113453305224594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358.39161158160982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11943.961175410001</v>
      </c>
      <c r="D10" s="1012">
        <f ca="1">tertiair!C16</f>
        <v>0</v>
      </c>
      <c r="E10" s="1012">
        <f ca="1">tertiair!D16</f>
        <v>8898.6566065375009</v>
      </c>
      <c r="F10" s="1012">
        <f>tertiair!E16</f>
        <v>194.42736229518471</v>
      </c>
      <c r="G10" s="1012">
        <f ca="1">tertiair!F16</f>
        <v>2960.7017422259269</v>
      </c>
      <c r="H10" s="1012">
        <f>tertiair!G16</f>
        <v>0</v>
      </c>
      <c r="I10" s="1012">
        <f>tertiair!H16</f>
        <v>0</v>
      </c>
      <c r="J10" s="1012">
        <f>tertiair!I16</f>
        <v>0</v>
      </c>
      <c r="K10" s="1012">
        <f>tertiair!J16</f>
        <v>0</v>
      </c>
      <c r="L10" s="1012">
        <f>tertiair!K16</f>
        <v>0</v>
      </c>
      <c r="M10" s="1012">
        <f ca="1">tertiair!L16</f>
        <v>0</v>
      </c>
      <c r="N10" s="1012">
        <f>tertiair!M16</f>
        <v>0</v>
      </c>
      <c r="O10" s="1012">
        <f ca="1">tertiair!N16</f>
        <v>973.52028755313427</v>
      </c>
      <c r="P10" s="1012">
        <f>tertiair!O16</f>
        <v>1.5633333333333335</v>
      </c>
      <c r="Q10" s="1013">
        <f>tertiair!P16</f>
        <v>19.066666666666666</v>
      </c>
      <c r="R10" s="700">
        <f ca="1">SUM(C10:Q10)</f>
        <v>24991.897174021746</v>
      </c>
      <c r="S10" s="67"/>
    </row>
    <row r="11" spans="1:19" s="473" customFormat="1">
      <c r="A11" s="809" t="s">
        <v>225</v>
      </c>
      <c r="B11" s="814"/>
      <c r="C11" s="1012">
        <f>huishoudens!B8</f>
        <v>28077.609713820213</v>
      </c>
      <c r="D11" s="1012">
        <f>huishoudens!C8</f>
        <v>0</v>
      </c>
      <c r="E11" s="1012">
        <f>huishoudens!D8</f>
        <v>32325.933494381999</v>
      </c>
      <c r="F11" s="1012">
        <f>huishoudens!E8</f>
        <v>3686.7534066060311</v>
      </c>
      <c r="G11" s="1012">
        <f>huishoudens!F8</f>
        <v>48888.782371243047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4311.4329400155893</v>
      </c>
      <c r="P11" s="1012">
        <f>huishoudens!O8</f>
        <v>196.98000000000002</v>
      </c>
      <c r="Q11" s="1013">
        <f>huishoudens!P8</f>
        <v>972.4</v>
      </c>
      <c r="R11" s="700">
        <f>SUM(C11:Q11)</f>
        <v>118459.89192606686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862.67708515999993</v>
      </c>
      <c r="D13" s="1012">
        <f>industrie!C18</f>
        <v>0</v>
      </c>
      <c r="E13" s="1012">
        <f>industrie!D18</f>
        <v>558.08253832914011</v>
      </c>
      <c r="F13" s="1012">
        <f>industrie!E18</f>
        <v>141.09096163529225</v>
      </c>
      <c r="G13" s="1012">
        <f>industrie!F18</f>
        <v>516.58780923641416</v>
      </c>
      <c r="H13" s="1012">
        <f>industrie!G18</f>
        <v>0</v>
      </c>
      <c r="I13" s="1012">
        <f>industrie!H18</f>
        <v>0</v>
      </c>
      <c r="J13" s="1012">
        <f>industrie!I18</f>
        <v>0</v>
      </c>
      <c r="K13" s="1012">
        <f>industrie!J18</f>
        <v>1.4138842888304559</v>
      </c>
      <c r="L13" s="1012">
        <f>industrie!K18</f>
        <v>0</v>
      </c>
      <c r="M13" s="1012">
        <f>industrie!L18</f>
        <v>0</v>
      </c>
      <c r="N13" s="1012">
        <f>industrie!M18</f>
        <v>0</v>
      </c>
      <c r="O13" s="1012">
        <f>industrie!N18</f>
        <v>248.82756844041427</v>
      </c>
      <c r="P13" s="1012">
        <f>industrie!O18</f>
        <v>0</v>
      </c>
      <c r="Q13" s="1013">
        <f>industrie!P18</f>
        <v>0</v>
      </c>
      <c r="R13" s="700">
        <f>SUM(C13:Q13)</f>
        <v>2328.6798470900912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40884.247974390215</v>
      </c>
      <c r="D16" s="732">
        <f t="shared" ref="D16:R16" ca="1" si="0">SUM(D9:D15)</f>
        <v>0</v>
      </c>
      <c r="E16" s="732">
        <f t="shared" ca="1" si="0"/>
        <v>41782.672639248638</v>
      </c>
      <c r="F16" s="732">
        <f t="shared" si="0"/>
        <v>4022.2717305365081</v>
      </c>
      <c r="G16" s="732">
        <f t="shared" ca="1" si="0"/>
        <v>52366.071922705392</v>
      </c>
      <c r="H16" s="732">
        <f t="shared" si="0"/>
        <v>0</v>
      </c>
      <c r="I16" s="732">
        <f t="shared" si="0"/>
        <v>0</v>
      </c>
      <c r="J16" s="732">
        <f t="shared" si="0"/>
        <v>0</v>
      </c>
      <c r="K16" s="732">
        <f t="shared" si="0"/>
        <v>1.4138842888304559</v>
      </c>
      <c r="L16" s="732">
        <f t="shared" si="0"/>
        <v>0</v>
      </c>
      <c r="M16" s="732">
        <f t="shared" ca="1" si="0"/>
        <v>0</v>
      </c>
      <c r="N16" s="732">
        <f t="shared" si="0"/>
        <v>0</v>
      </c>
      <c r="O16" s="732">
        <f t="shared" ca="1" si="0"/>
        <v>5533.7807960091377</v>
      </c>
      <c r="P16" s="732">
        <f t="shared" si="0"/>
        <v>198.54333333333335</v>
      </c>
      <c r="Q16" s="732">
        <f t="shared" si="0"/>
        <v>991.4666666666667</v>
      </c>
      <c r="R16" s="732">
        <f t="shared" ca="1" si="0"/>
        <v>145780.46894717871</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1342.2906800809355</v>
      </c>
      <c r="I19" s="1012">
        <f>transport!H54</f>
        <v>0</v>
      </c>
      <c r="J19" s="1012">
        <f>transport!I54</f>
        <v>0</v>
      </c>
      <c r="K19" s="1012">
        <f>transport!J54</f>
        <v>0</v>
      </c>
      <c r="L19" s="1012">
        <f>transport!K54</f>
        <v>0</v>
      </c>
      <c r="M19" s="1012">
        <f>transport!L54</f>
        <v>0</v>
      </c>
      <c r="N19" s="1012">
        <f>transport!M54</f>
        <v>41.634853947444078</v>
      </c>
      <c r="O19" s="1012">
        <f>transport!N54</f>
        <v>0</v>
      </c>
      <c r="P19" s="1012">
        <f>transport!O54</f>
        <v>0</v>
      </c>
      <c r="Q19" s="1013">
        <f>transport!P54</f>
        <v>0</v>
      </c>
      <c r="R19" s="700">
        <f>SUM(C19:Q19)</f>
        <v>1383.9255340283796</v>
      </c>
      <c r="S19" s="67"/>
    </row>
    <row r="20" spans="1:19" s="473" customFormat="1">
      <c r="A20" s="809" t="s">
        <v>307</v>
      </c>
      <c r="B20" s="814"/>
      <c r="C20" s="1012">
        <f>transport!B14</f>
        <v>12.269603262265548</v>
      </c>
      <c r="D20" s="1012">
        <f>transport!C14</f>
        <v>0</v>
      </c>
      <c r="E20" s="1012">
        <f>transport!D14</f>
        <v>42.969145403978942</v>
      </c>
      <c r="F20" s="1012">
        <f>transport!E14</f>
        <v>156.46300916272673</v>
      </c>
      <c r="G20" s="1012">
        <f>transport!F14</f>
        <v>0</v>
      </c>
      <c r="H20" s="1012">
        <f>transport!G14</f>
        <v>39168.683641191863</v>
      </c>
      <c r="I20" s="1012">
        <f>transport!H14</f>
        <v>11283.497837684601</v>
      </c>
      <c r="J20" s="1012">
        <f>transport!I14</f>
        <v>0</v>
      </c>
      <c r="K20" s="1012">
        <f>transport!J14</f>
        <v>0</v>
      </c>
      <c r="L20" s="1012">
        <f>transport!K14</f>
        <v>0</v>
      </c>
      <c r="M20" s="1012">
        <f>transport!L14</f>
        <v>0</v>
      </c>
      <c r="N20" s="1012">
        <f>transport!M14</f>
        <v>1572.1942790881005</v>
      </c>
      <c r="O20" s="1012">
        <f>transport!N14</f>
        <v>0</v>
      </c>
      <c r="P20" s="1012">
        <f>transport!O14</f>
        <v>0</v>
      </c>
      <c r="Q20" s="1013">
        <f>transport!P14</f>
        <v>0</v>
      </c>
      <c r="R20" s="700">
        <f>SUM(C20:Q20)</f>
        <v>52236.077515793542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12.269603262265548</v>
      </c>
      <c r="D22" s="812">
        <f t="shared" ref="D22:R22" si="1">SUM(D18:D21)</f>
        <v>0</v>
      </c>
      <c r="E22" s="812">
        <f t="shared" si="1"/>
        <v>42.969145403978942</v>
      </c>
      <c r="F22" s="812">
        <f t="shared" si="1"/>
        <v>156.46300916272673</v>
      </c>
      <c r="G22" s="812">
        <f t="shared" si="1"/>
        <v>0</v>
      </c>
      <c r="H22" s="812">
        <f t="shared" si="1"/>
        <v>40510.974321272799</v>
      </c>
      <c r="I22" s="812">
        <f t="shared" si="1"/>
        <v>11283.497837684601</v>
      </c>
      <c r="J22" s="812">
        <f t="shared" si="1"/>
        <v>0</v>
      </c>
      <c r="K22" s="812">
        <f t="shared" si="1"/>
        <v>0</v>
      </c>
      <c r="L22" s="812">
        <f t="shared" si="1"/>
        <v>0</v>
      </c>
      <c r="M22" s="812">
        <f t="shared" si="1"/>
        <v>0</v>
      </c>
      <c r="N22" s="812">
        <f t="shared" si="1"/>
        <v>1613.8291330355446</v>
      </c>
      <c r="O22" s="812">
        <f t="shared" si="1"/>
        <v>0</v>
      </c>
      <c r="P22" s="812">
        <f t="shared" si="1"/>
        <v>0</v>
      </c>
      <c r="Q22" s="812">
        <f t="shared" si="1"/>
        <v>0</v>
      </c>
      <c r="R22" s="812">
        <f t="shared" si="1"/>
        <v>53620.00304982192</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50.467406522699996</v>
      </c>
      <c r="D24" s="1012">
        <f>+landbouw!C8</f>
        <v>0</v>
      </c>
      <c r="E24" s="1012">
        <f>+landbouw!D8</f>
        <v>118.87895638674</v>
      </c>
      <c r="F24" s="1012">
        <f>+landbouw!E8</f>
        <v>1.3013606417823391</v>
      </c>
      <c r="G24" s="1012">
        <f>+landbouw!F8</f>
        <v>184.46798189116336</v>
      </c>
      <c r="H24" s="1012">
        <f>+landbouw!G8</f>
        <v>0</v>
      </c>
      <c r="I24" s="1012">
        <f>+landbouw!H8</f>
        <v>0</v>
      </c>
      <c r="J24" s="1012">
        <f>+landbouw!I8</f>
        <v>0</v>
      </c>
      <c r="K24" s="1012">
        <f>+landbouw!J8</f>
        <v>7.2654500120916294</v>
      </c>
      <c r="L24" s="1012">
        <f>+landbouw!K8</f>
        <v>0</v>
      </c>
      <c r="M24" s="1012">
        <f>+landbouw!L8</f>
        <v>0</v>
      </c>
      <c r="N24" s="1012">
        <f>+landbouw!M8</f>
        <v>0</v>
      </c>
      <c r="O24" s="1012">
        <f>+landbouw!N8</f>
        <v>0</v>
      </c>
      <c r="P24" s="1012">
        <f>+landbouw!O8</f>
        <v>0</v>
      </c>
      <c r="Q24" s="1013">
        <f>+landbouw!P8</f>
        <v>0</v>
      </c>
      <c r="R24" s="700">
        <f>SUM(C24:Q24)</f>
        <v>362.38115545447727</v>
      </c>
      <c r="S24" s="67"/>
    </row>
    <row r="25" spans="1:19" s="473" customFormat="1" ht="15" thickBot="1">
      <c r="A25" s="831" t="s">
        <v>848</v>
      </c>
      <c r="B25" s="1015"/>
      <c r="C25" s="1016">
        <f>IF(Onbekend_ele_kWh="---",0,Onbekend_ele_kWh)/1000+IF(REST_rest_ele_kWh="---",0,REST_rest_ele_kWh)/1000</f>
        <v>1007.4526744999999</v>
      </c>
      <c r="D25" s="1016"/>
      <c r="E25" s="1016">
        <f>IF(onbekend_gas_kWh="---",0,onbekend_gas_kWh)/1000+IF(REST_rest_gas_kWh="---",0,REST_rest_gas_kWh)/1000</f>
        <v>3611.0230944</v>
      </c>
      <c r="F25" s="1016"/>
      <c r="G25" s="1016"/>
      <c r="H25" s="1016"/>
      <c r="I25" s="1016"/>
      <c r="J25" s="1016"/>
      <c r="K25" s="1016"/>
      <c r="L25" s="1016"/>
      <c r="M25" s="1016"/>
      <c r="N25" s="1016"/>
      <c r="O25" s="1016"/>
      <c r="P25" s="1016"/>
      <c r="Q25" s="1017"/>
      <c r="R25" s="700">
        <f>SUM(C25:Q25)</f>
        <v>4618.4757688999998</v>
      </c>
      <c r="S25" s="67"/>
    </row>
    <row r="26" spans="1:19" s="473" customFormat="1" ht="15.75" thickBot="1">
      <c r="A26" s="705" t="s">
        <v>849</v>
      </c>
      <c r="B26" s="817"/>
      <c r="C26" s="812">
        <f>SUM(C24:C25)</f>
        <v>1057.9200810226998</v>
      </c>
      <c r="D26" s="812">
        <f t="shared" ref="D26:R26" si="2">SUM(D24:D25)</f>
        <v>0</v>
      </c>
      <c r="E26" s="812">
        <f t="shared" si="2"/>
        <v>3729.9020507867399</v>
      </c>
      <c r="F26" s="812">
        <f t="shared" si="2"/>
        <v>1.3013606417823391</v>
      </c>
      <c r="G26" s="812">
        <f t="shared" si="2"/>
        <v>184.46798189116336</v>
      </c>
      <c r="H26" s="812">
        <f t="shared" si="2"/>
        <v>0</v>
      </c>
      <c r="I26" s="812">
        <f t="shared" si="2"/>
        <v>0</v>
      </c>
      <c r="J26" s="812">
        <f t="shared" si="2"/>
        <v>0</v>
      </c>
      <c r="K26" s="812">
        <f t="shared" si="2"/>
        <v>7.2654500120916294</v>
      </c>
      <c r="L26" s="812">
        <f t="shared" si="2"/>
        <v>0</v>
      </c>
      <c r="M26" s="812">
        <f t="shared" si="2"/>
        <v>0</v>
      </c>
      <c r="N26" s="812">
        <f t="shared" si="2"/>
        <v>0</v>
      </c>
      <c r="O26" s="812">
        <f t="shared" si="2"/>
        <v>0</v>
      </c>
      <c r="P26" s="812">
        <f t="shared" si="2"/>
        <v>0</v>
      </c>
      <c r="Q26" s="812">
        <f t="shared" si="2"/>
        <v>0</v>
      </c>
      <c r="R26" s="812">
        <f t="shared" si="2"/>
        <v>4980.8569243544771</v>
      </c>
      <c r="S26" s="67"/>
    </row>
    <row r="27" spans="1:19" s="473" customFormat="1" ht="17.25" thickTop="1" thickBot="1">
      <c r="A27" s="706" t="s">
        <v>116</v>
      </c>
      <c r="B27" s="805"/>
      <c r="C27" s="707">
        <f ca="1">C22+C16+C26</f>
        <v>41954.437658675175</v>
      </c>
      <c r="D27" s="707">
        <f t="shared" ref="D27:R27" ca="1" si="3">D22+D16+D26</f>
        <v>0</v>
      </c>
      <c r="E27" s="707">
        <f t="shared" ca="1" si="3"/>
        <v>45555.543835439355</v>
      </c>
      <c r="F27" s="707">
        <f t="shared" si="3"/>
        <v>4180.0361003410171</v>
      </c>
      <c r="G27" s="707">
        <f t="shared" ca="1" si="3"/>
        <v>52550.539904596553</v>
      </c>
      <c r="H27" s="707">
        <f t="shared" si="3"/>
        <v>40510.974321272799</v>
      </c>
      <c r="I27" s="707">
        <f t="shared" si="3"/>
        <v>11283.497837684601</v>
      </c>
      <c r="J27" s="707">
        <f t="shared" si="3"/>
        <v>0</v>
      </c>
      <c r="K27" s="707">
        <f t="shared" si="3"/>
        <v>8.6793343009220862</v>
      </c>
      <c r="L27" s="707">
        <f t="shared" si="3"/>
        <v>0</v>
      </c>
      <c r="M27" s="707">
        <f t="shared" ca="1" si="3"/>
        <v>0</v>
      </c>
      <c r="N27" s="707">
        <f t="shared" si="3"/>
        <v>1613.8291330355446</v>
      </c>
      <c r="O27" s="707">
        <f t="shared" ca="1" si="3"/>
        <v>5533.7807960091377</v>
      </c>
      <c r="P27" s="707">
        <f t="shared" si="3"/>
        <v>198.54333333333335</v>
      </c>
      <c r="Q27" s="707">
        <f t="shared" si="3"/>
        <v>991.4666666666667</v>
      </c>
      <c r="R27" s="707">
        <f t="shared" ca="1" si="3"/>
        <v>204381.3289213551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2521.7826655643448</v>
      </c>
      <c r="D40" s="1012">
        <f ca="1">tertiair!C20</f>
        <v>0</v>
      </c>
      <c r="E40" s="1012">
        <f ca="1">tertiair!D20</f>
        <v>1797.5286345205752</v>
      </c>
      <c r="F40" s="1012">
        <f>tertiair!E20</f>
        <v>44.135011241006929</v>
      </c>
      <c r="G40" s="1012">
        <f ca="1">tertiair!F20</f>
        <v>790.50736517432256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5153.9536765002495</v>
      </c>
    </row>
    <row r="41" spans="1:18">
      <c r="A41" s="822" t="s">
        <v>225</v>
      </c>
      <c r="B41" s="829"/>
      <c r="C41" s="1012">
        <f ca="1">huishoudens!B12</f>
        <v>5928.1530161506353</v>
      </c>
      <c r="D41" s="1012">
        <f ca="1">huishoudens!C12</f>
        <v>0</v>
      </c>
      <c r="E41" s="1012">
        <f>huishoudens!D12</f>
        <v>6529.8385658651641</v>
      </c>
      <c r="F41" s="1012">
        <f>huishoudens!E12</f>
        <v>836.89302329956911</v>
      </c>
      <c r="G41" s="1012">
        <f>huishoudens!F12</f>
        <v>13053.304893121895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26348.189498437263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182.1409235501292</v>
      </c>
      <c r="D43" s="1012">
        <f ca="1">industrie!C22</f>
        <v>0</v>
      </c>
      <c r="E43" s="1012">
        <f>industrie!D22</f>
        <v>112.73267274248632</v>
      </c>
      <c r="F43" s="1012">
        <f>industrie!E22</f>
        <v>32.027648291211342</v>
      </c>
      <c r="G43" s="1012">
        <f>industrie!F22</f>
        <v>137.92894506612259</v>
      </c>
      <c r="H43" s="1012">
        <f>industrie!G22</f>
        <v>0</v>
      </c>
      <c r="I43" s="1012">
        <f>industrie!H22</f>
        <v>0</v>
      </c>
      <c r="J43" s="1012">
        <f>industrie!I22</f>
        <v>0</v>
      </c>
      <c r="K43" s="1012">
        <f>industrie!J22</f>
        <v>0.50051503824598131</v>
      </c>
      <c r="L43" s="1012">
        <f>industrie!K22</f>
        <v>0</v>
      </c>
      <c r="M43" s="1012">
        <f>industrie!L22</f>
        <v>0</v>
      </c>
      <c r="N43" s="1012">
        <f>industrie!M22</f>
        <v>0</v>
      </c>
      <c r="O43" s="1012">
        <f>industrie!N22</f>
        <v>0</v>
      </c>
      <c r="P43" s="1012">
        <f>industrie!O22</f>
        <v>0</v>
      </c>
      <c r="Q43" s="774">
        <f>industrie!P22</f>
        <v>0</v>
      </c>
      <c r="R43" s="849">
        <f t="shared" ca="1" si="4"/>
        <v>465.3307046881954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8632.0766052651088</v>
      </c>
      <c r="D46" s="732">
        <f t="shared" ref="D46:Q46" ca="1" si="5">SUM(D39:D45)</f>
        <v>0</v>
      </c>
      <c r="E46" s="732">
        <f t="shared" ca="1" si="5"/>
        <v>8440.0998731282252</v>
      </c>
      <c r="F46" s="732">
        <f t="shared" si="5"/>
        <v>913.05568283178741</v>
      </c>
      <c r="G46" s="732">
        <f t="shared" ca="1" si="5"/>
        <v>13981.741203362339</v>
      </c>
      <c r="H46" s="732">
        <f t="shared" si="5"/>
        <v>0</v>
      </c>
      <c r="I46" s="732">
        <f t="shared" si="5"/>
        <v>0</v>
      </c>
      <c r="J46" s="732">
        <f t="shared" si="5"/>
        <v>0</v>
      </c>
      <c r="K46" s="732">
        <f t="shared" si="5"/>
        <v>0.50051503824598131</v>
      </c>
      <c r="L46" s="732">
        <f t="shared" si="5"/>
        <v>0</v>
      </c>
      <c r="M46" s="732">
        <f t="shared" ca="1" si="5"/>
        <v>0</v>
      </c>
      <c r="N46" s="732">
        <f t="shared" si="5"/>
        <v>0</v>
      </c>
      <c r="O46" s="732">
        <f t="shared" ca="1" si="5"/>
        <v>0</v>
      </c>
      <c r="P46" s="732">
        <f t="shared" si="5"/>
        <v>0</v>
      </c>
      <c r="Q46" s="732">
        <f t="shared" si="5"/>
        <v>0</v>
      </c>
      <c r="R46" s="732">
        <f ca="1">SUM(R39:R45)</f>
        <v>31967.473879625708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358.39161158160982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358.39161158160982</v>
      </c>
    </row>
    <row r="50" spans="1:18">
      <c r="A50" s="825" t="s">
        <v>307</v>
      </c>
      <c r="B50" s="835"/>
      <c r="C50" s="703">
        <f ca="1">transport!B18</f>
        <v>2.5905369555147502</v>
      </c>
      <c r="D50" s="703">
        <f>transport!C18</f>
        <v>0</v>
      </c>
      <c r="E50" s="703">
        <f>transport!D18</f>
        <v>8.6797673716037469</v>
      </c>
      <c r="F50" s="703">
        <f>transport!E18</f>
        <v>35.51710307993897</v>
      </c>
      <c r="G50" s="703">
        <f>transport!F18</f>
        <v>0</v>
      </c>
      <c r="H50" s="703">
        <f>transport!G18</f>
        <v>10458.038532198228</v>
      </c>
      <c r="I50" s="703">
        <f>transport!H18</f>
        <v>2809.5909615834657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13314.416901188752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2.5905369555147502</v>
      </c>
      <c r="D52" s="732">
        <f t="shared" ref="D52:Q52" ca="1" si="6">SUM(D48:D51)</f>
        <v>0</v>
      </c>
      <c r="E52" s="732">
        <f t="shared" si="6"/>
        <v>8.6797673716037469</v>
      </c>
      <c r="F52" s="732">
        <f t="shared" si="6"/>
        <v>35.51710307993897</v>
      </c>
      <c r="G52" s="732">
        <f t="shared" si="6"/>
        <v>0</v>
      </c>
      <c r="H52" s="732">
        <f t="shared" si="6"/>
        <v>10816.430143779839</v>
      </c>
      <c r="I52" s="732">
        <f t="shared" si="6"/>
        <v>2809.5909615834657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13672.808512770362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10.655412310528135</v>
      </c>
      <c r="D54" s="703">
        <f ca="1">+landbouw!C12</f>
        <v>0</v>
      </c>
      <c r="E54" s="703">
        <f>+landbouw!D12</f>
        <v>24.013549190121481</v>
      </c>
      <c r="F54" s="703">
        <f>+landbouw!E12</f>
        <v>0.29540886568459102</v>
      </c>
      <c r="G54" s="703">
        <f>+landbouw!F12</f>
        <v>49.252951164940619</v>
      </c>
      <c r="H54" s="703">
        <f>+landbouw!G12</f>
        <v>0</v>
      </c>
      <c r="I54" s="703">
        <f>+landbouw!H12</f>
        <v>0</v>
      </c>
      <c r="J54" s="703">
        <f>+landbouw!I12</f>
        <v>0</v>
      </c>
      <c r="K54" s="703">
        <f>+landbouw!J12</f>
        <v>2.5719693042804366</v>
      </c>
      <c r="L54" s="703">
        <f>+landbouw!K12</f>
        <v>0</v>
      </c>
      <c r="M54" s="703">
        <f>+landbouw!L12</f>
        <v>0</v>
      </c>
      <c r="N54" s="703">
        <f>+landbouw!M12</f>
        <v>0</v>
      </c>
      <c r="O54" s="703">
        <f>+landbouw!N12</f>
        <v>0</v>
      </c>
      <c r="P54" s="703">
        <f>+landbouw!O12</f>
        <v>0</v>
      </c>
      <c r="Q54" s="704">
        <f>+landbouw!P12</f>
        <v>0</v>
      </c>
      <c r="R54" s="731">
        <f ca="1">SUM(C54:Q54)</f>
        <v>86.789290835555249</v>
      </c>
    </row>
    <row r="55" spans="1:18" ht="15" thickBot="1">
      <c r="A55" s="825" t="s">
        <v>848</v>
      </c>
      <c r="B55" s="835"/>
      <c r="C55" s="703">
        <f ca="1">C25*'EF ele_warmte'!B12</f>
        <v>212.70805000279381</v>
      </c>
      <c r="D55" s="703"/>
      <c r="E55" s="703">
        <f>E25*EF_CO2_aardgas</f>
        <v>729.42666506880005</v>
      </c>
      <c r="F55" s="703"/>
      <c r="G55" s="703"/>
      <c r="H55" s="703"/>
      <c r="I55" s="703"/>
      <c r="J55" s="703"/>
      <c r="K55" s="703"/>
      <c r="L55" s="703"/>
      <c r="M55" s="703"/>
      <c r="N55" s="703"/>
      <c r="O55" s="703"/>
      <c r="P55" s="703"/>
      <c r="Q55" s="704"/>
      <c r="R55" s="731">
        <f ca="1">SUM(C55:Q55)</f>
        <v>942.13471507159386</v>
      </c>
    </row>
    <row r="56" spans="1:18" ht="15.75" thickBot="1">
      <c r="A56" s="823" t="s">
        <v>849</v>
      </c>
      <c r="B56" s="836"/>
      <c r="C56" s="732">
        <f ca="1">SUM(C54:C55)</f>
        <v>223.36346231332195</v>
      </c>
      <c r="D56" s="732">
        <f t="shared" ref="D56:Q56" ca="1" si="7">SUM(D54:D55)</f>
        <v>0</v>
      </c>
      <c r="E56" s="732">
        <f t="shared" si="7"/>
        <v>753.44021425892151</v>
      </c>
      <c r="F56" s="732">
        <f t="shared" si="7"/>
        <v>0.29540886568459102</v>
      </c>
      <c r="G56" s="732">
        <f t="shared" si="7"/>
        <v>49.252951164940619</v>
      </c>
      <c r="H56" s="732">
        <f t="shared" si="7"/>
        <v>0</v>
      </c>
      <c r="I56" s="732">
        <f t="shared" si="7"/>
        <v>0</v>
      </c>
      <c r="J56" s="732">
        <f t="shared" si="7"/>
        <v>0</v>
      </c>
      <c r="K56" s="732">
        <f t="shared" si="7"/>
        <v>2.5719693042804366</v>
      </c>
      <c r="L56" s="732">
        <f t="shared" si="7"/>
        <v>0</v>
      </c>
      <c r="M56" s="732">
        <f t="shared" si="7"/>
        <v>0</v>
      </c>
      <c r="N56" s="732">
        <f t="shared" si="7"/>
        <v>0</v>
      </c>
      <c r="O56" s="732">
        <f t="shared" si="7"/>
        <v>0</v>
      </c>
      <c r="P56" s="732">
        <f t="shared" si="7"/>
        <v>0</v>
      </c>
      <c r="Q56" s="733">
        <f t="shared" si="7"/>
        <v>0</v>
      </c>
      <c r="R56" s="734">
        <f ca="1">SUM(R54:R55)</f>
        <v>1028.9240059071492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8858.0306045339457</v>
      </c>
      <c r="D61" s="740">
        <f t="shared" ref="D61:Q61" ca="1" si="8">D46+D52+D56</f>
        <v>0</v>
      </c>
      <c r="E61" s="740">
        <f t="shared" ca="1" si="8"/>
        <v>9202.2198547587504</v>
      </c>
      <c r="F61" s="740">
        <f t="shared" si="8"/>
        <v>948.86819477741096</v>
      </c>
      <c r="G61" s="740">
        <f t="shared" ca="1" si="8"/>
        <v>14030.99415452728</v>
      </c>
      <c r="H61" s="740">
        <f t="shared" si="8"/>
        <v>10816.430143779839</v>
      </c>
      <c r="I61" s="740">
        <f t="shared" si="8"/>
        <v>2809.5909615834657</v>
      </c>
      <c r="J61" s="740">
        <f t="shared" si="8"/>
        <v>0</v>
      </c>
      <c r="K61" s="740">
        <f t="shared" si="8"/>
        <v>3.0724843425264181</v>
      </c>
      <c r="L61" s="740">
        <f t="shared" si="8"/>
        <v>0</v>
      </c>
      <c r="M61" s="740">
        <f t="shared" ca="1" si="8"/>
        <v>0</v>
      </c>
      <c r="N61" s="740">
        <f t="shared" si="8"/>
        <v>0</v>
      </c>
      <c r="O61" s="740">
        <f t="shared" ca="1" si="8"/>
        <v>0</v>
      </c>
      <c r="P61" s="740">
        <f t="shared" si="8"/>
        <v>0</v>
      </c>
      <c r="Q61" s="740">
        <f t="shared" si="8"/>
        <v>0</v>
      </c>
      <c r="R61" s="740">
        <f ca="1">R46+R52+R56</f>
        <v>46669.20639830322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0.21113453305224594</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1872.8512128202174</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1872.8512128202174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1872.8512128202174</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1872.8512128202174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28077.609713820213</v>
      </c>
      <c r="C4" s="477">
        <f>huishoudens!C8</f>
        <v>0</v>
      </c>
      <c r="D4" s="477">
        <f>huishoudens!D8</f>
        <v>32325.933494381999</v>
      </c>
      <c r="E4" s="477">
        <f>huishoudens!E8</f>
        <v>3686.7534066060311</v>
      </c>
      <c r="F4" s="477">
        <f>huishoudens!F8</f>
        <v>48888.782371243047</v>
      </c>
      <c r="G4" s="477">
        <f>huishoudens!G8</f>
        <v>0</v>
      </c>
      <c r="H4" s="477">
        <f>huishoudens!H8</f>
        <v>0</v>
      </c>
      <c r="I4" s="477">
        <f>huishoudens!I8</f>
        <v>0</v>
      </c>
      <c r="J4" s="477">
        <f>huishoudens!J8</f>
        <v>0</v>
      </c>
      <c r="K4" s="477">
        <f>huishoudens!K8</f>
        <v>0</v>
      </c>
      <c r="L4" s="477">
        <f>huishoudens!L8</f>
        <v>0</v>
      </c>
      <c r="M4" s="477">
        <f>huishoudens!M8</f>
        <v>0</v>
      </c>
      <c r="N4" s="477">
        <f>huishoudens!N8</f>
        <v>4311.4329400155893</v>
      </c>
      <c r="O4" s="477">
        <f>huishoudens!O8</f>
        <v>196.98000000000002</v>
      </c>
      <c r="P4" s="478">
        <f>huishoudens!P8</f>
        <v>972.4</v>
      </c>
      <c r="Q4" s="479">
        <f>SUM(B4:P4)</f>
        <v>118459.89192606686</v>
      </c>
    </row>
    <row r="5" spans="1:17">
      <c r="A5" s="476" t="s">
        <v>156</v>
      </c>
      <c r="B5" s="477">
        <f ca="1">tertiair!B16</f>
        <v>10935.21917541</v>
      </c>
      <c r="C5" s="477">
        <f ca="1">tertiair!C16</f>
        <v>0</v>
      </c>
      <c r="D5" s="477">
        <f ca="1">tertiair!D16</f>
        <v>8898.6566065375009</v>
      </c>
      <c r="E5" s="477">
        <f>tertiair!E16</f>
        <v>194.42736229518471</v>
      </c>
      <c r="F5" s="477">
        <f ca="1">tertiair!F16</f>
        <v>2960.7017422259269</v>
      </c>
      <c r="G5" s="477">
        <f>tertiair!G16</f>
        <v>0</v>
      </c>
      <c r="H5" s="477">
        <f>tertiair!H16</f>
        <v>0</v>
      </c>
      <c r="I5" s="477">
        <f>tertiair!I16</f>
        <v>0</v>
      </c>
      <c r="J5" s="477">
        <f>tertiair!J16</f>
        <v>0</v>
      </c>
      <c r="K5" s="477">
        <f>tertiair!K16</f>
        <v>0</v>
      </c>
      <c r="L5" s="477">
        <f ca="1">tertiair!L16</f>
        <v>0</v>
      </c>
      <c r="M5" s="477">
        <f>tertiair!M16</f>
        <v>0</v>
      </c>
      <c r="N5" s="477">
        <f ca="1">tertiair!N16</f>
        <v>973.52028755313427</v>
      </c>
      <c r="O5" s="477">
        <f>tertiair!O16</f>
        <v>1.5633333333333335</v>
      </c>
      <c r="P5" s="478">
        <f>tertiair!P16</f>
        <v>19.066666666666666</v>
      </c>
      <c r="Q5" s="476">
        <f t="shared" ref="Q5:Q14" ca="1" si="0">SUM(B5:P5)</f>
        <v>23983.155174021744</v>
      </c>
    </row>
    <row r="6" spans="1:17">
      <c r="A6" s="476" t="s">
        <v>194</v>
      </c>
      <c r="B6" s="477">
        <f>'openbare verlichting'!B8</f>
        <v>1008.742</v>
      </c>
      <c r="C6" s="477"/>
      <c r="D6" s="477"/>
      <c r="E6" s="477"/>
      <c r="F6" s="477"/>
      <c r="G6" s="477"/>
      <c r="H6" s="477"/>
      <c r="I6" s="477"/>
      <c r="J6" s="477"/>
      <c r="K6" s="477"/>
      <c r="L6" s="477"/>
      <c r="M6" s="477"/>
      <c r="N6" s="477"/>
      <c r="O6" s="477"/>
      <c r="P6" s="478"/>
      <c r="Q6" s="476">
        <f t="shared" si="0"/>
        <v>1008.742</v>
      </c>
    </row>
    <row r="7" spans="1:17">
      <c r="A7" s="476" t="s">
        <v>112</v>
      </c>
      <c r="B7" s="477">
        <f>landbouw!B8</f>
        <v>50.467406522699996</v>
      </c>
      <c r="C7" s="477">
        <f>landbouw!C8</f>
        <v>0</v>
      </c>
      <c r="D7" s="477">
        <f>landbouw!D8</f>
        <v>118.87895638674</v>
      </c>
      <c r="E7" s="477">
        <f>landbouw!E8</f>
        <v>1.3013606417823391</v>
      </c>
      <c r="F7" s="477">
        <f>landbouw!F8</f>
        <v>184.46798189116336</v>
      </c>
      <c r="G7" s="477">
        <f>landbouw!G8</f>
        <v>0</v>
      </c>
      <c r="H7" s="477">
        <f>landbouw!H8</f>
        <v>0</v>
      </c>
      <c r="I7" s="477">
        <f>landbouw!I8</f>
        <v>0</v>
      </c>
      <c r="J7" s="477">
        <f>landbouw!J8</f>
        <v>7.2654500120916294</v>
      </c>
      <c r="K7" s="477">
        <f>landbouw!K8</f>
        <v>0</v>
      </c>
      <c r="L7" s="477">
        <f>landbouw!L8</f>
        <v>0</v>
      </c>
      <c r="M7" s="477">
        <f>landbouw!M8</f>
        <v>0</v>
      </c>
      <c r="N7" s="477">
        <f>landbouw!N8</f>
        <v>0</v>
      </c>
      <c r="O7" s="477">
        <f>landbouw!O8</f>
        <v>0</v>
      </c>
      <c r="P7" s="478">
        <f>landbouw!P8</f>
        <v>0</v>
      </c>
      <c r="Q7" s="476">
        <f t="shared" si="0"/>
        <v>362.38115545447727</v>
      </c>
    </row>
    <row r="8" spans="1:17">
      <c r="A8" s="476" t="s">
        <v>638</v>
      </c>
      <c r="B8" s="477">
        <f>industrie!B18</f>
        <v>862.67708515999993</v>
      </c>
      <c r="C8" s="477">
        <f>industrie!C18</f>
        <v>0</v>
      </c>
      <c r="D8" s="477">
        <f>industrie!D18</f>
        <v>558.08253832914011</v>
      </c>
      <c r="E8" s="477">
        <f>industrie!E18</f>
        <v>141.09096163529225</v>
      </c>
      <c r="F8" s="477">
        <f>industrie!F18</f>
        <v>516.58780923641416</v>
      </c>
      <c r="G8" s="477">
        <f>industrie!G18</f>
        <v>0</v>
      </c>
      <c r="H8" s="477">
        <f>industrie!H18</f>
        <v>0</v>
      </c>
      <c r="I8" s="477">
        <f>industrie!I18</f>
        <v>0</v>
      </c>
      <c r="J8" s="477">
        <f>industrie!J18</f>
        <v>1.4138842888304559</v>
      </c>
      <c r="K8" s="477">
        <f>industrie!K18</f>
        <v>0</v>
      </c>
      <c r="L8" s="477">
        <f>industrie!L18</f>
        <v>0</v>
      </c>
      <c r="M8" s="477">
        <f>industrie!M18</f>
        <v>0</v>
      </c>
      <c r="N8" s="477">
        <f>industrie!N18</f>
        <v>248.82756844041427</v>
      </c>
      <c r="O8" s="477">
        <f>industrie!O18</f>
        <v>0</v>
      </c>
      <c r="P8" s="478">
        <f>industrie!P18</f>
        <v>0</v>
      </c>
      <c r="Q8" s="476">
        <f t="shared" si="0"/>
        <v>2328.6798470900912</v>
      </c>
    </row>
    <row r="9" spans="1:17" s="482" customFormat="1">
      <c r="A9" s="480" t="s">
        <v>564</v>
      </c>
      <c r="B9" s="481">
        <f>transport!B14</f>
        <v>12.269603262265548</v>
      </c>
      <c r="C9" s="481">
        <f>transport!C14</f>
        <v>0</v>
      </c>
      <c r="D9" s="481">
        <f>transport!D14</f>
        <v>42.969145403978942</v>
      </c>
      <c r="E9" s="481">
        <f>transport!E14</f>
        <v>156.46300916272673</v>
      </c>
      <c r="F9" s="481">
        <f>transport!F14</f>
        <v>0</v>
      </c>
      <c r="G9" s="481">
        <f>transport!G14</f>
        <v>39168.683641191863</v>
      </c>
      <c r="H9" s="481">
        <f>transport!H14</f>
        <v>11283.497837684601</v>
      </c>
      <c r="I9" s="481">
        <f>transport!I14</f>
        <v>0</v>
      </c>
      <c r="J9" s="481">
        <f>transport!J14</f>
        <v>0</v>
      </c>
      <c r="K9" s="481">
        <f>transport!K14</f>
        <v>0</v>
      </c>
      <c r="L9" s="481">
        <f>transport!L14</f>
        <v>0</v>
      </c>
      <c r="M9" s="481">
        <f>transport!M14</f>
        <v>1572.1942790881005</v>
      </c>
      <c r="N9" s="481">
        <f>transport!N14</f>
        <v>0</v>
      </c>
      <c r="O9" s="481">
        <f>transport!O14</f>
        <v>0</v>
      </c>
      <c r="P9" s="481">
        <f>transport!P14</f>
        <v>0</v>
      </c>
      <c r="Q9" s="480">
        <f>SUM(B9:P9)</f>
        <v>52236.077515793542</v>
      </c>
    </row>
    <row r="10" spans="1:17">
      <c r="A10" s="476" t="s">
        <v>554</v>
      </c>
      <c r="B10" s="477">
        <f>transport!B54</f>
        <v>0</v>
      </c>
      <c r="C10" s="477">
        <f>transport!C54</f>
        <v>0</v>
      </c>
      <c r="D10" s="477">
        <f>transport!D54</f>
        <v>0</v>
      </c>
      <c r="E10" s="477">
        <f>transport!E54</f>
        <v>0</v>
      </c>
      <c r="F10" s="477">
        <f>transport!F54</f>
        <v>0</v>
      </c>
      <c r="G10" s="477">
        <f>transport!G54</f>
        <v>1342.2906800809355</v>
      </c>
      <c r="H10" s="477">
        <f>transport!H54</f>
        <v>0</v>
      </c>
      <c r="I10" s="477">
        <f>transport!I54</f>
        <v>0</v>
      </c>
      <c r="J10" s="477">
        <f>transport!J54</f>
        <v>0</v>
      </c>
      <c r="K10" s="477">
        <f>transport!K54</f>
        <v>0</v>
      </c>
      <c r="L10" s="477">
        <f>transport!L54</f>
        <v>0</v>
      </c>
      <c r="M10" s="477">
        <f>transport!M54</f>
        <v>41.634853947444078</v>
      </c>
      <c r="N10" s="477">
        <f>transport!N54</f>
        <v>0</v>
      </c>
      <c r="O10" s="477">
        <f>transport!O54</f>
        <v>0</v>
      </c>
      <c r="P10" s="478">
        <f>transport!P54</f>
        <v>0</v>
      </c>
      <c r="Q10" s="476">
        <f t="shared" si="0"/>
        <v>1383.9255340283796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1007.4526744999999</v>
      </c>
      <c r="C14" s="484"/>
      <c r="D14" s="484">
        <f>'SEAP template'!E25</f>
        <v>3611.0230944</v>
      </c>
      <c r="E14" s="484"/>
      <c r="F14" s="484"/>
      <c r="G14" s="484"/>
      <c r="H14" s="484"/>
      <c r="I14" s="484"/>
      <c r="J14" s="484"/>
      <c r="K14" s="484"/>
      <c r="L14" s="484"/>
      <c r="M14" s="484"/>
      <c r="N14" s="484"/>
      <c r="O14" s="484"/>
      <c r="P14" s="485"/>
      <c r="Q14" s="476">
        <f t="shared" si="0"/>
        <v>4618.4757688999998</v>
      </c>
    </row>
    <row r="15" spans="1:17" s="486" customFormat="1">
      <c r="A15" s="1038" t="s">
        <v>558</v>
      </c>
      <c r="B15" s="978">
        <f ca="1">SUM(B4:B14)</f>
        <v>41954.437658675175</v>
      </c>
      <c r="C15" s="978">
        <f t="shared" ref="C15:Q15" ca="1" si="1">SUM(C4:C14)</f>
        <v>0</v>
      </c>
      <c r="D15" s="978">
        <f t="shared" ca="1" si="1"/>
        <v>45555.543835439355</v>
      </c>
      <c r="E15" s="978">
        <f t="shared" si="1"/>
        <v>4180.0361003410171</v>
      </c>
      <c r="F15" s="978">
        <f t="shared" ca="1" si="1"/>
        <v>52550.539904596553</v>
      </c>
      <c r="G15" s="978">
        <f t="shared" si="1"/>
        <v>40510.974321272799</v>
      </c>
      <c r="H15" s="978">
        <f t="shared" si="1"/>
        <v>11283.497837684601</v>
      </c>
      <c r="I15" s="978">
        <f t="shared" si="1"/>
        <v>0</v>
      </c>
      <c r="J15" s="978">
        <f t="shared" si="1"/>
        <v>8.6793343009220862</v>
      </c>
      <c r="K15" s="978">
        <f t="shared" si="1"/>
        <v>0</v>
      </c>
      <c r="L15" s="978">
        <f t="shared" ca="1" si="1"/>
        <v>0</v>
      </c>
      <c r="M15" s="978">
        <f t="shared" si="1"/>
        <v>1613.8291330355446</v>
      </c>
      <c r="N15" s="978">
        <f t="shared" ca="1" si="1"/>
        <v>5533.7807960091377</v>
      </c>
      <c r="O15" s="978">
        <f t="shared" si="1"/>
        <v>198.54333333333335</v>
      </c>
      <c r="P15" s="978">
        <f t="shared" si="1"/>
        <v>991.4666666666667</v>
      </c>
      <c r="Q15" s="978">
        <f t="shared" ca="1" si="1"/>
        <v>204381.32892135513</v>
      </c>
    </row>
    <row r="17" spans="1:17">
      <c r="A17" s="487" t="s">
        <v>559</v>
      </c>
      <c r="B17" s="786">
        <f ca="1">huishoudens!B10</f>
        <v>0.21113453305224594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5928.1530161506353</v>
      </c>
      <c r="C22" s="477">
        <f t="shared" ref="C22:C32" ca="1" si="3">C4*$C$17</f>
        <v>0</v>
      </c>
      <c r="D22" s="477">
        <f t="shared" ref="D22:D32" si="4">D4*$D$17</f>
        <v>6529.8385658651641</v>
      </c>
      <c r="E22" s="477">
        <f t="shared" ref="E22:E32" si="5">E4*$E$17</f>
        <v>836.89302329956911</v>
      </c>
      <c r="F22" s="477">
        <f t="shared" ref="F22:F32" si="6">F4*$F$17</f>
        <v>13053.304893121895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26348.189498437263</v>
      </c>
    </row>
    <row r="23" spans="1:17">
      <c r="A23" s="476" t="s">
        <v>156</v>
      </c>
      <c r="B23" s="477">
        <f t="shared" ca="1" si="2"/>
        <v>2308.8023944241563</v>
      </c>
      <c r="C23" s="477">
        <f t="shared" ca="1" si="3"/>
        <v>0</v>
      </c>
      <c r="D23" s="477">
        <f t="shared" ca="1" si="4"/>
        <v>1797.5286345205752</v>
      </c>
      <c r="E23" s="477">
        <f t="shared" si="5"/>
        <v>44.135011241006929</v>
      </c>
      <c r="F23" s="477">
        <f t="shared" ca="1" si="6"/>
        <v>790.50736517432256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4940.9734053600614</v>
      </c>
    </row>
    <row r="24" spans="1:17">
      <c r="A24" s="476" t="s">
        <v>194</v>
      </c>
      <c r="B24" s="477">
        <f t="shared" ca="1" si="2"/>
        <v>212.98027114018868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212.98027114018868</v>
      </c>
    </row>
    <row r="25" spans="1:17">
      <c r="A25" s="476" t="s">
        <v>112</v>
      </c>
      <c r="B25" s="477">
        <f t="shared" ca="1" si="2"/>
        <v>10.655412310528135</v>
      </c>
      <c r="C25" s="477">
        <f t="shared" ca="1" si="3"/>
        <v>0</v>
      </c>
      <c r="D25" s="477">
        <f t="shared" si="4"/>
        <v>24.013549190121481</v>
      </c>
      <c r="E25" s="477">
        <f t="shared" si="5"/>
        <v>0.29540886568459102</v>
      </c>
      <c r="F25" s="477">
        <f t="shared" si="6"/>
        <v>49.252951164940619</v>
      </c>
      <c r="G25" s="477">
        <f t="shared" si="7"/>
        <v>0</v>
      </c>
      <c r="H25" s="477">
        <f t="shared" si="8"/>
        <v>0</v>
      </c>
      <c r="I25" s="477">
        <f t="shared" si="9"/>
        <v>0</v>
      </c>
      <c r="J25" s="477">
        <f t="shared" si="10"/>
        <v>2.5719693042804366</v>
      </c>
      <c r="K25" s="477">
        <f t="shared" si="11"/>
        <v>0</v>
      </c>
      <c r="L25" s="477">
        <f t="shared" si="12"/>
        <v>0</v>
      </c>
      <c r="M25" s="477">
        <f t="shared" si="13"/>
        <v>0</v>
      </c>
      <c r="N25" s="477">
        <f t="shared" si="14"/>
        <v>0</v>
      </c>
      <c r="O25" s="477">
        <f t="shared" si="15"/>
        <v>0</v>
      </c>
      <c r="P25" s="478">
        <f t="shared" si="16"/>
        <v>0</v>
      </c>
      <c r="Q25" s="476">
        <f t="shared" ca="1" si="17"/>
        <v>86.789290835555249</v>
      </c>
    </row>
    <row r="26" spans="1:17">
      <c r="A26" s="476" t="s">
        <v>638</v>
      </c>
      <c r="B26" s="477">
        <f t="shared" ca="1" si="2"/>
        <v>182.1409235501292</v>
      </c>
      <c r="C26" s="477">
        <f t="shared" ca="1" si="3"/>
        <v>0</v>
      </c>
      <c r="D26" s="477">
        <f t="shared" si="4"/>
        <v>112.73267274248632</v>
      </c>
      <c r="E26" s="477">
        <f t="shared" si="5"/>
        <v>32.027648291211342</v>
      </c>
      <c r="F26" s="477">
        <f t="shared" si="6"/>
        <v>137.92894506612259</v>
      </c>
      <c r="G26" s="477">
        <f t="shared" si="7"/>
        <v>0</v>
      </c>
      <c r="H26" s="477">
        <f t="shared" si="8"/>
        <v>0</v>
      </c>
      <c r="I26" s="477">
        <f t="shared" si="9"/>
        <v>0</v>
      </c>
      <c r="J26" s="477">
        <f t="shared" si="10"/>
        <v>0.50051503824598131</v>
      </c>
      <c r="K26" s="477">
        <f t="shared" si="11"/>
        <v>0</v>
      </c>
      <c r="L26" s="477">
        <f t="shared" si="12"/>
        <v>0</v>
      </c>
      <c r="M26" s="477">
        <f t="shared" si="13"/>
        <v>0</v>
      </c>
      <c r="N26" s="477">
        <f t="shared" si="14"/>
        <v>0</v>
      </c>
      <c r="O26" s="477">
        <f t="shared" si="15"/>
        <v>0</v>
      </c>
      <c r="P26" s="478">
        <f t="shared" si="16"/>
        <v>0</v>
      </c>
      <c r="Q26" s="476">
        <f t="shared" ca="1" si="17"/>
        <v>465.3307046881954</v>
      </c>
    </row>
    <row r="27" spans="1:17" s="482" customFormat="1">
      <c r="A27" s="480" t="s">
        <v>564</v>
      </c>
      <c r="B27" s="780">
        <f t="shared" ca="1" si="2"/>
        <v>2.5905369555147502</v>
      </c>
      <c r="C27" s="481">
        <f t="shared" ca="1" si="3"/>
        <v>0</v>
      </c>
      <c r="D27" s="481">
        <f t="shared" si="4"/>
        <v>8.6797673716037469</v>
      </c>
      <c r="E27" s="481">
        <f t="shared" si="5"/>
        <v>35.51710307993897</v>
      </c>
      <c r="F27" s="481">
        <f t="shared" si="6"/>
        <v>0</v>
      </c>
      <c r="G27" s="481">
        <f t="shared" si="7"/>
        <v>10458.038532198228</v>
      </c>
      <c r="H27" s="481">
        <f t="shared" si="8"/>
        <v>2809.5909615834657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13314.416901188752</v>
      </c>
    </row>
    <row r="28" spans="1:17">
      <c r="A28" s="476" t="s">
        <v>554</v>
      </c>
      <c r="B28" s="477">
        <f t="shared" ca="1" si="2"/>
        <v>0</v>
      </c>
      <c r="C28" s="477">
        <f t="shared" ca="1" si="3"/>
        <v>0</v>
      </c>
      <c r="D28" s="477">
        <f t="shared" si="4"/>
        <v>0</v>
      </c>
      <c r="E28" s="477">
        <f t="shared" si="5"/>
        <v>0</v>
      </c>
      <c r="F28" s="477">
        <f t="shared" si="6"/>
        <v>0</v>
      </c>
      <c r="G28" s="477">
        <f t="shared" si="7"/>
        <v>358.39161158160982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358.39161158160982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212.70805000279381</v>
      </c>
      <c r="C32" s="477">
        <f t="shared" ca="1" si="3"/>
        <v>0</v>
      </c>
      <c r="D32" s="477">
        <f t="shared" si="4"/>
        <v>729.42666506880005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942.13471507159386</v>
      </c>
    </row>
    <row r="33" spans="1:17" s="486" customFormat="1">
      <c r="A33" s="1038" t="s">
        <v>558</v>
      </c>
      <c r="B33" s="978">
        <f ca="1">SUM(B22:B32)</f>
        <v>8858.0306045339457</v>
      </c>
      <c r="C33" s="978">
        <f t="shared" ref="C33:Q33" ca="1" si="18">SUM(C22:C32)</f>
        <v>0</v>
      </c>
      <c r="D33" s="978">
        <f t="shared" ca="1" si="18"/>
        <v>9202.2198547587523</v>
      </c>
      <c r="E33" s="978">
        <f t="shared" si="18"/>
        <v>948.86819477741096</v>
      </c>
      <c r="F33" s="978">
        <f t="shared" ca="1" si="18"/>
        <v>14030.99415452728</v>
      </c>
      <c r="G33" s="978">
        <f t="shared" si="18"/>
        <v>10816.430143779839</v>
      </c>
      <c r="H33" s="978">
        <f t="shared" si="18"/>
        <v>2809.5909615834657</v>
      </c>
      <c r="I33" s="978">
        <f t="shared" si="18"/>
        <v>0</v>
      </c>
      <c r="J33" s="978">
        <f t="shared" si="18"/>
        <v>3.0724843425264181</v>
      </c>
      <c r="K33" s="978">
        <f t="shared" si="18"/>
        <v>0</v>
      </c>
      <c r="L33" s="978">
        <f t="shared" ca="1" si="18"/>
        <v>0</v>
      </c>
      <c r="M33" s="978">
        <f t="shared" si="18"/>
        <v>0</v>
      </c>
      <c r="N33" s="978">
        <f t="shared" ca="1" si="18"/>
        <v>0</v>
      </c>
      <c r="O33" s="978">
        <f t="shared" si="18"/>
        <v>0</v>
      </c>
      <c r="P33" s="978">
        <f t="shared" si="18"/>
        <v>0</v>
      </c>
      <c r="Q33" s="978">
        <f t="shared" ca="1" si="18"/>
        <v>46669.206398303228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1872.8512128202174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1872.8512128202174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0.21113453305224594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0.21113453305224594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2019-06-29T16:56:13Z</dcterms:modified>
</cp:coreProperties>
</file>