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I19"/>
  <c r="I89" i="14" s="1"/>
  <c r="I19" i="59" s="1"/>
  <c r="H19" i="18"/>
  <c r="G19"/>
  <c r="G20" s="1"/>
  <c r="F19"/>
  <c r="G89" i="14" s="1"/>
  <c r="G19" i="59" s="1"/>
  <c r="E19" i="18"/>
  <c r="D19"/>
  <c r="E89" i="14" s="1"/>
  <c r="E19" i="59" s="1"/>
  <c r="C19" i="18"/>
  <c r="B19"/>
  <c r="N18"/>
  <c r="M18"/>
  <c r="L18"/>
  <c r="O88" i="14" s="1"/>
  <c r="O18" i="59" s="1"/>
  <c r="K18" i="18"/>
  <c r="N88" i="14" s="1"/>
  <c r="N18" i="59" s="1"/>
  <c r="N20" s="1"/>
  <c r="J18" i="18"/>
  <c r="J88" i="14" s="1"/>
  <c r="J18" i="59" s="1"/>
  <c r="I18" i="18"/>
  <c r="H18"/>
  <c r="G18"/>
  <c r="H88" i="14" s="1"/>
  <c r="F18" i="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L6" i="17" s="1"/>
  <c r="S61" i="18"/>
  <c r="R61"/>
  <c r="Q61"/>
  <c r="N6" i="17" s="1"/>
  <c r="P61" i="18"/>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F10"/>
  <c r="D10"/>
  <c r="B8"/>
  <c r="B6"/>
  <c r="B5"/>
  <c r="B4"/>
  <c r="B72" i="14" s="1"/>
  <c r="B4" i="59" s="1"/>
  <c r="F6" i="17"/>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P27"/>
  <c r="O27"/>
  <c r="P25"/>
  <c r="O25"/>
  <c r="N89" i="14"/>
  <c r="N19" i="59" s="1"/>
  <c r="M89" i="14"/>
  <c r="M19" i="59" s="1"/>
  <c r="L89" i="14"/>
  <c r="L19" i="59" s="1"/>
  <c r="K89" i="14"/>
  <c r="K19" i="59" s="1"/>
  <c r="K20" s="1"/>
  <c r="J89" i="14"/>
  <c r="J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C64" i="14"/>
  <c r="C29"/>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K19"/>
  <c r="J19"/>
  <c r="I19"/>
  <c r="G19"/>
  <c r="F19"/>
  <c r="E19"/>
  <c r="D19"/>
  <c r="Q48"/>
  <c r="Q52" s="1"/>
  <c r="P48"/>
  <c r="P52" s="1"/>
  <c r="O48"/>
  <c r="M48"/>
  <c r="L48"/>
  <c r="K48"/>
  <c r="J48"/>
  <c r="G48"/>
  <c r="D48"/>
  <c r="Q18"/>
  <c r="Q22" s="1"/>
  <c r="P18"/>
  <c r="P22" s="1"/>
  <c r="O18"/>
  <c r="O22" s="1"/>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78" l="1"/>
  <c r="O9" i="59"/>
  <c r="O20"/>
  <c r="H90" i="14"/>
  <c r="H18" i="59"/>
  <c r="G9"/>
  <c r="G78" i="14"/>
  <c r="L78"/>
  <c r="L8" i="59"/>
  <c r="L10" s="1"/>
  <c r="O10"/>
  <c r="N10"/>
  <c r="L20"/>
  <c r="H89" i="14"/>
  <c r="H19" i="59" s="1"/>
  <c r="Q11" i="48"/>
  <c r="O19" i="18"/>
  <c r="L20"/>
  <c r="K10" i="59"/>
  <c r="H20"/>
  <c r="K20" i="18"/>
  <c r="C98"/>
  <c r="G101" s="1"/>
  <c r="D13" i="15"/>
  <c r="H78" i="14"/>
  <c r="H8" i="59"/>
  <c r="O90" i="14"/>
  <c r="H77"/>
  <c r="H9" i="59" s="1"/>
  <c r="B10" i="18"/>
  <c r="C13" i="15"/>
  <c r="K90" i="14"/>
  <c r="G10" i="59"/>
  <c r="E88" i="14"/>
  <c r="E18" i="59" s="1"/>
  <c r="E20" s="1"/>
  <c r="B13" i="15"/>
  <c r="F20" i="18"/>
  <c r="N90" i="14"/>
  <c r="E10" i="59"/>
  <c r="B17" i="18"/>
  <c r="B20" s="1"/>
  <c r="L13" i="15"/>
  <c r="N13"/>
  <c r="Q77" i="14"/>
  <c r="P9" i="59" s="1"/>
  <c r="O9" i="18"/>
  <c r="O18"/>
  <c r="B89" i="14"/>
  <c r="B19" i="59" s="1"/>
  <c r="G88" i="14"/>
  <c r="F89"/>
  <c r="H101" i="18"/>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I101" i="18"/>
  <c r="H8" s="1"/>
  <c r="H10" s="1"/>
  <c r="B88" i="14"/>
  <c r="B18" i="59" s="1"/>
  <c r="E101" i="18"/>
  <c r="E8" s="1"/>
  <c r="D101"/>
  <c r="C88" i="14"/>
  <c r="C18" i="59" s="1"/>
  <c r="H10"/>
  <c r="Q89" i="14"/>
  <c r="P19" i="59" s="1"/>
  <c r="C20" i="18"/>
  <c r="D87" i="14"/>
  <c r="D17" i="59" s="1"/>
  <c r="D20" s="1"/>
  <c r="D76" i="14"/>
  <c r="D8" i="59" s="1"/>
  <c r="D10" s="1"/>
  <c r="C10" i="18"/>
  <c r="J17"/>
  <c r="J8"/>
  <c r="F87" i="14"/>
  <c r="E20" i="18"/>
  <c r="E10"/>
  <c r="F76" i="14"/>
  <c r="F8" i="59" s="1"/>
  <c r="F10" s="1"/>
  <c r="I17" i="18"/>
  <c r="O17" s="1"/>
  <c r="O20" s="1"/>
  <c r="H20"/>
  <c r="M87" i="14"/>
  <c r="I8" i="18"/>
  <c r="H14" i="15"/>
  <c r="H16" s="1"/>
  <c r="G14"/>
  <c r="G16" s="1"/>
  <c r="H5" i="48" l="1"/>
  <c r="I10" i="14"/>
  <c r="I16" s="1"/>
  <c r="G5" i="48"/>
  <c r="H10" i="14"/>
  <c r="H16" s="1"/>
  <c r="M90"/>
  <c r="M17" i="59"/>
  <c r="M20" s="1"/>
  <c r="F90" i="14"/>
  <c r="F17" i="59"/>
  <c r="F20" s="1"/>
  <c r="O8" i="18"/>
  <c r="O10" s="1"/>
  <c r="M76" i="14"/>
  <c r="I76"/>
  <c r="I8" i="59" s="1"/>
  <c r="I10" s="1"/>
  <c r="I10" i="18"/>
  <c r="Q87" i="14"/>
  <c r="D90"/>
  <c r="F78"/>
  <c r="J87"/>
  <c r="J20" i="18"/>
  <c r="J10"/>
  <c r="J76" i="14"/>
  <c r="I87"/>
  <c r="I17" i="59" s="1"/>
  <c r="I20" s="1"/>
  <c r="I20" i="18"/>
  <c r="Q76" i="14"/>
  <c r="D78"/>
  <c r="B24" i="44"/>
  <c r="B23"/>
  <c r="Q90" i="14" l="1"/>
  <c r="B17" i="6" s="1"/>
  <c r="P17" i="59"/>
  <c r="P20" s="1"/>
  <c r="J90" i="14"/>
  <c r="J17" i="59"/>
  <c r="J20" s="1"/>
  <c r="Q78" i="14"/>
  <c r="B9" i="6" s="1"/>
  <c r="P8" i="59"/>
  <c r="P10" s="1"/>
  <c r="M78" i="14"/>
  <c r="M8" i="59"/>
  <c r="M10" s="1"/>
  <c r="J78" i="14"/>
  <c r="J8" i="59"/>
  <c r="J10" s="1"/>
  <c r="B87" i="14"/>
  <c r="I90"/>
  <c r="C87"/>
  <c r="C76"/>
  <c r="B76"/>
  <c r="I78"/>
  <c r="A31" i="23"/>
  <c r="A32"/>
  <c r="A33"/>
  <c r="B90" i="14" l="1"/>
  <c r="B17" i="59"/>
  <c r="B20" s="1"/>
  <c r="C90" i="14"/>
  <c r="C17" i="59"/>
  <c r="C20" s="1"/>
  <c r="C78" i="14"/>
  <c r="C8" i="59"/>
  <c r="C10" s="1"/>
  <c r="B78" i="14"/>
  <c r="B4" i="6" s="1"/>
  <c r="B8" i="59"/>
  <c r="B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31"/>
  <c r="D29"/>
  <c r="D28"/>
  <c r="D24"/>
  <c r="D32"/>
  <c r="Q10" i="14"/>
  <c r="P5" i="48"/>
  <c r="P23" s="1"/>
  <c r="K32"/>
  <c r="K28"/>
  <c r="K31"/>
  <c r="K29"/>
  <c r="K26"/>
  <c r="K22"/>
  <c r="K24"/>
  <c r="K27"/>
  <c r="K30"/>
  <c r="K25"/>
  <c r="C24" i="14"/>
  <c r="C26" s="1"/>
  <c r="B7" i="48"/>
  <c r="J32"/>
  <c r="J29"/>
  <c r="J28"/>
  <c r="J24"/>
  <c r="J31"/>
  <c r="J27"/>
  <c r="J30"/>
  <c r="Q11" i="14"/>
  <c r="P4" i="48"/>
  <c r="P11" i="14"/>
  <c r="O4" i="48"/>
  <c r="I32"/>
  <c r="I25"/>
  <c r="I27"/>
  <c r="I28"/>
  <c r="I22"/>
  <c r="I29"/>
  <c r="I30"/>
  <c r="I31"/>
  <c r="I26"/>
  <c r="I24"/>
  <c r="E28"/>
  <c r="E32"/>
  <c r="E31"/>
  <c r="E29"/>
  <c r="E30"/>
  <c r="E24"/>
  <c r="M22"/>
  <c r="M29"/>
  <c r="M32"/>
  <c r="M25"/>
  <c r="M26"/>
  <c r="M30"/>
  <c r="M24"/>
  <c r="M23"/>
  <c r="L10" i="14"/>
  <c r="L16" s="1"/>
  <c r="L27" s="1"/>
  <c r="K5" i="48"/>
  <c r="L27"/>
  <c r="L29"/>
  <c r="L32"/>
  <c r="L31"/>
  <c r="L22"/>
  <c r="L30"/>
  <c r="L28"/>
  <c r="L24"/>
  <c r="D4"/>
  <c r="D22" s="1"/>
  <c r="E11" i="14"/>
  <c r="H26" i="48"/>
  <c r="H32"/>
  <c r="H28"/>
  <c r="H29"/>
  <c r="H25"/>
  <c r="H22"/>
  <c r="H30"/>
  <c r="H24"/>
  <c r="H23"/>
  <c r="C4"/>
  <c r="D11" i="14"/>
  <c r="G32" i="48"/>
  <c r="G26"/>
  <c r="G25"/>
  <c r="G24"/>
  <c r="G22"/>
  <c r="G29"/>
  <c r="G30"/>
  <c r="G23"/>
  <c r="B4"/>
  <c r="C11" i="14"/>
  <c r="F28" i="48"/>
  <c r="F32"/>
  <c r="F31"/>
  <c r="F24"/>
  <c r="F27"/>
  <c r="F29"/>
  <c r="F30"/>
  <c r="N28"/>
  <c r="N31"/>
  <c r="N32"/>
  <c r="N24"/>
  <c r="N27"/>
  <c r="N29"/>
  <c r="N30"/>
  <c r="C19" i="14"/>
  <c r="B10"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M12" i="22"/>
  <c r="M13" i="48"/>
  <c r="M31" s="1"/>
  <c r="N18" i="14"/>
  <c r="K23" i="48"/>
  <c r="K15"/>
  <c r="G13"/>
  <c r="H18" i="14"/>
  <c r="H13" i="48"/>
  <c r="H31" s="1"/>
  <c r="I18" i="14"/>
  <c r="P8" i="48"/>
  <c r="P26" s="1"/>
  <c r="Q13" i="14"/>
  <c r="F20"/>
  <c r="F22" s="1"/>
  <c r="E9" i="48"/>
  <c r="E27" s="1"/>
  <c r="P22"/>
  <c r="P33" s="1"/>
  <c r="J7"/>
  <c r="J25" s="1"/>
  <c r="K24" i="14"/>
  <c r="K26" s="1"/>
  <c r="B9" i="48"/>
  <c r="C20" i="14"/>
  <c r="C22"/>
  <c r="O22" i="48"/>
  <c r="G11" i="14"/>
  <c r="F4" i="48"/>
  <c r="F22" s="1"/>
  <c r="I5"/>
  <c r="J10" i="14"/>
  <c r="J16" s="1"/>
  <c r="J27" s="1"/>
  <c r="K33" i="48"/>
  <c r="J12" i="17"/>
  <c r="K54" i="14" s="1"/>
  <c r="K56" s="1"/>
  <c r="L46"/>
  <c r="L61" s="1"/>
  <c r="L63" s="1"/>
  <c r="Q16"/>
  <c r="Q27"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E12" i="13"/>
  <c r="F41" i="14" s="1"/>
  <c r="F11"/>
  <c r="E4" i="48"/>
  <c r="G31"/>
  <c r="Q13"/>
  <c r="J4"/>
  <c r="K11" i="14"/>
  <c r="F24"/>
  <c r="F26" s="1"/>
  <c r="E7" i="48"/>
  <c r="E25" s="1"/>
  <c r="R18" i="14"/>
  <c r="O22" i="16"/>
  <c r="P43" i="14" s="1"/>
  <c r="O8" i="48"/>
  <c r="P13" i="14"/>
  <c r="P16" s="1"/>
  <c r="P27" s="1"/>
  <c r="P46"/>
  <c r="P61" s="1"/>
  <c r="M14" i="22"/>
  <c r="H20" i="14"/>
  <c r="G9" i="48"/>
  <c r="I20" i="14"/>
  <c r="H9" i="48"/>
  <c r="I23"/>
  <c r="I33" s="1"/>
  <c r="I15"/>
  <c r="Q63" i="14"/>
  <c r="I22"/>
  <c r="I27" s="1"/>
  <c r="G10" i="48"/>
  <c r="H19" i="14"/>
  <c r="R19" s="1"/>
  <c r="M10" i="48"/>
  <c r="M28" s="1"/>
  <c r="N19" i="14"/>
  <c r="J63"/>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R20" l="1"/>
  <c r="R22" s="1"/>
  <c r="H52"/>
  <c r="H61" s="1"/>
  <c r="J5" i="48"/>
  <c r="J23" s="1"/>
  <c r="K10" i="14"/>
  <c r="E22" i="48"/>
  <c r="Q4"/>
  <c r="P63" i="14"/>
  <c r="H22"/>
  <c r="H27" s="1"/>
  <c r="R11"/>
  <c r="F10"/>
  <c r="E5" i="48"/>
  <c r="E23" s="1"/>
  <c r="G28"/>
  <c r="Q10"/>
  <c r="H27"/>
  <c r="H33" s="1"/>
  <c r="H15"/>
  <c r="N20" i="14"/>
  <c r="N22" s="1"/>
  <c r="N27" s="1"/>
  <c r="M9" i="48"/>
  <c r="O26"/>
  <c r="O33" s="1"/>
  <c r="O15"/>
  <c r="R24" i="14"/>
  <c r="R26" s="1"/>
  <c r="M18" i="22"/>
  <c r="N50" i="14" s="1"/>
  <c r="N52" s="1"/>
  <c r="N61" s="1"/>
  <c r="G27" i="48"/>
  <c r="G33" s="1"/>
  <c r="G15"/>
  <c r="J22"/>
  <c r="Q7"/>
  <c r="E20" i="15"/>
  <c r="F40" i="14" s="1"/>
  <c r="J18" i="16"/>
  <c r="E18"/>
  <c r="F18"/>
  <c r="F22" s="1"/>
  <c r="G43" i="14" s="1"/>
  <c r="N18" i="16"/>
  <c r="G18" i="22"/>
  <c r="H50" i="14" s="1"/>
  <c r="H18" i="22"/>
  <c r="I50" i="14" s="1"/>
  <c r="I52" s="1"/>
  <c r="I61" s="1"/>
  <c r="I63" s="1"/>
  <c r="F13" l="1"/>
  <c r="F16" s="1"/>
  <c r="F27" s="1"/>
  <c r="E8" i="48"/>
  <c r="M27"/>
  <c r="M33" s="1"/>
  <c r="M15"/>
  <c r="Q9"/>
  <c r="H63" i="14"/>
  <c r="K16"/>
  <c r="K27" s="1"/>
  <c r="E22" i="16"/>
  <c r="F43" i="14" s="1"/>
  <c r="F46" s="1"/>
  <c r="F61" s="1"/>
  <c r="F63" s="1"/>
  <c r="J22" i="16"/>
  <c r="K43" i="14" s="1"/>
  <c r="K46" s="1"/>
  <c r="K61" s="1"/>
  <c r="J8" i="48"/>
  <c r="K13" i="14"/>
  <c r="N63"/>
  <c r="N8" i="48"/>
  <c r="N26" s="1"/>
  <c r="O13" i="14"/>
  <c r="N22" i="16"/>
  <c r="O43" i="14" s="1"/>
  <c r="G13"/>
  <c r="F8" i="48"/>
  <c r="E26" l="1"/>
  <c r="E33" s="1"/>
  <c r="E15"/>
  <c r="J26"/>
  <c r="J33" s="1"/>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<sst xmlns="http://schemas.openxmlformats.org/spreadsheetml/2006/main" count="2389" uniqueCount="887">
  <si>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</si>
  <si>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</si>
  <si>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</si>
  <si>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</si>
  <si>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</si>
  <si>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</si>
  <si>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</si>
  <si>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</si>
  <si>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</si>
  <si>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</si>
  <si>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</si>
  <si>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</si>
  <si>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</si>
  <si>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</si>
  <si>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</si>
  <si>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</si>
  <si>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</si>
  <si>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</si>
  <si>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</si>
  <si>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</si>
  <si>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</si>
  <si>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</si>
  <si>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</si>
  <si>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</si>
  <si>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</si>
  <si>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</si>
  <si>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</si>
  <si>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</si>
  <si>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</si>
  <si>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</si>
  <si>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</si>
  <si>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</si>
  <si>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</si>
  <si>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</si>
  <si>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</si>
  <si>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</si>
  <si>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</si>
  <si>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</si>
  <si>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</si>
  <si>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</si>
  <si>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</si>
  <si>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</si>
  <si>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</si>
  <si>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</si>
  <si>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</si>
  <si>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</si>
  <si>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</si>
  <si>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</si>
  <si>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</si>
  <si>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</si>
  <si>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</si>
  <si>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</si>
  <si>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</si>
  <si>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</si>
  <si>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</si>
  <si>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</si>
  <si>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</si>
  <si>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</si>
  <si>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</si>
  <si>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</si>
  <si>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</si>
  <si>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</si>
  <si>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</si>
  <si>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</si>
  <si>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</si>
  <si>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</si>
  <si>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</si>
  <si>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</si>
  <si>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</si>
  <si>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</si>
  <si>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</si>
  <si>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</si>
  <si>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</si>
  <si>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</si>
  <si>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</si>
  <si>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</si>
  <si>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</si>
  <si>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</si>
  <si>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</si>
  <si>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</si>
  <si>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</si>
  <si>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</si>
  <si>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</si>
  <si>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</si>
  <si>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</si>
  <si>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</si>
  <si>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</si>
  <si>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</si>
  <si>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</si>
  <si>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</si>
  <si>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</si>
  <si>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</si>
  <si>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</si>
  <si>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</si>
  <si>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</si>
  <si>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</si>
  <si>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</si>
  <si>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</si>
  <si>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</si>
  <si>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</si>
  <si>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</si>
  <si>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</si>
  <si>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</si>
  <si>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</si>
  <si>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</si>
  <si>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</si>
  <si>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</si>
  <si>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</si>
  <si>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</si>
  <si>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</si>
  <si>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</si>
  <si>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</si>
  <si>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</si>
  <si>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</si>
  <si>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</si>
  <si>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</si>
  <si>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</si>
  <si>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</si>
  <si>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</si>
  <si>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</si>
  <si>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</si>
  <si>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</si>
  <si>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</si>
  <si>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</si>
  <si>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</si>
  <si>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</si>
  <si>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</si>
  <si>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</si>
  <si>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</si>
  <si>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</si>
  <si>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</si>
  <si>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</si>
  <si>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</si>
  <si>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</si>
  <si>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</si>
  <si>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</si>
  <si>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</si>
  <si>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</si>
  <si>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</si>
  <si>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</si>
  <si>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</si>
  <si>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</si>
  <si>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</si>
  <si>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</si>
  <si>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</si>
  <si>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</si>
  <si>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</si>
  <si>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</si>
  <si>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</si>
  <si>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</si>
  <si>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</si>
  <si>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</si>
  <si>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</si>
  <si>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</si>
  <si>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</si>
  <si>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</si>
  <si>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</si>
  <si>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</si>
  <si>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</si>
  <si>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</si>
  <si>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</si>
  <si>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</si>
  <si>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</si>
  <si>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</si>
  <si>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</si>
  <si>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</si>
  <si>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</si>
  <si>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</si>
  <si>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</si>
  <si>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</si>
  <si>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</si>
  <si>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</si>
  <si>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</si>
  <si>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</si>
  <si>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</si>
  <si>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</si>
  <si>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</si>
  <si>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</si>
  <si>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</si>
  <si>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</si>
  <si>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</si>
  <si>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</si>
  <si>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</si>
  <si>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</si>
  <si>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</si>
  <si>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</si>
  <si>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</si>
  <si>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</si>
  <si>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</si>
  <si>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</si>
  <si>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</si>
  <si>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</si>
  <si>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</si>
  <si>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</si>
  <si>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</si>
  <si>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</si>
  <si>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</si>
  <si>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</si>
  <si>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</si>
  <si>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</si>
  <si>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</si>
  <si>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</si>
  <si>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</si>
  <si>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</si>
  <si>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</si>
  <si>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</si>
  <si>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</si>
  <si>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</si>
  <si>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</si>
  <si>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</si>
  <si>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</si>
  <si>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</si>
  <si>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</si>
  <si>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</si>
  <si>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</si>
  <si>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</si>
  <si>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</si>
  <si>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</si>
  <si>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</si>
  <si>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</si>
  <si>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</si>
  <si>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</si>
  <si>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</si>
  <si>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</si>
  <si>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</si>
  <si>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</si>
  <si>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</si>
  <si>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</si>
  <si>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</si>
  <si>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</si>
  <si>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</si>
  <si>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</si>
  <si>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</si>
  <si>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</si>
  <si>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</si>
  <si>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</si>
  <si>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</si>
  <si>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</si>
  <si>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</si>
  <si>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</si>
  <si>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</si>
  <si>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</si>
  <si>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</si>
  <si>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</si>
  <si>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</si>
  <si>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</si>
  <si>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</si>
  <si>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</si>
  <si>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</si>
  <si>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</si>
  <si>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</si>
  <si>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</si>
  <si>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</si>
  <si>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</si>
  <si>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</si>
  <si>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</si>
  <si>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</si>
  <si>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</si>
  <si>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</si>
  <si>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</si>
  <si>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</si>
  <si>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</si>
  <si>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</si>
  <si>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</si>
  <si>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</si>
  <si>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</si>
  <si>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</si>
  <si>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</si>
  <si>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</si>
  <si>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</si>
  <si>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</si>
  <si>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</si>
  <si>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</si>
  <si>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</si>
  <si>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</si>
  <si>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</si>
  <si>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</si>
  <si>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</si>
  <si>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</si>
  <si>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</si>
  <si>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</si>
  <si>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</si>
  <si>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</si>
  <si>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</si>
  <si>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</si>
  <si>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</si>
  <si>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</si>
  <si>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</si>
  <si>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</si>
  <si>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</si>
  <si>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</si>
  <si>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</si>
  <si>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</si>
  <si>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</si>
  <si>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</si>
  <si>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</si>
  <si>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</si>
  <si>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</si>
  <si>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</si>
  <si>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</si>
  <si>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</si>
  <si>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</si>
  <si>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</si>
  <si>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</si>
  <si>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</si>
  <si>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</si>
  <si>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</si>
  <si>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</si>
  <si>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</si>
  <si>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</si>
  <si>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</si>
  <si>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</si>
  <si>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</si>
  <si>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</si>
  <si>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</si>
  <si>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</si>
  <si>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</si>
  <si>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</si>
  <si>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</si>
  <si>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</si>
  <si>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</si>
  <si>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</si>
  <si>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</si>
  <si>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</si>
  <si>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</si>
  <si>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</si>
  <si>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</si>
  <si>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</si>
  <si>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</si>
  <si>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</si>
  <si>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</si>
  <si>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</si>
  <si>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</si>
  <si>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</si>
  <si>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</si>
  <si>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</si>
  <si>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</si>
  <si>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</si>
  <si>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</si>
  <si>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</si>
  <si>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</si>
  <si>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</si>
  <si>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</si>
  <si>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</si>
  <si>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</si>
  <si>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</si>
  <si>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</si>
  <si>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</si>
  <si>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</si>
  <si>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</si>
  <si>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</si>
  <si>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</si>
  <si>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</si>
  <si>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</si>
  <si>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</si>
  <si>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</si>
  <si>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</si>
  <si>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</si>
  <si>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</si>
  <si>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</si>
  <si>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</si>
  <si>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</si>
  <si>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</si>
  <si>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</si>
  <si>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</si>
  <si>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</si>
  <si>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</si>
  <si>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</si>
  <si>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</si>
  <si>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</si>
  <si>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</si>
  <si>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</si>
  <si>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</si>
  <si>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</si>
  <si>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</si>
  <si>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</si>
  <si>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</si>
  <si>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</si>
  <si>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</si>
  <si>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</si>
  <si>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</si>
  <si>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</si>
  <si>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</si>
  <si>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</si>
  <si>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</si>
  <si>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</si>
  <si>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</si>
  <si>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</si>
  <si>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</si>
  <si>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</si>
  <si>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</si>
  <si>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</si>
  <si>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</si>
  <si>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</si>
  <si>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</si>
  <si>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</si>
  <si>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</si>
  <si>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</si>
  <si>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</si>
  <si>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</si>
  <si>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</si>
  <si>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</si>
  <si>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</si>
  <si>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</si>
  <si>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</si>
  <si>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</si>
  <si>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</si>
  <si>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</si>
  <si>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</si>
  <si>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</si>
  <si>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</si>
  <si>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</si>
  <si>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</si>
  <si>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</si>
  <si>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</si>
  <si>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</si>
  <si>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</si>
  <si>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</si>
  <si>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</si>
  <si>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</si>
  <si>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</si>
  <si>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</si>
  <si>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</si>
  <si>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</si>
  <si>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</si>
  <si>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</si>
  <si>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</si>
  <si>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</si>
  <si>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</si>
  <si>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</si>
  <si>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</si>
  <si>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</si>
  <si>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</si>
  <si>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</si>
  <si>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</si>
  <si>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</si>
  <si>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</si>
  <si>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</si>
  <si>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</si>
  <si>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</si>
  <si>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</si>
  <si>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</si>
  <si>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</si>
  <si>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</si>
  <si>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</si>
  <si>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</si>
  <si>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</si>
  <si>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</si>
  <si>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</si>
  <si>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</si>
  <si>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</si>
  <si>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</si>
  <si>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</si>
  <si>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</si>
  <si>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</si>
  <si>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</si>
  <si>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</si>
  <si>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</si>
  <si>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</si>
  <si>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</si>
  <si>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</si>
  <si>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</si>
  <si>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</si>
  <si>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</si>
  <si>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</si>
  <si>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</si>
  <si>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</si>
  <si>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</si>
  <si>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</si>
  <si>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</si>
  <si>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</si>
  <si>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</si>
  <si>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</si>
  <si>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</si>
  <si>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</si>
  <si>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</si>
  <si>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</si>
  <si>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</si>
  <si>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</si>
  <si>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</si>
  <si>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</si>
  <si>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</si>
  <si>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</si>
  <si>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</si>
  <si>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</si>
  <si>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</si>
  <si>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</si>
  <si>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</si>
  <si>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</si>
  <si>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</si>
  <si>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</si>
  <si>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</si>
  <si>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</si>
  <si>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</si>
  <si>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</si>
  <si>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</si>
  <si>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</si>
  <si>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</si>
  <si>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</si>
  <si>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</si>
  <si>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</si>
  <si>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</si>
  <si>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</si>
  <si>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</si>
  <si>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</si>
  <si>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</si>
  <si>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</si>
  <si>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</si>
  <si>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</si>
  <si>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</si>
  <si>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</si>
  <si>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</si>
  <si>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</si>
  <si>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</si>
  <si>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</si>
  <si>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</si>
  <si>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</si>
  <si>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</si>
  <si>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</si>
  <si>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</si>
  <si>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</si>
  <si>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</si>
  <si>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</si>
  <si>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</si>
  <si>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</si>
  <si>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</si>
  <si>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</si>
  <si>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</si>
  <si>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</si>
  <si>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</si>
  <si>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</si>
  <si>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</si>
  <si>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</si>
  <si>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</si>
  <si>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</si>
  <si>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</si>
  <si>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</si>
  <si>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</si>
  <si>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</si>
  <si>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</si>
  <si>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</si>
  <si>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</si>
  <si>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</si>
  <si>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</si>
  <si>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</si>
  <si>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</si>
  <si>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</si>
  <si>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</si>
  <si>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</si>
  <si>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</si>
  <si>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</si>
  <si>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</si>
  <si>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</si>
  <si>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</si>
  <si>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</si>
  <si>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</si>
  <si>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</si>
  <si>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</si>
  <si>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</si>
  <si>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</si>
  <si>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</si>
  <si>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</si>
  <si>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</si>
  <si>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</si>
  <si>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</si>
  <si>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</si>
  <si>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</si>
  <si>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</si>
  <si>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</si>
  <si>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</si>
  <si>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</si>
  <si>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</si>
  <si>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</si>
  <si>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</si>
  <si>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</si>
  <si>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</si>
  <si>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</si>
  <si>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</si>
  <si>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</si>
  <si>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</si>
  <si>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</si>
  <si>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</si>
  <si>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</si>
  <si>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</si>
  <si>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</si>
  <si>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</si>
  <si>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</si>
  <si>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</si>
  <si>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</si>
  <si>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</si>
  <si>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</si>
  <si>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</si>
  <si>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</si>
  <si>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</si>
  <si>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</si>
  <si>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</si>
  <si>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</si>
  <si>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</si>
  <si>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</si>
  <si>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</si>
  <si>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</si>
  <si>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</si>
  <si>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</si>
  <si>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</si>
  <si>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</si>
  <si>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</si>
  <si>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</si>
  <si>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</si>
  <si>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</si>
  <si>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</si>
  <si>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</si>
  <si>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</si>
  <si>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</si>
  <si>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</si>
  <si>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</si>
  <si>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</si>
  <si>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</si>
  <si>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</si>
  <si>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</si>
  <si>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</si>
  <si>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</si>
  <si>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</si>
  <si>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</si>
  <si>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</si>
  <si>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</si>
  <si>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</si>
  <si>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</si>
  <si>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</si>
  <si>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</si>
  <si>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</si>
  <si>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</si>
  <si>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</si>
  <si>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</si>
  <si>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</si>
  <si>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</si>
  <si>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</si>
  <si>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</si>
  <si>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</si>
  <si>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</si>
  <si>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</si>
  <si>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</si>
  <si>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</si>
  <si>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</si>
  <si>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</si>
  <si>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</si>
  <si>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</si>
  <si>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</si>
  <si>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</si>
  <si>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</si>
  <si>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</si>
  <si>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</si>
  <si>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</si>
  <si>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</si>
  <si>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</si>
  <si>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</si>
  <si>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</si>
  <si>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</si>
  <si>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</si>
  <si>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</si>
  <si>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</si>
  <si>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</si>
  <si>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</si>
  <si>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</si>
  <si>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</si>
  <si>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</si>
  <si>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</si>
  <si>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</si>
  <si>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</si>
  <si>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</si>
  <si>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</si>
  <si>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</si>
  <si>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</si>
  <si>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</si>
  <si>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</si>
  <si>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</si>
  <si>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</si>
  <si>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</si>
  <si>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</si>
  <si>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</si>
  <si>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</si>
  <si>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</si>
  <si>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</si>
  <si>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</si>
  <si>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</si>
  <si>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</si>
  <si>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</si>
  <si>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</si>
  <si>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</si>
  <si>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</si>
  <si>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</si>
  <si>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</si>
  <si>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</si>
  <si>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</si>
  <si>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</si>
  <si>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</si>
  <si>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</si>
  <si>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</si>
  <si>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</si>
  <si>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</si>
  <si>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</si>
  <si>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</si>
  <si>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</si>
  <si>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</si>
  <si>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</si>
  <si>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</si>
  <si>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</si>
  <si>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</si>
  <si>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</si>
  <si>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</si>
  <si>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</si>
  <si>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</si>
  <si>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</si>
  <si>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</si>
  <si>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</si>
  <si>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</si>
  <si>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</si>
  <si>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</si>
  <si>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</si>
  <si>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</si>
  <si>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</si>
  <si>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</si>
  <si>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</si>
  <si>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</si>
  <si>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</si>
  <si>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</si>
  <si>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</si>
  <si>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</si>
  <si>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</si>
  <si>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</si>
  <si>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</si>
  <si>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</si>
  <si>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</si>
  <si>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</si>
  <si>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</si>
  <si>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</si>
  <si>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</si>
  <si>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</si>
  <si>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</si>
  <si>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</si>
  <si>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</si>
  <si>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</si>
  <si>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</si>
  <si>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</si>
  <si>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</si>
  <si>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</si>
  <si>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</si>
  <si>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</si>
  <si>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</si>
  <si>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</si>
  <si>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</si>
  <si>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</si>
  <si>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</si>
  <si>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</si>
  <si>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</si>
  <si>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</si>
  <si>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</si>
  <si>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</si>
  <si>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</si>
  <si>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</si>
  <si>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</si>
  <si>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</si>
  <si>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</si>
  <si>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</si>
  <si>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</si>
  <si>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</si>
  <si>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</si>
  <si>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</si>
  <si>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</si>
  <si>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</si>
  <si>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</si>
  <si>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</si>
  <si>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</si>
  <si>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</si>
  <si>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</si>
  <si>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</si>
  <si>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</si>
  <si>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</si>
  <si>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</si>
  <si>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</si>
  <si>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</si>
  <si>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</si>
  <si>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</si>
  <si>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</si>
  <si>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</si>
  <si>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</si>
  <si>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</si>
  <si>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</si>
  <si>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</si>
  <si>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</si>
  <si>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</si>
  <si>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</si>
  <si>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</si>
  <si>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</si>
  <si>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</si>
  <si>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</si>
  <si>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</si>
  <si>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</si>
  <si>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</si>
  <si>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</si>
  <si>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</si>
  <si>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</si>
  <si>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</si>
  <si>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</si>
  <si>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</si>
  <si>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</si>
  <si>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</si>
  <si>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</si>
  <si>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</si>
  <si>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</si>
  <si>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</si>
  <si>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</si>
  <si>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</si>
  <si>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</si>
  <si>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</si>
  <si>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</si>
  <si>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</si>
  <si>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</si>
  <si>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</si>
  <si>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</si>
  <si>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</si>
  <si>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</si>
  <si>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</si>
  <si>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</si>
  <si>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</si>
  <si>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</si>
  <si>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</si>
  <si>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</si>
  <si>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</si>
  <si>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</si>
  <si>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</si>
  <si>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</si>
  <si>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</si>
  <si>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</si>
  <si>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</si>
  <si>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</si>
  <si>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</si>
  <si>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</si>
  <si>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</si>
  <si>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</si>
  <si>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</si>
  <si>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</si>
  <si>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</si>
  <si>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</si>
  <si>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</si>
  <si>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</si>
  <si>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</si>
  <si>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</si>
  <si>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</si>
  <si>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</si>
  <si>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</si>
  <si>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</si>
  <si>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</si>
  <si>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</si>
  <si>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</si>
  <si>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</si>
  <si>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</si>
  <si>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</si>
  <si>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</si>
  <si>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</si>
  <si>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</si>
  <si>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</si>
  <si>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</si>
  <si>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</si>
  <si>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</si>
  <si>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</si>
  <si>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</si>
  <si>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</si>
  <si>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</si>
  <si>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</si>
  <si>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</si>
  <si>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</si>
  <si>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</si>
  <si>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</si>
  <si>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</si>
  <si>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</si>
  <si>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</si>
  <si>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</si>
  <si>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</si>
  <si>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</si>
  <si>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23081</t>
  </si>
  <si>
    <t>STEENOKKERZEEL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</si>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</sst>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91060.22669308701</c:v>
                </c:pt>
                <c:pt idx="1">
                  <c:v>61919.54408118219</c:v>
                </c:pt>
                <c:pt idx="2">
                  <c:v>951.86300000000006</c:v>
                </c:pt>
                <c:pt idx="3">
                  <c:v>2317.4796960526642</c:v>
                </c:pt>
                <c:pt idx="4">
                  <c:v>3025.2824466155462</c:v>
                </c:pt>
                <c:pt idx="5">
                  <c:v>103262.70709661186</c:v>
                </c:pt>
                <c:pt idx="6">
                  <c:v>5398.8423596880893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88064"/>
        <c:axId val="182089600"/>
      </c:barChart>
      <c:catAx>
        <c:axId val="182088064"/>
        <c:scaling>
          <c:orientation val="minMax"/>
        </c:scaling>
        <c:axPos val="b"/>
        <c:numFmt formatCode="General" sourceLinked="0"/>
        <c:tickLblPos val="nextTo"/>
        <c:crossAx val="182089600"/>
        <c:crosses val="autoZero"/>
        <c:auto val="1"/>
        <c:lblAlgn val="ctr"/>
        <c:lblOffset val="100"/>
      </c:catAx>
      <c:valAx>
        <c:axId val="182089600"/>
        <c:scaling>
          <c:orientation val="minMax"/>
        </c:scaling>
        <c:axPos val="l"/>
        <c:majorGridlines/>
        <c:numFmt formatCode="#,##0" sourceLinked="1"/>
        <c:tickLblPos val="nextTo"/>
        <c:crossAx val="1820880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91060.22669308701</c:v>
                </c:pt>
                <c:pt idx="1">
                  <c:v>61919.54408118219</c:v>
                </c:pt>
                <c:pt idx="2">
                  <c:v>951.86300000000006</c:v>
                </c:pt>
                <c:pt idx="3">
                  <c:v>2317.4796960526642</c:v>
                </c:pt>
                <c:pt idx="4">
                  <c:v>3025.2824466155462</c:v>
                </c:pt>
                <c:pt idx="5">
                  <c:v>103262.70709661186</c:v>
                </c:pt>
                <c:pt idx="6">
                  <c:v>5398.8423596880893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17181.952062150449</c:v>
                </c:pt>
                <c:pt idx="2">
                  <c:v>12740.103928596302</c:v>
                </c:pt>
                <c:pt idx="3">
                  <c:v>197.72904611529472</c:v>
                </c:pt>
                <c:pt idx="4">
                  <c:v>581.15002526708577</c:v>
                </c:pt>
                <c:pt idx="5">
                  <c:v>602.74937064312155</c:v>
                </c:pt>
                <c:pt idx="6">
                  <c:v>26451.351781246387</c:v>
                </c:pt>
                <c:pt idx="7">
                  <c:v>1398.12422445267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79872"/>
        <c:axId val="182584064"/>
      </c:barChart>
      <c:catAx>
        <c:axId val="182479872"/>
        <c:scaling>
          <c:orientation val="minMax"/>
        </c:scaling>
        <c:axPos val="b"/>
        <c:numFmt formatCode="General" sourceLinked="0"/>
        <c:tickLblPos val="nextTo"/>
        <c:crossAx val="182584064"/>
        <c:crosses val="autoZero"/>
        <c:auto val="1"/>
        <c:lblAlgn val="ctr"/>
        <c:lblOffset val="100"/>
      </c:catAx>
      <c:valAx>
        <c:axId val="182584064"/>
        <c:scaling>
          <c:orientation val="minMax"/>
        </c:scaling>
        <c:axPos val="l"/>
        <c:majorGridlines/>
        <c:numFmt formatCode="#,##0" sourceLinked="1"/>
        <c:tickLblPos val="nextTo"/>
        <c:crossAx val="182479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17181.952062150449</c:v>
                </c:pt>
                <c:pt idx="2">
                  <c:v>12740.103928596302</c:v>
                </c:pt>
                <c:pt idx="3">
                  <c:v>197.72904611529472</c:v>
                </c:pt>
                <c:pt idx="4">
                  <c:v>581.15002526708577</c:v>
                </c:pt>
                <c:pt idx="5">
                  <c:v>602.74937064312155</c:v>
                </c:pt>
                <c:pt idx="6">
                  <c:v>26451.351781246387</c:v>
                </c:pt>
                <c:pt idx="7">
                  <c:v>1398.12422445267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0.20772847155031207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0.20772847155031207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4677</v>
      </c>
      <c r="C9" s="342">
        <v>5127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696.75</v>
      </c>
    </row>
    <row r="15" spans="1:6">
      <c r="A15" s="348" t="s">
        <v>184</v>
      </c>
      <c r="B15" s="334">
        <v>0</v>
      </c>
    </row>
    <row r="16" spans="1:6">
      <c r="A16" s="348" t="s">
        <v>6</v>
      </c>
      <c r="B16" s="334">
        <v>0</v>
      </c>
    </row>
    <row r="17" spans="1:6">
      <c r="A17" s="348" t="s">
        <v>7</v>
      </c>
      <c r="B17" s="334">
        <v>19</v>
      </c>
    </row>
    <row r="18" spans="1:6">
      <c r="A18" s="348" t="s">
        <v>8</v>
      </c>
      <c r="B18" s="334">
        <v>17</v>
      </c>
    </row>
    <row r="19" spans="1:6">
      <c r="A19" s="348" t="s">
        <v>9</v>
      </c>
      <c r="B19" s="334">
        <v>10</v>
      </c>
    </row>
    <row r="20" spans="1:6">
      <c r="A20" s="348" t="s">
        <v>10</v>
      </c>
      <c r="B20" s="334">
        <v>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62</v>
      </c>
    </row>
    <row r="27" spans="1:6">
      <c r="A27" s="348" t="s">
        <v>17</v>
      </c>
      <c r="B27" s="334">
        <v>0</v>
      </c>
    </row>
    <row r="28" spans="1:6" s="356" customFormat="1">
      <c r="A28" s="355" t="s">
        <v>18</v>
      </c>
      <c r="B28" s="355">
        <v>0</v>
      </c>
    </row>
    <row r="29" spans="1:6">
      <c r="A29" s="355" t="s">
        <v>881</v>
      </c>
      <c r="B29" s="355">
        <v>30</v>
      </c>
      <c r="C29" s="356"/>
      <c r="D29" s="356"/>
      <c r="E29" s="356"/>
      <c r="F29" s="356"/>
    </row>
    <row r="30" spans="1:6">
      <c r="A30" s="355" t="s">
        <v>882</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22529</v>
      </c>
    </row>
    <row r="37" spans="1:6">
      <c r="A37" s="348" t="s">
        <v>25</v>
      </c>
      <c r="B37" s="348" t="s">
        <v>28</v>
      </c>
      <c r="C37" s="334">
        <v>0</v>
      </c>
      <c r="D37" s="334">
        <v>0</v>
      </c>
      <c r="E37" s="334">
        <v>0</v>
      </c>
      <c r="F37" s="334">
        <v>0</v>
      </c>
    </row>
    <row r="38" spans="1:6">
      <c r="A38" s="348" t="s">
        <v>25</v>
      </c>
      <c r="B38" s="348" t="s">
        <v>29</v>
      </c>
      <c r="C38" s="334">
        <v>0</v>
      </c>
      <c r="D38" s="334">
        <v>0</v>
      </c>
      <c r="E38" s="334">
        <v>0</v>
      </c>
      <c r="F38" s="334">
        <v>4437</v>
      </c>
    </row>
    <row r="39" spans="1:6">
      <c r="A39" s="348" t="s">
        <v>30</v>
      </c>
      <c r="B39" s="348" t="s">
        <v>31</v>
      </c>
      <c r="C39" s="334">
        <v>3417</v>
      </c>
      <c r="D39" s="334">
        <v>62108523</v>
      </c>
      <c r="E39" s="334">
        <v>4653</v>
      </c>
      <c r="F39" s="334">
        <v>18297779</v>
      </c>
    </row>
    <row r="40" spans="1:6">
      <c r="A40" s="348" t="s">
        <v>30</v>
      </c>
      <c r="B40" s="348" t="s">
        <v>29</v>
      </c>
      <c r="C40" s="334">
        <v>0</v>
      </c>
      <c r="D40" s="334">
        <v>0</v>
      </c>
      <c r="E40" s="334">
        <v>0</v>
      </c>
      <c r="F40" s="334">
        <v>0</v>
      </c>
    </row>
    <row r="41" spans="1:6">
      <c r="A41" s="348" t="s">
        <v>32</v>
      </c>
      <c r="B41" s="348" t="s">
        <v>33</v>
      </c>
      <c r="C41" s="334">
        <v>29</v>
      </c>
      <c r="D41" s="334">
        <v>607775</v>
      </c>
      <c r="E41" s="334">
        <v>56</v>
      </c>
      <c r="F41" s="334">
        <v>318600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79542</v>
      </c>
      <c r="E44" s="334">
        <v>11</v>
      </c>
      <c r="F44" s="334">
        <v>289248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328713</v>
      </c>
      <c r="E48" s="334">
        <v>4</v>
      </c>
      <c r="F48" s="334">
        <v>14839</v>
      </c>
    </row>
    <row r="49" spans="1:6">
      <c r="A49" s="348" t="s">
        <v>32</v>
      </c>
      <c r="B49" s="348" t="s">
        <v>40</v>
      </c>
      <c r="C49" s="334">
        <v>0</v>
      </c>
      <c r="D49" s="334">
        <v>0</v>
      </c>
      <c r="E49" s="334">
        <v>0</v>
      </c>
      <c r="F49" s="334">
        <v>0</v>
      </c>
    </row>
    <row r="50" spans="1:6">
      <c r="A50" s="348" t="s">
        <v>32</v>
      </c>
      <c r="B50" s="348" t="s">
        <v>41</v>
      </c>
      <c r="C50" s="334">
        <v>3</v>
      </c>
      <c r="D50" s="334">
        <v>411757</v>
      </c>
      <c r="E50" s="334">
        <v>7</v>
      </c>
      <c r="F50" s="334">
        <v>308069</v>
      </c>
    </row>
    <row r="51" spans="1:6">
      <c r="A51" s="348" t="s">
        <v>42</v>
      </c>
      <c r="B51" s="348" t="s">
        <v>43</v>
      </c>
      <c r="C51" s="334">
        <v>9</v>
      </c>
      <c r="D51" s="334">
        <v>295154</v>
      </c>
      <c r="E51" s="334">
        <v>23</v>
      </c>
      <c r="F51" s="334">
        <v>425135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951863</v>
      </c>
    </row>
    <row r="56" spans="1:6">
      <c r="A56" s="348" t="s">
        <v>48</v>
      </c>
      <c r="B56" s="348" t="s">
        <v>29</v>
      </c>
      <c r="C56" s="334">
        <v>31</v>
      </c>
      <c r="D56" s="334">
        <v>1671989</v>
      </c>
      <c r="E56" s="334">
        <v>72</v>
      </c>
      <c r="F56" s="334">
        <v>375249</v>
      </c>
    </row>
    <row r="57" spans="1:6">
      <c r="A57" s="348" t="s">
        <v>49</v>
      </c>
      <c r="B57" s="348" t="s">
        <v>50</v>
      </c>
      <c r="C57" s="334">
        <v>40</v>
      </c>
      <c r="D57" s="334">
        <v>4493482</v>
      </c>
      <c r="E57" s="334">
        <v>60</v>
      </c>
      <c r="F57" s="334">
        <v>1777412</v>
      </c>
    </row>
    <row r="58" spans="1:6">
      <c r="A58" s="348" t="s">
        <v>49</v>
      </c>
      <c r="B58" s="348" t="s">
        <v>51</v>
      </c>
      <c r="C58" s="334">
        <v>25</v>
      </c>
      <c r="D58" s="334">
        <v>2544444</v>
      </c>
      <c r="E58" s="334">
        <v>22</v>
      </c>
      <c r="F58" s="334">
        <v>1335868</v>
      </c>
    </row>
    <row r="59" spans="1:6">
      <c r="A59" s="348" t="s">
        <v>49</v>
      </c>
      <c r="B59" s="348" t="s">
        <v>52</v>
      </c>
      <c r="C59" s="334">
        <v>53</v>
      </c>
      <c r="D59" s="334">
        <v>2902070</v>
      </c>
      <c r="E59" s="334">
        <v>111</v>
      </c>
      <c r="F59" s="334">
        <v>3084460</v>
      </c>
    </row>
    <row r="60" spans="1:6">
      <c r="A60" s="348" t="s">
        <v>49</v>
      </c>
      <c r="B60" s="348" t="s">
        <v>53</v>
      </c>
      <c r="C60" s="334">
        <v>23</v>
      </c>
      <c r="D60" s="334">
        <v>1020172</v>
      </c>
      <c r="E60" s="334">
        <v>33</v>
      </c>
      <c r="F60" s="334">
        <v>725718</v>
      </c>
    </row>
    <row r="61" spans="1:6">
      <c r="A61" s="348" t="s">
        <v>49</v>
      </c>
      <c r="B61" s="348" t="s">
        <v>54</v>
      </c>
      <c r="C61" s="334">
        <v>111</v>
      </c>
      <c r="D61" s="334">
        <v>22551534</v>
      </c>
      <c r="E61" s="334">
        <v>240</v>
      </c>
      <c r="F61" s="334">
        <v>16808221</v>
      </c>
    </row>
    <row r="62" spans="1:6">
      <c r="A62" s="348" t="s">
        <v>49</v>
      </c>
      <c r="B62" s="348" t="s">
        <v>55</v>
      </c>
      <c r="C62" s="334">
        <v>4</v>
      </c>
      <c r="D62" s="334">
        <v>267831</v>
      </c>
      <c r="E62" s="334">
        <v>0</v>
      </c>
      <c r="F62" s="334">
        <v>0</v>
      </c>
    </row>
    <row r="63" spans="1:6">
      <c r="A63" s="348" t="s">
        <v>49</v>
      </c>
      <c r="B63" s="348" t="s">
        <v>29</v>
      </c>
      <c r="C63" s="334">
        <v>0</v>
      </c>
      <c r="D63" s="334">
        <v>0</v>
      </c>
      <c r="E63" s="334">
        <v>0</v>
      </c>
      <c r="F63" s="334">
        <v>32776</v>
      </c>
    </row>
    <row r="64" spans="1:6">
      <c r="A64" s="348" t="s">
        <v>56</v>
      </c>
      <c r="B64" s="348" t="s">
        <v>57</v>
      </c>
      <c r="C64" s="334">
        <v>0</v>
      </c>
      <c r="D64" s="334">
        <v>0</v>
      </c>
      <c r="E64" s="334">
        <v>0</v>
      </c>
      <c r="F64" s="334">
        <v>0</v>
      </c>
    </row>
    <row r="65" spans="1:6">
      <c r="A65" s="348" t="s">
        <v>56</v>
      </c>
      <c r="B65" s="348" t="s">
        <v>29</v>
      </c>
      <c r="C65" s="334">
        <v>4</v>
      </c>
      <c r="D65" s="334">
        <v>105604</v>
      </c>
      <c r="E65" s="334">
        <v>0</v>
      </c>
      <c r="F65" s="334">
        <v>8429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142989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76677079</v>
      </c>
      <c r="E73" s="475">
        <v>94732608.195531756</v>
      </c>
    </row>
    <row r="74" spans="1:6">
      <c r="A74" s="348" t="s">
        <v>64</v>
      </c>
      <c r="B74" s="348" t="s">
        <v>667</v>
      </c>
      <c r="C74" s="1294" t="s">
        <v>669</v>
      </c>
      <c r="D74" s="475">
        <v>8298174.2725401781</v>
      </c>
      <c r="E74" s="475">
        <v>9624253.9897993766</v>
      </c>
    </row>
    <row r="75" spans="1:6">
      <c r="A75" s="348" t="s">
        <v>65</v>
      </c>
      <c r="B75" s="348" t="s">
        <v>666</v>
      </c>
      <c r="C75" s="1294" t="s">
        <v>670</v>
      </c>
      <c r="D75" s="475">
        <v>11744925</v>
      </c>
      <c r="E75" s="475">
        <v>14957653.907671362</v>
      </c>
    </row>
    <row r="76" spans="1:6">
      <c r="A76" s="348" t="s">
        <v>65</v>
      </c>
      <c r="B76" s="348" t="s">
        <v>667</v>
      </c>
      <c r="C76" s="1294" t="s">
        <v>671</v>
      </c>
      <c r="D76" s="475">
        <v>1137680.2725401781</v>
      </c>
      <c r="E76" s="475">
        <v>1398603.7504708762</v>
      </c>
    </row>
    <row r="77" spans="1:6">
      <c r="A77" s="348" t="s">
        <v>66</v>
      </c>
      <c r="B77" s="348" t="s">
        <v>666</v>
      </c>
      <c r="C77" s="1294" t="s">
        <v>672</v>
      </c>
      <c r="D77" s="475">
        <v>21065981</v>
      </c>
      <c r="E77" s="475">
        <v>21695744.703356072</v>
      </c>
    </row>
    <row r="78" spans="1:6">
      <c r="A78" s="341" t="s">
        <v>66</v>
      </c>
      <c r="B78" s="341" t="s">
        <v>667</v>
      </c>
      <c r="C78" s="341" t="s">
        <v>673</v>
      </c>
      <c r="D78" s="1295">
        <v>2678222</v>
      </c>
      <c r="E78" s="1295">
        <v>2715572.5508624748</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1450055.4549196439</v>
      </c>
      <c r="C83" s="475">
        <v>1450055.4549196439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2427.7638169636552</v>
      </c>
    </row>
    <row r="92" spans="1:6">
      <c r="A92" s="341" t="s">
        <v>69</v>
      </c>
      <c r="B92" s="342">
        <v>406.61776037576368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47198.65771050215</v>
      </c>
      <c r="C3" s="43" t="s">
        <v>170</v>
      </c>
      <c r="D3" s="43"/>
      <c r="E3" s="154"/>
      <c r="F3" s="43"/>
      <c r="G3" s="43"/>
      <c r="H3" s="43"/>
      <c r="I3" s="43"/>
      <c r="J3" s="43"/>
      <c r="K3" s="96"/>
    </row>
    <row r="4" spans="1:11">
      <c r="A4" s="383" t="s">
        <v>171</v>
      </c>
      <c r="B4" s="49">
        <f>IF(ISERROR('SEAP template'!B78),0,'SEAP template'!B78)</f>
        <v>2834.381577339419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0.20772847155031207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951.86300000000006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951.86300000000006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0.20772847155031207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197.72904611529472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18297.778999999999</v>
      </c>
      <c r="C5" s="17">
        <f>IF(ISERROR('Eigen informatie GS &amp; warmtenet'!B57),0,'Eigen informatie GS &amp; warmtenet'!B57)</f>
        <v>0</v>
      </c>
      <c r="D5" s="30">
        <f>(SUM(HH_hh_gas_kWh,HH_rest_gas_kWh)/1000)*0.902</f>
        <v>56021.887746</v>
      </c>
      <c r="E5" s="17">
        <f>B46*B57</f>
        <v>1570.770182161426</v>
      </c>
      <c r="F5" s="17">
        <f>B51*B62</f>
        <v>4508.1669464022189</v>
      </c>
      <c r="G5" s="18"/>
      <c r="H5" s="17"/>
      <c r="I5" s="17"/>
      <c r="J5" s="17">
        <f>B50*B61+C50*C61</f>
        <v>0</v>
      </c>
      <c r="K5" s="17"/>
      <c r="L5" s="17"/>
      <c r="M5" s="17"/>
      <c r="N5" s="17">
        <f>B48*B59+C48*C59</f>
        <v>7758.4190015597251</v>
      </c>
      <c r="O5" s="17">
        <f>B69*B70*B71</f>
        <v>75.040000000000006</v>
      </c>
      <c r="P5" s="17">
        <f>B77*B78*B79/1000-B77*B78*B79/1000/B80</f>
        <v>400.4</v>
      </c>
    </row>
    <row r="6" spans="1:16">
      <c r="A6" s="16" t="s">
        <v>624</v>
      </c>
      <c r="B6" s="788">
        <f>kWh_PV_kleiner_dan_10kW</f>
        <v>2427.7638169636552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20725.542816963654</v>
      </c>
      <c r="C8" s="21">
        <f>C5</f>
        <v>0</v>
      </c>
      <c r="D8" s="21">
        <f>D5</f>
        <v>56021.887746</v>
      </c>
      <c r="E8" s="21">
        <f>E5</f>
        <v>1570.770182161426</v>
      </c>
      <c r="F8" s="21">
        <f>F5</f>
        <v>4508.1669464022189</v>
      </c>
      <c r="G8" s="21"/>
      <c r="H8" s="21"/>
      <c r="I8" s="21"/>
      <c r="J8" s="21">
        <f>J5</f>
        <v>0</v>
      </c>
      <c r="K8" s="21"/>
      <c r="L8" s="21">
        <f>L5</f>
        <v>0</v>
      </c>
      <c r="M8" s="21">
        <f>M5</f>
        <v>0</v>
      </c>
      <c r="N8" s="21">
        <f>N5</f>
        <v>7758.4190015597251</v>
      </c>
      <c r="O8" s="21">
        <f>O5</f>
        <v>75.040000000000006</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0.20772847155031207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4305.2853314184094</v>
      </c>
      <c r="C12" s="23">
        <f ca="1">C10*C8</f>
        <v>0</v>
      </c>
      <c r="D12" s="23">
        <f>D8*D10</f>
        <v>11316.421324692001</v>
      </c>
      <c r="E12" s="23">
        <f>E10*E8</f>
        <v>356.56483135064371</v>
      </c>
      <c r="F12" s="23">
        <f>F10*F8</f>
        <v>1203.6805746893924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4677</v>
      </c>
      <c r="C28" s="36"/>
      <c r="D28" s="228"/>
    </row>
    <row r="29" spans="1:7" s="15" customFormat="1">
      <c r="A29" s="230" t="s">
        <v>699</v>
      </c>
      <c r="B29" s="37">
        <f>SUM(HH_hh_gas_aantal,HH_rest_gas_aantal)</f>
        <v>3417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3417</v>
      </c>
      <c r="C32" s="167">
        <f>IF(ISERROR(B32/SUM($B$32,$B$34,$B$35,$B$36,$B$38,$B$39)*100),0,B32/SUM($B$32,$B$34,$B$35,$B$36,$B$38,$B$39)*100)</f>
        <v>73.389175257731949</v>
      </c>
      <c r="D32" s="233"/>
      <c r="G32" s="15"/>
    </row>
    <row r="33" spans="1:7">
      <c r="A33" s="171" t="s">
        <v>72</v>
      </c>
      <c r="B33" s="34" t="s">
        <v>111</v>
      </c>
      <c r="C33" s="167"/>
      <c r="D33" s="233"/>
      <c r="G33" s="15"/>
    </row>
    <row r="34" spans="1:7">
      <c r="A34" s="171" t="s">
        <v>73</v>
      </c>
      <c r="B34" s="33">
        <f>IF((($B$28-$B$32-$B$39-$B$77-$B$38)*C20/100)&lt;0,0,($B$28-$B$32-$B$39-$B$77-$B$38)*C20/100)</f>
        <v>69.448137535816599</v>
      </c>
      <c r="C34" s="167">
        <f>IF(ISERROR(B34/SUM($B$32,$B$34,$B$35,$B$36,$B$38,$B$39)*100),0,B34/SUM($B$32,$B$34,$B$35,$B$36,$B$38,$B$39)*100)</f>
        <v>1.4915837099616966</v>
      </c>
      <c r="D34" s="233"/>
      <c r="G34" s="15"/>
    </row>
    <row r="35" spans="1:7">
      <c r="A35" s="171" t="s">
        <v>74</v>
      </c>
      <c r="B35" s="33">
        <f>IF((($B$28-$B$32-$B$39-$B$77-$B$38)*C21/100)&lt;0,0,($B$28-$B$32-$B$39-$B$77-$B$38)*C21/100)</f>
        <v>863.57249283667613</v>
      </c>
      <c r="C35" s="167">
        <f>IF(ISERROR(B35/SUM($B$32,$B$34,$B$35,$B$36,$B$38,$B$39)*100),0,B35/SUM($B$32,$B$34,$B$35,$B$36,$B$38,$B$39)*100)</f>
        <v>18.547519176045448</v>
      </c>
      <c r="D35" s="233"/>
      <c r="G35" s="15"/>
    </row>
    <row r="36" spans="1:7">
      <c r="A36" s="171" t="s">
        <v>75</v>
      </c>
      <c r="B36" s="33">
        <f>IF((($B$28-$B$32-$B$39-$B$77-$B$38)*C22/100)&lt;0,0,($B$28-$B$32-$B$39-$B$77-$B$38)*C22/100)</f>
        <v>120.77936962750717</v>
      </c>
      <c r="C36" s="167">
        <f>IF(ISERROR(B36/SUM($B$32,$B$34,$B$35,$B$36,$B$38,$B$39)*100),0,B36/SUM($B$32,$B$34,$B$35,$B$36,$B$38,$B$39)*100)</f>
        <v>2.5940586260203431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185.20000000000005</v>
      </c>
      <c r="C39" s="167">
        <f>IF(ISERROR(B39/SUM($B$32,$B$34,$B$35,$B$36,$B$38,$B$39)*100),0,B39/SUM($B$32,$B$34,$B$35,$B$36,$B$38,$B$39)*100)</f>
        <v>3.9776632302405508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3417</v>
      </c>
      <c r="C44" s="34" t="s">
        <v>111</v>
      </c>
      <c r="D44" s="174"/>
    </row>
    <row r="45" spans="1:7">
      <c r="A45" s="171" t="s">
        <v>72</v>
      </c>
      <c r="B45" s="33" t="str">
        <f t="shared" si="0"/>
        <v>-</v>
      </c>
      <c r="C45" s="34" t="s">
        <v>111</v>
      </c>
      <c r="D45" s="174"/>
    </row>
    <row r="46" spans="1:7">
      <c r="A46" s="171" t="s">
        <v>73</v>
      </c>
      <c r="B46" s="33">
        <f t="shared" si="0"/>
        <v>69.448137535816599</v>
      </c>
      <c r="C46" s="34" t="s">
        <v>111</v>
      </c>
      <c r="D46" s="174"/>
    </row>
    <row r="47" spans="1:7">
      <c r="A47" s="171" t="s">
        <v>74</v>
      </c>
      <c r="B47" s="33">
        <f t="shared" si="0"/>
        <v>863.57249283667613</v>
      </c>
      <c r="C47" s="34" t="s">
        <v>111</v>
      </c>
      <c r="D47" s="174"/>
    </row>
    <row r="48" spans="1:7">
      <c r="A48" s="171" t="s">
        <v>75</v>
      </c>
      <c r="B48" s="33">
        <f t="shared" si="0"/>
        <v>120.77936962750717</v>
      </c>
      <c r="C48" s="33">
        <f>B48*10</f>
        <v>1207.7936962750716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23764.455000000002</v>
      </c>
      <c r="C5" s="17">
        <f>IF(ISERROR('Eigen informatie GS &amp; warmtenet'!B58),0,'Eigen informatie GS &amp; warmtenet'!B58)</f>
        <v>0</v>
      </c>
      <c r="D5" s="30">
        <f>SUM(D6:D12)</f>
        <v>30469.138766000004</v>
      </c>
      <c r="E5" s="17">
        <f>SUM(E6:E12)</f>
        <v>344.82835040636178</v>
      </c>
      <c r="F5" s="17">
        <f>SUM(F6:F12)</f>
        <v>5882.0522394976952</v>
      </c>
      <c r="G5" s="18"/>
      <c r="H5" s="17"/>
      <c r="I5" s="17"/>
      <c r="J5" s="17">
        <f>SUM(J6:J12)</f>
        <v>0</v>
      </c>
      <c r="K5" s="17"/>
      <c r="L5" s="17"/>
      <c r="M5" s="17"/>
      <c r="N5" s="17">
        <f>SUM(N6:N12)</f>
        <v>1440.0030586114647</v>
      </c>
      <c r="O5" s="17">
        <f>B38*B39*B40</f>
        <v>0</v>
      </c>
      <c r="P5" s="17">
        <f>B46*B47*B48/1000-B46*B47*B48/1000/B49</f>
        <v>19.066666666666666</v>
      </c>
      <c r="R5" s="32"/>
    </row>
    <row r="6" spans="1:18">
      <c r="A6" s="32" t="s">
        <v>54</v>
      </c>
      <c r="B6" s="37">
        <f>B26</f>
        <v>16808.221000000001</v>
      </c>
      <c r="C6" s="33"/>
      <c r="D6" s="37">
        <f>IF(ISERROR(TER_kantoor_gas_kWh/1000),0,TER_kantoor_gas_kWh/1000)*0.902</f>
        <v>20341.483668000001</v>
      </c>
      <c r="E6" s="33">
        <f>$C$26*'E Balans VL '!I12/100/3.6*1000000</f>
        <v>220.04031761600348</v>
      </c>
      <c r="F6" s="33">
        <f>$C$26*('E Balans VL '!L12+'E Balans VL '!N12)/100/3.6*1000000</f>
        <v>4285.9226653323476</v>
      </c>
      <c r="G6" s="34"/>
      <c r="H6" s="33"/>
      <c r="I6" s="33"/>
      <c r="J6" s="33">
        <f>$C$26*('E Balans VL '!D12+'E Balans VL '!E12)/100/3.6*1000000</f>
        <v>0</v>
      </c>
      <c r="K6" s="33"/>
      <c r="L6" s="33"/>
      <c r="M6" s="33"/>
      <c r="N6" s="33">
        <f>$C$26*'E Balans VL '!Y12/100/3.6*1000000</f>
        <v>16.864821783921965</v>
      </c>
      <c r="O6" s="33"/>
      <c r="P6" s="33"/>
      <c r="R6" s="32"/>
    </row>
    <row r="7" spans="1:18">
      <c r="A7" s="32" t="s">
        <v>53</v>
      </c>
      <c r="B7" s="37">
        <f t="shared" ref="B7:B12" si="0">B27</f>
        <v>725.71799999999996</v>
      </c>
      <c r="C7" s="33"/>
      <c r="D7" s="37">
        <f>IF(ISERROR(TER_horeca_gas_kWh/1000),0,TER_horeca_gas_kWh/1000)*0.902</f>
        <v>920.19514400000003</v>
      </c>
      <c r="E7" s="33">
        <f>$C$27*'E Balans VL '!I9/100/3.6*1000000</f>
        <v>24.016851405491018</v>
      </c>
      <c r="F7" s="33">
        <f>$C$27*('E Balans VL '!L9+'E Balans VL '!N9)/100/3.6*1000000</f>
        <v>312.05595871173142</v>
      </c>
      <c r="G7" s="34"/>
      <c r="H7" s="33"/>
      <c r="I7" s="33"/>
      <c r="J7" s="33">
        <f>$C$27*('E Balans VL '!D9+'E Balans VL '!E9)/100/3.6*1000000</f>
        <v>0</v>
      </c>
      <c r="K7" s="33"/>
      <c r="L7" s="33"/>
      <c r="M7" s="33"/>
      <c r="N7" s="33">
        <f>$C$27*'E Balans VL '!Y9/100/3.6*1000000</f>
        <v>0.1746908611818733</v>
      </c>
      <c r="O7" s="33"/>
      <c r="P7" s="33"/>
      <c r="R7" s="32"/>
    </row>
    <row r="8" spans="1:18">
      <c r="A8" s="6" t="s">
        <v>52</v>
      </c>
      <c r="B8" s="37">
        <f t="shared" si="0"/>
        <v>3084.46</v>
      </c>
      <c r="C8" s="33"/>
      <c r="D8" s="37">
        <f>IF(ISERROR(TER_handel_gas_kWh/1000),0,TER_handel_gas_kWh/1000)*0.902</f>
        <v>2617.66714</v>
      </c>
      <c r="E8" s="33">
        <f>$C$28*'E Balans VL '!I13/100/3.6*1000000</f>
        <v>97.350270514592623</v>
      </c>
      <c r="F8" s="33">
        <f>$C$28*('E Balans VL '!L13+'E Balans VL '!N13)/100/3.6*1000000</f>
        <v>604.91691996848988</v>
      </c>
      <c r="G8" s="34"/>
      <c r="H8" s="33"/>
      <c r="I8" s="33"/>
      <c r="J8" s="33">
        <f>$C$28*('E Balans VL '!D13+'E Balans VL '!E13)/100/3.6*1000000</f>
        <v>0</v>
      </c>
      <c r="K8" s="33"/>
      <c r="L8" s="33"/>
      <c r="M8" s="33"/>
      <c r="N8" s="33">
        <f>$C$28*'E Balans VL '!Y13/100/3.6*1000000</f>
        <v>3.6606551794426458</v>
      </c>
      <c r="O8" s="33"/>
      <c r="P8" s="33"/>
      <c r="R8" s="32"/>
    </row>
    <row r="9" spans="1:18">
      <c r="A9" s="32" t="s">
        <v>51</v>
      </c>
      <c r="B9" s="37">
        <f t="shared" si="0"/>
        <v>1335.8679999999999</v>
      </c>
      <c r="C9" s="33"/>
      <c r="D9" s="37">
        <f>IF(ISERROR(TER_gezond_gas_kWh/1000),0,TER_gezond_gas_kWh/1000)*0.902</f>
        <v>2295.0884879999999</v>
      </c>
      <c r="E9" s="33">
        <f>$C$29*'E Balans VL '!I10/100/3.6*1000000</f>
        <v>0.17103018395122913</v>
      </c>
      <c r="F9" s="33">
        <f>$C$29*('E Balans VL '!L10+'E Balans VL '!N10)/100/3.6*1000000</f>
        <v>278.31729575911754</v>
      </c>
      <c r="G9" s="34"/>
      <c r="H9" s="33"/>
      <c r="I9" s="33"/>
      <c r="J9" s="33">
        <f>$C$29*('E Balans VL '!D10+'E Balans VL '!E10)/100/3.6*1000000</f>
        <v>0</v>
      </c>
      <c r="K9" s="33"/>
      <c r="L9" s="33"/>
      <c r="M9" s="33"/>
      <c r="N9" s="33">
        <f>$C$29*'E Balans VL '!Y10/100/3.6*1000000</f>
        <v>15.690401074226193</v>
      </c>
      <c r="O9" s="33"/>
      <c r="P9" s="33"/>
      <c r="R9" s="32"/>
    </row>
    <row r="10" spans="1:18">
      <c r="A10" s="32" t="s">
        <v>50</v>
      </c>
      <c r="B10" s="37">
        <f t="shared" si="0"/>
        <v>1777.412</v>
      </c>
      <c r="C10" s="33"/>
      <c r="D10" s="37">
        <f>IF(ISERROR(TER_ander_gas_kWh/1000),0,TER_ander_gas_kWh/1000)*0.902</f>
        <v>4053.1207640000002</v>
      </c>
      <c r="E10" s="33">
        <f>$C$30*'E Balans VL '!I14/100/3.6*1000000</f>
        <v>2.6728096618620429</v>
      </c>
      <c r="F10" s="33">
        <f>$C$30*('E Balans VL '!L14+'E Balans VL '!N14)/100/3.6*1000000</f>
        <v>392.39527544049918</v>
      </c>
      <c r="G10" s="34"/>
      <c r="H10" s="33"/>
      <c r="I10" s="33"/>
      <c r="J10" s="33">
        <f>$C$30*('E Balans VL '!D14+'E Balans VL '!E14)/100/3.6*1000000</f>
        <v>0</v>
      </c>
      <c r="K10" s="33"/>
      <c r="L10" s="33"/>
      <c r="M10" s="33"/>
      <c r="N10" s="33">
        <f>$C$30*'E Balans VL '!Y14/100/3.6*1000000</f>
        <v>1400.7202713176534</v>
      </c>
      <c r="O10" s="33"/>
      <c r="P10" s="33"/>
      <c r="R10" s="32"/>
    </row>
    <row r="11" spans="1:18">
      <c r="A11" s="32" t="s">
        <v>55</v>
      </c>
      <c r="B11" s="37">
        <f t="shared" si="0"/>
        <v>0</v>
      </c>
      <c r="C11" s="33"/>
      <c r="D11" s="37">
        <f>IF(ISERROR(TER_onderwijs_gas_kWh/1000),0,TER_onderwijs_gas_kWh/1000)*0.902</f>
        <v>241.58356200000003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32.776000000000003</v>
      </c>
      <c r="C12" s="33"/>
      <c r="D12" s="37">
        <f>IF(ISERROR(TER_rest_gas_kWh/1000),0,TER_rest_gas_kWh/1000)*0.902</f>
        <v>0</v>
      </c>
      <c r="E12" s="33">
        <f>$C$32*'E Balans VL '!I8/100/3.6*1000000</f>
        <v>0.57707102446134129</v>
      </c>
      <c r="F12" s="33">
        <f>$C$32*('E Balans VL '!L8+'E Balans VL '!N8)/100/3.6*1000000</f>
        <v>8.444124285508833</v>
      </c>
      <c r="G12" s="34"/>
      <c r="H12" s="33"/>
      <c r="I12" s="33"/>
      <c r="J12" s="33">
        <f>$C$32*('E Balans VL '!D8+'E Balans VL '!E8)/100/3.6*1000000</f>
        <v>0</v>
      </c>
      <c r="K12" s="33"/>
      <c r="L12" s="33"/>
      <c r="M12" s="33"/>
      <c r="N12" s="33">
        <f>$C$32*'E Balans VL '!Y8/100/3.6*1000000</f>
        <v>2.8922183950385927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23764.455000000002</v>
      </c>
      <c r="C16" s="21">
        <f t="shared" ca="1" si="1"/>
        <v>0</v>
      </c>
      <c r="D16" s="21">
        <f t="shared" ca="1" si="1"/>
        <v>30469.138766000004</v>
      </c>
      <c r="E16" s="21">
        <f t="shared" si="1"/>
        <v>344.82835040636178</v>
      </c>
      <c r="F16" s="21">
        <f t="shared" ca="1" si="1"/>
        <v>5882.0522394976952</v>
      </c>
      <c r="G16" s="21">
        <f t="shared" si="1"/>
        <v>0</v>
      </c>
      <c r="H16" s="21">
        <f t="shared" si="1"/>
        <v>0</v>
      </c>
      <c r="I16" s="21">
        <f t="shared" si="1"/>
        <v>0</v>
      </c>
      <c r="J16" s="21">
        <f t="shared" si="1"/>
        <v>0</v>
      </c>
      <c r="K16" s="21">
        <f t="shared" si="1"/>
        <v>0</v>
      </c>
      <c r="L16" s="21">
        <f t="shared" ca="1" si="1"/>
        <v>0</v>
      </c>
      <c r="M16" s="21">
        <f t="shared" si="1"/>
        <v>0</v>
      </c>
      <c r="N16" s="21">
        <f t="shared" ca="1" si="1"/>
        <v>1440.0030586114647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0.20772847155031207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4936.5539143761716</v>
      </c>
      <c r="C20" s="23">
        <f t="shared" ref="C20:P20" ca="1" si="2">C16*C18</f>
        <v>0</v>
      </c>
      <c r="D20" s="23">
        <f t="shared" ca="1" si="2"/>
        <v>6154.7660307320011</v>
      </c>
      <c r="E20" s="23">
        <f t="shared" si="2"/>
        <v>78.276035542244131</v>
      </c>
      <c r="F20" s="23">
        <f t="shared" ca="1" si="2"/>
        <v>1570.5079479458848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16808.221000000001</v>
      </c>
      <c r="C26" s="39">
        <f>IF(ISERROR(B26*3.6/1000000/'E Balans VL '!Z12*100),0,B26*3.6/1000000/'E Balans VL '!Z12*100)</f>
        <v>0.36004515161843043</v>
      </c>
      <c r="D26" s="237" t="s">
        <v>660</v>
      </c>
      <c r="F26" s="6"/>
    </row>
    <row r="27" spans="1:18">
      <c r="A27" s="231" t="s">
        <v>53</v>
      </c>
      <c r="B27" s="33">
        <f>IF(ISERROR(TER_horeca_ele_kWh/1000),0,TER_horeca_ele_kWh/1000)</f>
        <v>725.71799999999996</v>
      </c>
      <c r="C27" s="39">
        <f>IF(ISERROR(B27*3.6/1000000/'E Balans VL '!Z9*100),0,B27*3.6/1000000/'E Balans VL '!Z9*100)</f>
        <v>5.8236346929980295E-2</v>
      </c>
      <c r="D27" s="237" t="s">
        <v>660</v>
      </c>
      <c r="F27" s="6"/>
    </row>
    <row r="28" spans="1:18">
      <c r="A28" s="171" t="s">
        <v>52</v>
      </c>
      <c r="B28" s="33">
        <f>IF(ISERROR(TER_handel_ele_kWh/1000),0,TER_handel_ele_kWh/1000)</f>
        <v>3084.46</v>
      </c>
      <c r="C28" s="39">
        <f>IF(ISERROR(B28*3.6/1000000/'E Balans VL '!Z13*100),0,B28*3.6/1000000/'E Balans VL '!Z13*100)</f>
        <v>9.0973878243106862E-2</v>
      </c>
      <c r="D28" s="237" t="s">
        <v>660</v>
      </c>
      <c r="F28" s="6"/>
    </row>
    <row r="29" spans="1:18">
      <c r="A29" s="231" t="s">
        <v>51</v>
      </c>
      <c r="B29" s="33">
        <f>IF(ISERROR(TER_gezond_ele_kWh/1000),0,TER_gezond_ele_kWh/1000)</f>
        <v>1335.8679999999999</v>
      </c>
      <c r="C29" s="39">
        <f>IF(ISERROR(B29*3.6/1000000/'E Balans VL '!Z10*100),0,B29*3.6/1000000/'E Balans VL '!Z10*100)</f>
        <v>0.14263488643583241</v>
      </c>
      <c r="D29" s="237" t="s">
        <v>660</v>
      </c>
      <c r="F29" s="6"/>
    </row>
    <row r="30" spans="1:18">
      <c r="A30" s="231" t="s">
        <v>50</v>
      </c>
      <c r="B30" s="33">
        <f>IF(ISERROR(TER_ander_ele_kWh/1000),0,TER_ander_ele_kWh/1000)</f>
        <v>1777.412</v>
      </c>
      <c r="C30" s="39">
        <f>IF(ISERROR(B30*3.6/1000000/'E Balans VL '!Z14*100),0,B30*3.6/1000000/'E Balans VL '!Z14*100)</f>
        <v>0.13425490797538953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32.776000000000003</v>
      </c>
      <c r="C32" s="39">
        <f>IF(ISERROR(B32*3.6/1000000/'E Balans VL '!Z8*100),0,B32*3.6/1000000/'E Balans VL '!Z8*100)</f>
        <v>2.7175868025074574E-4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930.75599999999997</v>
      </c>
      <c r="C5" s="17">
        <f>IF(ISERROR('Eigen informatie GS &amp; warmtenet'!B59),0,'Eigen informatie GS &amp; warmtenet'!B59)</f>
        <v>0</v>
      </c>
      <c r="D5" s="30">
        <f>SUM(D6:D15)</f>
        <v>1287.8638740000001</v>
      </c>
      <c r="E5" s="17">
        <f>SUM(E6:E15)</f>
        <v>100.34442195518902</v>
      </c>
      <c r="F5" s="17">
        <f>SUM(F6:F15)</f>
        <v>473.54148433849798</v>
      </c>
      <c r="G5" s="18"/>
      <c r="H5" s="17"/>
      <c r="I5" s="17"/>
      <c r="J5" s="17">
        <f>SUM(J6:J15)</f>
        <v>0.12030148766209198</v>
      </c>
      <c r="K5" s="17"/>
      <c r="L5" s="17"/>
      <c r="M5" s="17"/>
      <c r="N5" s="17">
        <f>SUM(N6:N15)</f>
        <v>232.65636483419752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289.24799999999999</v>
      </c>
      <c r="C8" s="33"/>
      <c r="D8" s="37">
        <f>IF( ISERROR(IND_metaal_Gas_kWH/1000),0,IND_metaal_Gas_kWH/1000)*0.902</f>
        <v>71.746884000000009</v>
      </c>
      <c r="E8" s="33">
        <f>C30*'E Balans VL '!I18/100/3.6*1000000</f>
        <v>10.408018074516846</v>
      </c>
      <c r="F8" s="33">
        <f>C30*'E Balans VL '!L18/100/3.6*1000000+C30*'E Balans VL '!N18/100/3.6*1000000</f>
        <v>126.30522518864686</v>
      </c>
      <c r="G8" s="34"/>
      <c r="H8" s="33"/>
      <c r="I8" s="33"/>
      <c r="J8" s="40">
        <f>C30*'E Balans VL '!D18/100/3.6*1000000+C30*'E Balans VL '!E18/100/3.6*1000000</f>
        <v>0</v>
      </c>
      <c r="K8" s="33"/>
      <c r="L8" s="33"/>
      <c r="M8" s="33"/>
      <c r="N8" s="33">
        <f>C30*'E Balans VL '!Y18/100/3.6*1000000</f>
        <v>14.496913195156067</v>
      </c>
      <c r="O8" s="33"/>
      <c r="P8" s="33"/>
      <c r="R8" s="32"/>
    </row>
    <row r="9" spans="1:18">
      <c r="A9" s="6" t="s">
        <v>33</v>
      </c>
      <c r="B9" s="37">
        <f t="shared" si="0"/>
        <v>318.60000000000002</v>
      </c>
      <c r="C9" s="33"/>
      <c r="D9" s="37">
        <f>IF( ISERROR(IND_andere_gas_kWh/1000),0,IND_andere_gas_kWh/1000)*0.902</f>
        <v>548.21304999999995</v>
      </c>
      <c r="E9" s="33">
        <f>C31*'E Balans VL '!I19/100/3.6*1000000</f>
        <v>81.299511473096658</v>
      </c>
      <c r="F9" s="33">
        <f>C31*'E Balans VL '!L19/100/3.6*1000000+C31*'E Balans VL '!N19/100/3.6*1000000</f>
        <v>274.29065309302422</v>
      </c>
      <c r="G9" s="34"/>
      <c r="H9" s="33"/>
      <c r="I9" s="33"/>
      <c r="J9" s="40">
        <f>C31*'E Balans VL '!D19/100/3.6*1000000+C31*'E Balans VL '!E19/100/3.6*1000000</f>
        <v>0</v>
      </c>
      <c r="K9" s="33"/>
      <c r="L9" s="33"/>
      <c r="M9" s="33"/>
      <c r="N9" s="33">
        <f>C31*'E Balans VL '!Y19/100/3.6*1000000</f>
        <v>99.637130910477836</v>
      </c>
      <c r="O9" s="33"/>
      <c r="P9" s="33"/>
      <c r="R9" s="32"/>
    </row>
    <row r="10" spans="1:18">
      <c r="A10" s="6" t="s">
        <v>41</v>
      </c>
      <c r="B10" s="37">
        <f t="shared" si="0"/>
        <v>308.06900000000002</v>
      </c>
      <c r="C10" s="33"/>
      <c r="D10" s="37">
        <f>IF( ISERROR(IND_voed_gas_kWh/1000),0,IND_voed_gas_kWh/1000)*0.902</f>
        <v>371.40481399999999</v>
      </c>
      <c r="E10" s="33">
        <f>C32*'E Balans VL '!I20/100/3.6*1000000</f>
        <v>7.8315369934022341</v>
      </c>
      <c r="F10" s="33">
        <f>C32*'E Balans VL '!L20/100/3.6*1000000+C32*'E Balans VL '!N20/100/3.6*1000000</f>
        <v>69.711390185491624</v>
      </c>
      <c r="G10" s="34"/>
      <c r="H10" s="33"/>
      <c r="I10" s="33"/>
      <c r="J10" s="40">
        <f>C32*'E Balans VL '!D20/100/3.6*1000000+C32*'E Balans VL '!E20/100/3.6*1000000</f>
        <v>0</v>
      </c>
      <c r="K10" s="33"/>
      <c r="L10" s="33"/>
      <c r="M10" s="33"/>
      <c r="N10" s="33">
        <f>C32*'E Balans VL '!Y20/100/3.6*1000000</f>
        <v>115.53422553870226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14.839</v>
      </c>
      <c r="C15" s="33"/>
      <c r="D15" s="37">
        <f>IF( ISERROR(IND_rest_gas_kWh/1000),0,IND_rest_gas_kWh/1000)*0.902</f>
        <v>296.49912600000005</v>
      </c>
      <c r="E15" s="33">
        <f>C37*'E Balans VL '!I15/100/3.6*1000000</f>
        <v>0.8053554141732765</v>
      </c>
      <c r="F15" s="33">
        <f>C37*'E Balans VL '!L15/100/3.6*1000000+C37*'E Balans VL '!N15/100/3.6*1000000</f>
        <v>3.2342158713353495</v>
      </c>
      <c r="G15" s="34"/>
      <c r="H15" s="33"/>
      <c r="I15" s="33"/>
      <c r="J15" s="40">
        <f>C37*'E Balans VL '!D15/100/3.6*1000000+C37*'E Balans VL '!E15/100/3.6*1000000</f>
        <v>0.12030148766209198</v>
      </c>
      <c r="K15" s="33"/>
      <c r="L15" s="33"/>
      <c r="M15" s="33"/>
      <c r="N15" s="33">
        <f>C37*'E Balans VL '!Y15/100/3.6*1000000</f>
        <v>2.9880951898613595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930.75599999999997</v>
      </c>
      <c r="C18" s="21">
        <f>C5+C16</f>
        <v>0</v>
      </c>
      <c r="D18" s="21">
        <f>MAX((D5+D16),0)</f>
        <v>1287.8638740000001</v>
      </c>
      <c r="E18" s="21">
        <f>MAX((E5+E16),0)</f>
        <v>100.34442195518902</v>
      </c>
      <c r="F18" s="21">
        <f>MAX((F5+F16),0)</f>
        <v>473.54148433849798</v>
      </c>
      <c r="G18" s="21"/>
      <c r="H18" s="21"/>
      <c r="I18" s="21"/>
      <c r="J18" s="21">
        <f>MAX((J5+J16),0)</f>
        <v>0.12030148766209198</v>
      </c>
      <c r="K18" s="21"/>
      <c r="L18" s="21">
        <f>MAX((L5+L16),0)</f>
        <v>0</v>
      </c>
      <c r="M18" s="21"/>
      <c r="N18" s="21">
        <f>MAX((N5+N16),0)</f>
        <v>232.65636483419752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0.20772847155031207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193.34452126628224</v>
      </c>
      <c r="C22" s="23">
        <f ca="1">C18*C20</f>
        <v>0</v>
      </c>
      <c r="D22" s="23">
        <f>D18*D20</f>
        <v>260.14850254800007</v>
      </c>
      <c r="E22" s="23">
        <f>E18*E20</f>
        <v>22.77818378382791</v>
      </c>
      <c r="F22" s="23">
        <f>F18*F20</f>
        <v>126.43557631837896</v>
      </c>
      <c r="G22" s="23"/>
      <c r="H22" s="23"/>
      <c r="I22" s="23"/>
      <c r="J22" s="23">
        <f>J18*J20</f>
        <v>4.2586726632380556E-2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289.24799999999999</v>
      </c>
      <c r="C30" s="39">
        <f>IF(ISERROR(B30*3.6/1000000/'E Balans VL '!Z18*100),0,B30*3.6/1000000/'E Balans VL '!Z18*100)</f>
        <v>6.1285449886318982E-2</v>
      </c>
      <c r="D30" s="237" t="s">
        <v>660</v>
      </c>
    </row>
    <row r="31" spans="1:18">
      <c r="A31" s="6" t="s">
        <v>33</v>
      </c>
      <c r="B31" s="37">
        <f>IF( ISERROR(IND_ander_ele_kWh/1000),0,IND_ander_ele_kWh/1000)</f>
        <v>318.60000000000002</v>
      </c>
      <c r="C31" s="39">
        <f>IF(ISERROR(B31*3.6/1000000/'E Balans VL '!Z19*100),0,B31*3.6/1000000/'E Balans VL '!Z19*100)</f>
        <v>1.3410597433912392E-2</v>
      </c>
      <c r="D31" s="237" t="s">
        <v>660</v>
      </c>
    </row>
    <row r="32" spans="1:18">
      <c r="A32" s="171" t="s">
        <v>41</v>
      </c>
      <c r="B32" s="37">
        <f>IF( ISERROR(IND_voed_ele_kWh/1000),0,IND_voed_ele_kWh/1000)</f>
        <v>308.06900000000002</v>
      </c>
      <c r="C32" s="39">
        <f>IF(ISERROR(B32*3.6/1000000/'E Balans VL '!Z20*100),0,B32*3.6/1000000/'E Balans VL '!Z20*100)</f>
        <v>5.1466412011009717E-2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14.839</v>
      </c>
      <c r="C37" s="39">
        <f>IF(ISERROR(B37*3.6/1000000/'E Balans VL '!Z15*100),0,B37*3.6/1000000/'E Balans VL '!Z15*100)</f>
        <v>1.1980099292415723E-4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425.13499999999999</v>
      </c>
      <c r="C5" s="17">
        <f>'Eigen informatie GS &amp; warmtenet'!B60</f>
        <v>0</v>
      </c>
      <c r="D5" s="30">
        <f>IF(ISERROR(SUM(LB_lb_gas_kWh,LB_rest_gas_kWh)/1000),0,SUM(LB_lb_gas_kWh,LB_rest_gas_kWh)/1000)*0.902</f>
        <v>266.22890799999999</v>
      </c>
      <c r="E5" s="17">
        <f>B17*'E Balans VL '!I25/3.6*1000000/100</f>
        <v>10.9625993203214</v>
      </c>
      <c r="F5" s="17">
        <f>B17*('E Balans VL '!L25/3.6*1000000+'E Balans VL '!N25/3.6*1000000)/100</f>
        <v>1553.9493880277978</v>
      </c>
      <c r="G5" s="18"/>
      <c r="H5" s="17"/>
      <c r="I5" s="17"/>
      <c r="J5" s="17">
        <f>('E Balans VL '!D25+'E Balans VL '!E25)/3.6*1000000*landbouw!B17/100</f>
        <v>61.203800704544811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425.13499999999999</v>
      </c>
      <c r="C8" s="21">
        <f>C5+C6</f>
        <v>0</v>
      </c>
      <c r="D8" s="21">
        <f>MAX((D5+D6),0)</f>
        <v>266.22890799999999</v>
      </c>
      <c r="E8" s="21">
        <f>MAX((E5+E6),0)</f>
        <v>10.9625993203214</v>
      </c>
      <c r="F8" s="21">
        <f>MAX((F5+F6),0)</f>
        <v>1553.9493880277978</v>
      </c>
      <c r="G8" s="21"/>
      <c r="H8" s="21"/>
      <c r="I8" s="21"/>
      <c r="J8" s="21">
        <f>MAX((J5+J6),0)</f>
        <v>61.203800704544811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0.20772847155031207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88.312643752541916</v>
      </c>
      <c r="C12" s="23">
        <f ca="1">C8*C10</f>
        <v>0</v>
      </c>
      <c r="D12" s="23">
        <f>D8*D10</f>
        <v>53.778239415999998</v>
      </c>
      <c r="E12" s="23">
        <f>E8*E10</f>
        <v>2.4885100457129581</v>
      </c>
      <c r="F12" s="23">
        <f>F8*F10</f>
        <v>414.90448660342201</v>
      </c>
      <c r="G12" s="23"/>
      <c r="H12" s="23"/>
      <c r="I12" s="23"/>
      <c r="J12" s="23">
        <f>J8*J10</f>
        <v>21.666145449408862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5.9946851031096496E-2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4.8208777444547195</v>
      </c>
      <c r="C26" s="247">
        <f>B26*'GWP N2O_CH4'!B5</f>
        <v>101.23843263354911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0.25851390757039933</v>
      </c>
      <c r="C27" s="247">
        <f>B27*'GWP N2O_CH4'!B5</f>
        <v>5.4287920589783862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6.2122045557926837E-2</v>
      </c>
      <c r="C28" s="247">
        <f>B28*'GWP N2O_CH4'!B4</f>
        <v>19.25783412295732</v>
      </c>
      <c r="D28" s="50"/>
    </row>
    <row r="29" spans="1:4">
      <c r="A29" s="41" t="s">
        <v>277</v>
      </c>
      <c r="B29" s="247">
        <f>B34*'ha_N2O bodem landbouw'!B4</f>
        <v>4.5965159191065474</v>
      </c>
      <c r="C29" s="247">
        <f>B29*'GWP N2O_CH4'!B4</f>
        <v>1424.9199349230298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1.0344658637400229E-3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9.2364816738578053E-5</v>
      </c>
      <c r="C5" s="463" t="s">
        <v>211</v>
      </c>
      <c r="D5" s="448">
        <f>SUM(D6:D11)</f>
        <v>2.0035655142893664E-4</v>
      </c>
      <c r="E5" s="448">
        <f>SUM(E6:E11)</f>
        <v>8.1395879282625846E-4</v>
      </c>
      <c r="F5" s="461" t="s">
        <v>211</v>
      </c>
      <c r="G5" s="448">
        <f>SUM(G6:G11)</f>
        <v>0.30498667643655608</v>
      </c>
      <c r="H5" s="448">
        <f>SUM(H6:H11)</f>
        <v>5.4413639888996702E-2</v>
      </c>
      <c r="I5" s="463" t="s">
        <v>211</v>
      </c>
      <c r="J5" s="463" t="s">
        <v>211</v>
      </c>
      <c r="K5" s="463" t="s">
        <v>211</v>
      </c>
      <c r="L5" s="463" t="s">
        <v>211</v>
      </c>
      <c r="M5" s="448">
        <f>SUM(M6:M11)</f>
        <v>1.123874906125615E-2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6.4685310903150441E-5</v>
      </c>
      <c r="C6" s="449"/>
      <c r="D6" s="892">
        <f>vkm_2011_GW_PW*SUMIFS(TableVerdeelsleutelVkm[CNG],TableVerdeelsleutelVkm[Voertuigtype],"Lichte voertuigen")*SUMIFS(TableECFTransport[EnergieConsumptieFactor (PJ per km)],TableECFTransport[Index],CONCATENATE($A6,"_CNG_CNG"))</f>
        <v>1.285308458270375E-4</v>
      </c>
      <c r="E6" s="892">
        <f>vkm_2011_GW_PW*SUMIFS(TableVerdeelsleutelVkm[LPG],TableVerdeelsleutelVkm[Voertuigtype],"Lichte voertuigen")*SUMIFS(TableECFTransport[EnergieConsumptieFactor (PJ per km)],TableECFTransport[Index],CONCATENATE($A6,"_LPG_LPG"))</f>
        <v>5.0581495318364469E-4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0.12026544034399698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3.4797166730389732E-2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4.8318940233428153E-3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7.9514746300862083E-2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2.5686659408913406E-5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2.5053879923299669E-3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9.9080994616289987E-6</v>
      </c>
      <c r="C8" s="449"/>
      <c r="D8" s="451">
        <f>vkm_2011_NGW_PW*SUMIFS(TableVerdeelsleutelVkm[CNG],TableVerdeelsleutelVkm[Voertuigtype],"Lichte voertuigen")*SUMIFS(TableECFTransport[EnergieConsumptieFactor (PJ per km)],TableECFTransport[Index],CONCATENATE($A8,"_CNG_CNG"))</f>
        <v>3.4859499652447854E-5</v>
      </c>
      <c r="E8" s="451">
        <f>vkm_2011_NGW_PW*SUMIFS(TableVerdeelsleutelVkm[LPG],TableVerdeelsleutelVkm[Voertuigtype],"Lichte voertuigen")*SUMIFS(TableECFTransport[EnergieConsumptieFactor (PJ per km)],TableECFTransport[Index],CONCATENATE($A8,"_LPG_LPG"))</f>
        <v>1.268715445850634E-4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2.8169049386850199E-2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9.1511291179625347E-3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1.1617625941460138E-3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1.3914674786952172E-2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4.2510511314073455E-6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4.3842279418373537E-4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1.7771406373798618E-5</v>
      </c>
      <c r="C10" s="449"/>
      <c r="D10" s="451">
        <f>vkm_2011_SW_PW*SUMIFS(TableVerdeelsleutelVkm[CNG],TableVerdeelsleutelVkm[Voertuigtype],"Lichte voertuigen")*SUMIFS(TableECFTransport[EnergieConsumptieFactor (PJ per km)],TableECFTransport[Index],CONCATENATE($A10,"_CNG_CNG"))</f>
        <v>3.6966205949451312E-5</v>
      </c>
      <c r="E10" s="451">
        <f>vkm_2011_SW_PW*SUMIFS(TableVerdeelsleutelVkm[LPG],TableVerdeelsleutelVkm[Voertuigtype],"Lichte voertuigen")*SUMIFS(TableECFTransport[EnergieConsumptieFactor (PJ per km)],TableECFTransport[Index],CONCATENATE($A10,"_LPG_LPG"))</f>
        <v>1.812722950575504E-4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3.8608917546971759E-2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1.0426874077161172E-2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1.5288694197569527E-3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2.4513848070922901E-2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8.5322529429425336E-6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7.7241223749666599E-4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25.656893538493904</v>
      </c>
      <c r="C14" s="21"/>
      <c r="D14" s="21">
        <f t="shared" ref="D14:M14" si="0">((D5)*10^9/3600)+D12</f>
        <v>55.654597619149072</v>
      </c>
      <c r="E14" s="21">
        <f t="shared" si="0"/>
        <v>226.09966467396069</v>
      </c>
      <c r="F14" s="21"/>
      <c r="G14" s="21">
        <f t="shared" si="0"/>
        <v>84718.52123237669</v>
      </c>
      <c r="H14" s="21">
        <f t="shared" si="0"/>
        <v>15114.899969165752</v>
      </c>
      <c r="I14" s="21"/>
      <c r="J14" s="21"/>
      <c r="K14" s="21"/>
      <c r="L14" s="21"/>
      <c r="M14" s="21">
        <f t="shared" si="0"/>
        <v>3121.8747392378195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0.20772847155031207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5.3296672794804163</v>
      </c>
      <c r="C18" s="23"/>
      <c r="D18" s="23">
        <f t="shared" ref="D18:M18" si="1">D14*D16</f>
        <v>11.242228719068112</v>
      </c>
      <c r="E18" s="23">
        <f t="shared" si="1"/>
        <v>51.32462388098908</v>
      </c>
      <c r="F18" s="23"/>
      <c r="G18" s="23">
        <f t="shared" si="1"/>
        <v>22619.845169044576</v>
      </c>
      <c r="H18" s="23">
        <f t="shared" si="1"/>
        <v>3763.6100923222721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1.8851113138687686E-2</v>
      </c>
      <c r="H50" s="321">
        <f t="shared" si="2"/>
        <v>0</v>
      </c>
      <c r="I50" s="321">
        <f t="shared" si="2"/>
        <v>0</v>
      </c>
      <c r="J50" s="321">
        <f t="shared" si="2"/>
        <v>0</v>
      </c>
      <c r="K50" s="321">
        <f t="shared" si="2"/>
        <v>0</v>
      </c>
      <c r="L50" s="321">
        <f t="shared" si="2"/>
        <v>0</v>
      </c>
      <c r="M50" s="321">
        <f t="shared" si="2"/>
        <v>5.8471935618943682E-4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1.8851113138687686E-2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5.8471935618943682E-4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5236.4203163021348</v>
      </c>
      <c r="H54" s="21">
        <f t="shared" si="3"/>
        <v>0</v>
      </c>
      <c r="I54" s="21">
        <f t="shared" si="3"/>
        <v>0</v>
      </c>
      <c r="J54" s="21">
        <f t="shared" si="3"/>
        <v>0</v>
      </c>
      <c r="K54" s="21">
        <f t="shared" si="3"/>
        <v>0</v>
      </c>
      <c r="L54" s="21">
        <f t="shared" si="3"/>
        <v>0</v>
      </c>
      <c r="M54" s="21">
        <f t="shared" si="3"/>
        <v>162.42204338595468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0.20772847155031207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1398.12422445267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24716.318000000003</v>
      </c>
      <c r="D10" s="1012">
        <f ca="1">tertiair!C16</f>
        <v>0</v>
      </c>
      <c r="E10" s="1012">
        <f ca="1">tertiair!D16</f>
        <v>30469.138766000004</v>
      </c>
      <c r="F10" s="1012">
        <f>tertiair!E16</f>
        <v>344.82835040636178</v>
      </c>
      <c r="G10" s="1012">
        <f ca="1">tertiair!F16</f>
        <v>5882.0522394976952</v>
      </c>
      <c r="H10" s="1012">
        <f>tertiair!G16</f>
        <v>0</v>
      </c>
      <c r="I10" s="1012">
        <f>tertiair!H16</f>
        <v>0</v>
      </c>
      <c r="J10" s="1012">
        <f>tertiair!I16</f>
        <v>0</v>
      </c>
      <c r="K10" s="1012">
        <f>tertiair!J16</f>
        <v>0</v>
      </c>
      <c r="L10" s="1012">
        <f>tertiair!K16</f>
        <v>0</v>
      </c>
      <c r="M10" s="1012">
        <f ca="1">tertiair!L16</f>
        <v>0</v>
      </c>
      <c r="N10" s="1012">
        <f>tertiair!M16</f>
        <v>0</v>
      </c>
      <c r="O10" s="1012">
        <f ca="1">tertiair!N16</f>
        <v>1440.0030586114647</v>
      </c>
      <c r="P10" s="1012">
        <f>tertiair!O16</f>
        <v>0</v>
      </c>
      <c r="Q10" s="1013">
        <f>tertiair!P16</f>
        <v>19.066666666666666</v>
      </c>
      <c r="R10" s="700">
        <f ca="1">SUM(C10:Q10)</f>
        <v>62871.407081182188</v>
      </c>
      <c r="S10" s="67"/>
    </row>
    <row r="11" spans="1:19" s="473" customFormat="1">
      <c r="A11" s="809" t="s">
        <v>225</v>
      </c>
      <c r="B11" s="814"/>
      <c r="C11" s="1012">
        <f>huishoudens!B8</f>
        <v>20725.542816963654</v>
      </c>
      <c r="D11" s="1012">
        <f>huishoudens!C8</f>
        <v>0</v>
      </c>
      <c r="E11" s="1012">
        <f>huishoudens!D8</f>
        <v>56021.887746</v>
      </c>
      <c r="F11" s="1012">
        <f>huishoudens!E8</f>
        <v>1570.770182161426</v>
      </c>
      <c r="G11" s="1012">
        <f>huishoudens!F8</f>
        <v>4508.1669464022189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7758.4190015597251</v>
      </c>
      <c r="P11" s="1012">
        <f>huishoudens!O8</f>
        <v>75.040000000000006</v>
      </c>
      <c r="Q11" s="1013">
        <f>huishoudens!P8</f>
        <v>400.4</v>
      </c>
      <c r="R11" s="700">
        <f>SUM(C11:Q11)</f>
        <v>91060.22669308701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930.75599999999997</v>
      </c>
      <c r="D13" s="1012">
        <f>industrie!C18</f>
        <v>0</v>
      </c>
      <c r="E13" s="1012">
        <f>industrie!D18</f>
        <v>1287.8638740000001</v>
      </c>
      <c r="F13" s="1012">
        <f>industrie!E18</f>
        <v>100.34442195518902</v>
      </c>
      <c r="G13" s="1012">
        <f>industrie!F18</f>
        <v>473.54148433849798</v>
      </c>
      <c r="H13" s="1012">
        <f>industrie!G18</f>
        <v>0</v>
      </c>
      <c r="I13" s="1012">
        <f>industrie!H18</f>
        <v>0</v>
      </c>
      <c r="J13" s="1012">
        <f>industrie!I18</f>
        <v>0</v>
      </c>
      <c r="K13" s="1012">
        <f>industrie!J18</f>
        <v>0.12030148766209198</v>
      </c>
      <c r="L13" s="1012">
        <f>industrie!K18</f>
        <v>0</v>
      </c>
      <c r="M13" s="1012">
        <f>industrie!L18</f>
        <v>0</v>
      </c>
      <c r="N13" s="1012">
        <f>industrie!M18</f>
        <v>0</v>
      </c>
      <c r="O13" s="1012">
        <f>industrie!N18</f>
        <v>232.65636483419752</v>
      </c>
      <c r="P13" s="1012">
        <f>industrie!O18</f>
        <v>0</v>
      </c>
      <c r="Q13" s="1013">
        <f>industrie!P18</f>
        <v>0</v>
      </c>
      <c r="R13" s="700">
        <f>SUM(C13:Q13)</f>
        <v>3025.2824466155462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46372.616816963658</v>
      </c>
      <c r="D16" s="732">
        <f t="shared" ref="D16:R16" ca="1" si="0">SUM(D9:D15)</f>
        <v>0</v>
      </c>
      <c r="E16" s="732">
        <f t="shared" ca="1" si="0"/>
        <v>87778.890386000014</v>
      </c>
      <c r="F16" s="732">
        <f t="shared" si="0"/>
        <v>2015.9429545229768</v>
      </c>
      <c r="G16" s="732">
        <f t="shared" ca="1" si="0"/>
        <v>10863.760670238413</v>
      </c>
      <c r="H16" s="732">
        <f t="shared" si="0"/>
        <v>0</v>
      </c>
      <c r="I16" s="732">
        <f t="shared" si="0"/>
        <v>0</v>
      </c>
      <c r="J16" s="732">
        <f t="shared" si="0"/>
        <v>0</v>
      </c>
      <c r="K16" s="732">
        <f t="shared" si="0"/>
        <v>0.12030148766209198</v>
      </c>
      <c r="L16" s="732">
        <f t="shared" si="0"/>
        <v>0</v>
      </c>
      <c r="M16" s="732">
        <f t="shared" ca="1" si="0"/>
        <v>0</v>
      </c>
      <c r="N16" s="732">
        <f t="shared" si="0"/>
        <v>0</v>
      </c>
      <c r="O16" s="732">
        <f t="shared" ca="1" si="0"/>
        <v>9431.0784250053875</v>
      </c>
      <c r="P16" s="732">
        <f t="shared" si="0"/>
        <v>75.040000000000006</v>
      </c>
      <c r="Q16" s="732">
        <f t="shared" si="0"/>
        <v>419.46666666666664</v>
      </c>
      <c r="R16" s="732">
        <f t="shared" ca="1" si="0"/>
        <v>156956.91622088474</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5236.4203163021348</v>
      </c>
      <c r="I19" s="1012">
        <f>transport!H54</f>
        <v>0</v>
      </c>
      <c r="J19" s="1012">
        <f>transport!I54</f>
        <v>0</v>
      </c>
      <c r="K19" s="1012">
        <f>transport!J54</f>
        <v>0</v>
      </c>
      <c r="L19" s="1012">
        <f>transport!K54</f>
        <v>0</v>
      </c>
      <c r="M19" s="1012">
        <f>transport!L54</f>
        <v>0</v>
      </c>
      <c r="N19" s="1012">
        <f>transport!M54</f>
        <v>162.42204338595468</v>
      </c>
      <c r="O19" s="1012">
        <f>transport!N54</f>
        <v>0</v>
      </c>
      <c r="P19" s="1012">
        <f>transport!O54</f>
        <v>0</v>
      </c>
      <c r="Q19" s="1013">
        <f>transport!P54</f>
        <v>0</v>
      </c>
      <c r="R19" s="700">
        <f>SUM(C19:Q19)</f>
        <v>5398.8423596880893</v>
      </c>
      <c r="S19" s="67"/>
    </row>
    <row r="20" spans="1:19" s="473" customFormat="1">
      <c r="A20" s="809" t="s">
        <v>307</v>
      </c>
      <c r="B20" s="814"/>
      <c r="C20" s="1012">
        <f>transport!B14</f>
        <v>25.656893538493904</v>
      </c>
      <c r="D20" s="1012">
        <f>transport!C14</f>
        <v>0</v>
      </c>
      <c r="E20" s="1012">
        <f>transport!D14</f>
        <v>55.654597619149072</v>
      </c>
      <c r="F20" s="1012">
        <f>transport!E14</f>
        <v>226.09966467396069</v>
      </c>
      <c r="G20" s="1012">
        <f>transport!F14</f>
        <v>0</v>
      </c>
      <c r="H20" s="1012">
        <f>transport!G14</f>
        <v>84718.52123237669</v>
      </c>
      <c r="I20" s="1012">
        <f>transport!H14</f>
        <v>15114.899969165752</v>
      </c>
      <c r="J20" s="1012">
        <f>transport!I14</f>
        <v>0</v>
      </c>
      <c r="K20" s="1012">
        <f>transport!J14</f>
        <v>0</v>
      </c>
      <c r="L20" s="1012">
        <f>transport!K14</f>
        <v>0</v>
      </c>
      <c r="M20" s="1012">
        <f>transport!L14</f>
        <v>0</v>
      </c>
      <c r="N20" s="1012">
        <f>transport!M14</f>
        <v>3121.8747392378195</v>
      </c>
      <c r="O20" s="1012">
        <f>transport!N14</f>
        <v>0</v>
      </c>
      <c r="P20" s="1012">
        <f>transport!O14</f>
        <v>0</v>
      </c>
      <c r="Q20" s="1013">
        <f>transport!P14</f>
        <v>0</v>
      </c>
      <c r="R20" s="700">
        <f>SUM(C20:Q20)</f>
        <v>103262.70709661186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25.656893538493904</v>
      </c>
      <c r="D22" s="812">
        <f t="shared" ref="D22:R22" si="1">SUM(D18:D21)</f>
        <v>0</v>
      </c>
      <c r="E22" s="812">
        <f t="shared" si="1"/>
        <v>55.654597619149072</v>
      </c>
      <c r="F22" s="812">
        <f t="shared" si="1"/>
        <v>226.09966467396069</v>
      </c>
      <c r="G22" s="812">
        <f t="shared" si="1"/>
        <v>0</v>
      </c>
      <c r="H22" s="812">
        <f t="shared" si="1"/>
        <v>89954.94154867882</v>
      </c>
      <c r="I22" s="812">
        <f t="shared" si="1"/>
        <v>15114.899969165752</v>
      </c>
      <c r="J22" s="812">
        <f t="shared" si="1"/>
        <v>0</v>
      </c>
      <c r="K22" s="812">
        <f t="shared" si="1"/>
        <v>0</v>
      </c>
      <c r="L22" s="812">
        <f t="shared" si="1"/>
        <v>0</v>
      </c>
      <c r="M22" s="812">
        <f t="shared" si="1"/>
        <v>0</v>
      </c>
      <c r="N22" s="812">
        <f t="shared" si="1"/>
        <v>3284.2967826237741</v>
      </c>
      <c r="O22" s="812">
        <f t="shared" si="1"/>
        <v>0</v>
      </c>
      <c r="P22" s="812">
        <f t="shared" si="1"/>
        <v>0</v>
      </c>
      <c r="Q22" s="812">
        <f t="shared" si="1"/>
        <v>0</v>
      </c>
      <c r="R22" s="812">
        <f t="shared" si="1"/>
        <v>108661.54945629995</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425.13499999999999</v>
      </c>
      <c r="D24" s="1012">
        <f>+landbouw!C8</f>
        <v>0</v>
      </c>
      <c r="E24" s="1012">
        <f>+landbouw!D8</f>
        <v>266.22890799999999</v>
      </c>
      <c r="F24" s="1012">
        <f>+landbouw!E8</f>
        <v>10.9625993203214</v>
      </c>
      <c r="G24" s="1012">
        <f>+landbouw!F8</f>
        <v>1553.9493880277978</v>
      </c>
      <c r="H24" s="1012">
        <f>+landbouw!G8</f>
        <v>0</v>
      </c>
      <c r="I24" s="1012">
        <f>+landbouw!H8</f>
        <v>0</v>
      </c>
      <c r="J24" s="1012">
        <f>+landbouw!I8</f>
        <v>0</v>
      </c>
      <c r="K24" s="1012">
        <f>+landbouw!J8</f>
        <v>61.203800704544811</v>
      </c>
      <c r="L24" s="1012">
        <f>+landbouw!K8</f>
        <v>0</v>
      </c>
      <c r="M24" s="1012">
        <f>+landbouw!L8</f>
        <v>0</v>
      </c>
      <c r="N24" s="1012">
        <f>+landbouw!M8</f>
        <v>0</v>
      </c>
      <c r="O24" s="1012">
        <f>+landbouw!N8</f>
        <v>0</v>
      </c>
      <c r="P24" s="1012">
        <f>+landbouw!O8</f>
        <v>0</v>
      </c>
      <c r="Q24" s="1013">
        <f>+landbouw!P8</f>
        <v>0</v>
      </c>
      <c r="R24" s="700">
        <f>SUM(C24:Q24)</f>
        <v>2317.4796960526642</v>
      </c>
      <c r="S24" s="67"/>
    </row>
    <row r="25" spans="1:19" s="473" customFormat="1" ht="15" thickBot="1">
      <c r="A25" s="831" t="s">
        <v>848</v>
      </c>
      <c r="B25" s="1015"/>
      <c r="C25" s="1016">
        <f>IF(Onbekend_ele_kWh="---",0,Onbekend_ele_kWh)/1000+IF(REST_rest_ele_kWh="---",0,REST_rest_ele_kWh)/1000</f>
        <v>375.24900000000002</v>
      </c>
      <c r="D25" s="1016"/>
      <c r="E25" s="1016">
        <f>IF(onbekend_gas_kWh="---",0,onbekend_gas_kWh)/1000+IF(REST_rest_gas_kWh="---",0,REST_rest_gas_kWh)/1000</f>
        <v>1671.989</v>
      </c>
      <c r="F25" s="1016"/>
      <c r="G25" s="1016"/>
      <c r="H25" s="1016"/>
      <c r="I25" s="1016"/>
      <c r="J25" s="1016"/>
      <c r="K25" s="1016"/>
      <c r="L25" s="1016"/>
      <c r="M25" s="1016"/>
      <c r="N25" s="1016"/>
      <c r="O25" s="1016"/>
      <c r="P25" s="1016"/>
      <c r="Q25" s="1017"/>
      <c r="R25" s="700">
        <f>SUM(C25:Q25)</f>
        <v>2047.2380000000001</v>
      </c>
      <c r="S25" s="67"/>
    </row>
    <row r="26" spans="1:19" s="473" customFormat="1" ht="15.75" thickBot="1">
      <c r="A26" s="705" t="s">
        <v>849</v>
      </c>
      <c r="B26" s="817"/>
      <c r="C26" s="812">
        <f>SUM(C24:C25)</f>
        <v>800.38400000000001</v>
      </c>
      <c r="D26" s="812">
        <f t="shared" ref="D26:R26" si="2">SUM(D24:D25)</f>
        <v>0</v>
      </c>
      <c r="E26" s="812">
        <f t="shared" si="2"/>
        <v>1938.2179080000001</v>
      </c>
      <c r="F26" s="812">
        <f t="shared" si="2"/>
        <v>10.9625993203214</v>
      </c>
      <c r="G26" s="812">
        <f t="shared" si="2"/>
        <v>1553.9493880277978</v>
      </c>
      <c r="H26" s="812">
        <f t="shared" si="2"/>
        <v>0</v>
      </c>
      <c r="I26" s="812">
        <f t="shared" si="2"/>
        <v>0</v>
      </c>
      <c r="J26" s="812">
        <f t="shared" si="2"/>
        <v>0</v>
      </c>
      <c r="K26" s="812">
        <f t="shared" si="2"/>
        <v>61.203800704544811</v>
      </c>
      <c r="L26" s="812">
        <f t="shared" si="2"/>
        <v>0</v>
      </c>
      <c r="M26" s="812">
        <f t="shared" si="2"/>
        <v>0</v>
      </c>
      <c r="N26" s="812">
        <f t="shared" si="2"/>
        <v>0</v>
      </c>
      <c r="O26" s="812">
        <f t="shared" si="2"/>
        <v>0</v>
      </c>
      <c r="P26" s="812">
        <f t="shared" si="2"/>
        <v>0</v>
      </c>
      <c r="Q26" s="812">
        <f t="shared" si="2"/>
        <v>0</v>
      </c>
      <c r="R26" s="812">
        <f t="shared" si="2"/>
        <v>4364.717696052664</v>
      </c>
      <c r="S26" s="67"/>
    </row>
    <row r="27" spans="1:19" s="473" customFormat="1" ht="17.25" thickTop="1" thickBot="1">
      <c r="A27" s="706" t="s">
        <v>116</v>
      </c>
      <c r="B27" s="805"/>
      <c r="C27" s="707">
        <f ca="1">C22+C16+C26</f>
        <v>47198.65771050215</v>
      </c>
      <c r="D27" s="707">
        <f t="shared" ref="D27:R27" ca="1" si="3">D22+D16+D26</f>
        <v>0</v>
      </c>
      <c r="E27" s="707">
        <f t="shared" ca="1" si="3"/>
        <v>89772.762891619175</v>
      </c>
      <c r="F27" s="707">
        <f t="shared" si="3"/>
        <v>2253.005218517259</v>
      </c>
      <c r="G27" s="707">
        <f t="shared" ca="1" si="3"/>
        <v>12417.71005826621</v>
      </c>
      <c r="H27" s="707">
        <f t="shared" si="3"/>
        <v>89954.94154867882</v>
      </c>
      <c r="I27" s="707">
        <f t="shared" si="3"/>
        <v>15114.899969165752</v>
      </c>
      <c r="J27" s="707">
        <f t="shared" si="3"/>
        <v>0</v>
      </c>
      <c r="K27" s="707">
        <f t="shared" si="3"/>
        <v>61.324102192206901</v>
      </c>
      <c r="L27" s="707">
        <f t="shared" si="3"/>
        <v>0</v>
      </c>
      <c r="M27" s="707">
        <f t="shared" ca="1" si="3"/>
        <v>0</v>
      </c>
      <c r="N27" s="707">
        <f t="shared" si="3"/>
        <v>3284.2967826237741</v>
      </c>
      <c r="O27" s="707">
        <f t="shared" ca="1" si="3"/>
        <v>9431.0784250053875</v>
      </c>
      <c r="P27" s="707">
        <f t="shared" si="3"/>
        <v>75.040000000000006</v>
      </c>
      <c r="Q27" s="707">
        <f t="shared" si="3"/>
        <v>419.46666666666664</v>
      </c>
      <c r="R27" s="707">
        <f t="shared" ca="1" si="3"/>
        <v>269983.18337323738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5134.2829604914659</v>
      </c>
      <c r="D40" s="1012">
        <f ca="1">tertiair!C20</f>
        <v>0</v>
      </c>
      <c r="E40" s="1012">
        <f ca="1">tertiair!D20</f>
        <v>6154.7660307320011</v>
      </c>
      <c r="F40" s="1012">
        <f>tertiair!E20</f>
        <v>78.276035542244131</v>
      </c>
      <c r="G40" s="1012">
        <f ca="1">tertiair!F20</f>
        <v>1570.5079479458848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12937.832974711595</v>
      </c>
    </row>
    <row r="41" spans="1:18">
      <c r="A41" s="822" t="s">
        <v>225</v>
      </c>
      <c r="B41" s="829"/>
      <c r="C41" s="1012">
        <f ca="1">huishoudens!B12</f>
        <v>4305.2853314184094</v>
      </c>
      <c r="D41" s="1012">
        <f ca="1">huishoudens!C12</f>
        <v>0</v>
      </c>
      <c r="E41" s="1012">
        <f>huishoudens!D12</f>
        <v>11316.421324692001</v>
      </c>
      <c r="F41" s="1012">
        <f>huishoudens!E12</f>
        <v>356.56483135064371</v>
      </c>
      <c r="G41" s="1012">
        <f>huishoudens!F12</f>
        <v>1203.6805746893924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17181.952062150449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193.34452126628224</v>
      </c>
      <c r="D43" s="1012">
        <f ca="1">industrie!C22</f>
        <v>0</v>
      </c>
      <c r="E43" s="1012">
        <f>industrie!D22</f>
        <v>260.14850254800007</v>
      </c>
      <c r="F43" s="1012">
        <f>industrie!E22</f>
        <v>22.77818378382791</v>
      </c>
      <c r="G43" s="1012">
        <f>industrie!F22</f>
        <v>126.43557631837896</v>
      </c>
      <c r="H43" s="1012">
        <f>industrie!G22</f>
        <v>0</v>
      </c>
      <c r="I43" s="1012">
        <f>industrie!H22</f>
        <v>0</v>
      </c>
      <c r="J43" s="1012">
        <f>industrie!I22</f>
        <v>0</v>
      </c>
      <c r="K43" s="1012">
        <f>industrie!J22</f>
        <v>4.2586726632380556E-2</v>
      </c>
      <c r="L43" s="1012">
        <f>industrie!K22</f>
        <v>0</v>
      </c>
      <c r="M43" s="1012">
        <f>industrie!L22</f>
        <v>0</v>
      </c>
      <c r="N43" s="1012">
        <f>industrie!M22</f>
        <v>0</v>
      </c>
      <c r="O43" s="1012">
        <f>industrie!N22</f>
        <v>0</v>
      </c>
      <c r="P43" s="1012">
        <f>industrie!O22</f>
        <v>0</v>
      </c>
      <c r="Q43" s="774">
        <f>industrie!P22</f>
        <v>0</v>
      </c>
      <c r="R43" s="849">
        <f t="shared" ca="1" si="4"/>
        <v>602.74937064312155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9632.912813176159</v>
      </c>
      <c r="D46" s="732">
        <f t="shared" ref="D46:Q46" ca="1" si="5">SUM(D39:D45)</f>
        <v>0</v>
      </c>
      <c r="E46" s="732">
        <f t="shared" ca="1" si="5"/>
        <v>17731.335857972001</v>
      </c>
      <c r="F46" s="732">
        <f t="shared" si="5"/>
        <v>457.61905067671574</v>
      </c>
      <c r="G46" s="732">
        <f t="shared" ca="1" si="5"/>
        <v>2900.6240989536559</v>
      </c>
      <c r="H46" s="732">
        <f t="shared" si="5"/>
        <v>0</v>
      </c>
      <c r="I46" s="732">
        <f t="shared" si="5"/>
        <v>0</v>
      </c>
      <c r="J46" s="732">
        <f t="shared" si="5"/>
        <v>0</v>
      </c>
      <c r="K46" s="732">
        <f t="shared" si="5"/>
        <v>4.2586726632380556E-2</v>
      </c>
      <c r="L46" s="732">
        <f t="shared" si="5"/>
        <v>0</v>
      </c>
      <c r="M46" s="732">
        <f t="shared" ca="1" si="5"/>
        <v>0</v>
      </c>
      <c r="N46" s="732">
        <f t="shared" si="5"/>
        <v>0</v>
      </c>
      <c r="O46" s="732">
        <f t="shared" ca="1" si="5"/>
        <v>0</v>
      </c>
      <c r="P46" s="732">
        <f t="shared" si="5"/>
        <v>0</v>
      </c>
      <c r="Q46" s="732">
        <f t="shared" si="5"/>
        <v>0</v>
      </c>
      <c r="R46" s="732">
        <f ca="1">SUM(R39:R45)</f>
        <v>30722.534407505165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1398.12422445267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1398.12422445267</v>
      </c>
    </row>
    <row r="50" spans="1:18">
      <c r="A50" s="825" t="s">
        <v>307</v>
      </c>
      <c r="B50" s="835"/>
      <c r="C50" s="703">
        <f ca="1">transport!B18</f>
        <v>5.3296672794804163</v>
      </c>
      <c r="D50" s="703">
        <f>transport!C18</f>
        <v>0</v>
      </c>
      <c r="E50" s="703">
        <f>transport!D18</f>
        <v>11.242228719068112</v>
      </c>
      <c r="F50" s="703">
        <f>transport!E18</f>
        <v>51.32462388098908</v>
      </c>
      <c r="G50" s="703">
        <f>transport!F18</f>
        <v>0</v>
      </c>
      <c r="H50" s="703">
        <f>transport!G18</f>
        <v>22619.845169044576</v>
      </c>
      <c r="I50" s="703">
        <f>transport!H18</f>
        <v>3763.6100923222721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26451.351781246387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5.3296672794804163</v>
      </c>
      <c r="D52" s="732">
        <f t="shared" ref="D52:Q52" ca="1" si="6">SUM(D48:D51)</f>
        <v>0</v>
      </c>
      <c r="E52" s="732">
        <f t="shared" si="6"/>
        <v>11.242228719068112</v>
      </c>
      <c r="F52" s="732">
        <f t="shared" si="6"/>
        <v>51.32462388098908</v>
      </c>
      <c r="G52" s="732">
        <f t="shared" si="6"/>
        <v>0</v>
      </c>
      <c r="H52" s="732">
        <f t="shared" si="6"/>
        <v>24017.969393497246</v>
      </c>
      <c r="I52" s="732">
        <f t="shared" si="6"/>
        <v>3763.6100923222721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27849.476005699056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88.312643752541916</v>
      </c>
      <c r="D54" s="703">
        <f ca="1">+landbouw!C12</f>
        <v>0</v>
      </c>
      <c r="E54" s="703">
        <f>+landbouw!D12</f>
        <v>53.778239415999998</v>
      </c>
      <c r="F54" s="703">
        <f>+landbouw!E12</f>
        <v>2.4885100457129581</v>
      </c>
      <c r="G54" s="703">
        <f>+landbouw!F12</f>
        <v>414.90448660342201</v>
      </c>
      <c r="H54" s="703">
        <f>+landbouw!G12</f>
        <v>0</v>
      </c>
      <c r="I54" s="703">
        <f>+landbouw!H12</f>
        <v>0</v>
      </c>
      <c r="J54" s="703">
        <f>+landbouw!I12</f>
        <v>0</v>
      </c>
      <c r="K54" s="703">
        <f>+landbouw!J12</f>
        <v>21.666145449408862</v>
      </c>
      <c r="L54" s="703">
        <f>+landbouw!K12</f>
        <v>0</v>
      </c>
      <c r="M54" s="703">
        <f>+landbouw!L12</f>
        <v>0</v>
      </c>
      <c r="N54" s="703">
        <f>+landbouw!M12</f>
        <v>0</v>
      </c>
      <c r="O54" s="703">
        <f>+landbouw!N12</f>
        <v>0</v>
      </c>
      <c r="P54" s="703">
        <f>+landbouw!O12</f>
        <v>0</v>
      </c>
      <c r="Q54" s="704">
        <f>+landbouw!P12</f>
        <v>0</v>
      </c>
      <c r="R54" s="731">
        <f ca="1">SUM(C54:Q54)</f>
        <v>581.15002526708577</v>
      </c>
    </row>
    <row r="55" spans="1:18" ht="15" thickBot="1">
      <c r="A55" s="825" t="s">
        <v>848</v>
      </c>
      <c r="B55" s="835"/>
      <c r="C55" s="703">
        <f ca="1">C25*'EF ele_warmte'!B12</f>
        <v>77.949901220783062</v>
      </c>
      <c r="D55" s="703"/>
      <c r="E55" s="703">
        <f>E25*EF_CO2_aardgas</f>
        <v>337.74177800000001</v>
      </c>
      <c r="F55" s="703"/>
      <c r="G55" s="703"/>
      <c r="H55" s="703"/>
      <c r="I55" s="703"/>
      <c r="J55" s="703"/>
      <c r="K55" s="703"/>
      <c r="L55" s="703"/>
      <c r="M55" s="703"/>
      <c r="N55" s="703"/>
      <c r="O55" s="703"/>
      <c r="P55" s="703"/>
      <c r="Q55" s="704"/>
      <c r="R55" s="731">
        <f ca="1">SUM(C55:Q55)</f>
        <v>415.69167922078304</v>
      </c>
    </row>
    <row r="56" spans="1:18" ht="15.75" thickBot="1">
      <c r="A56" s="823" t="s">
        <v>849</v>
      </c>
      <c r="B56" s="836"/>
      <c r="C56" s="732">
        <f ca="1">SUM(C54:C55)</f>
        <v>166.26254497332496</v>
      </c>
      <c r="D56" s="732">
        <f t="shared" ref="D56:Q56" ca="1" si="7">SUM(D54:D55)</f>
        <v>0</v>
      </c>
      <c r="E56" s="732">
        <f t="shared" si="7"/>
        <v>391.52001741600003</v>
      </c>
      <c r="F56" s="732">
        <f t="shared" si="7"/>
        <v>2.4885100457129581</v>
      </c>
      <c r="G56" s="732">
        <f t="shared" si="7"/>
        <v>414.90448660342201</v>
      </c>
      <c r="H56" s="732">
        <f t="shared" si="7"/>
        <v>0</v>
      </c>
      <c r="I56" s="732">
        <f t="shared" si="7"/>
        <v>0</v>
      </c>
      <c r="J56" s="732">
        <f t="shared" si="7"/>
        <v>0</v>
      </c>
      <c r="K56" s="732">
        <f t="shared" si="7"/>
        <v>21.666145449408862</v>
      </c>
      <c r="L56" s="732">
        <f t="shared" si="7"/>
        <v>0</v>
      </c>
      <c r="M56" s="732">
        <f t="shared" si="7"/>
        <v>0</v>
      </c>
      <c r="N56" s="732">
        <f t="shared" si="7"/>
        <v>0</v>
      </c>
      <c r="O56" s="732">
        <f t="shared" si="7"/>
        <v>0</v>
      </c>
      <c r="P56" s="732">
        <f t="shared" si="7"/>
        <v>0</v>
      </c>
      <c r="Q56" s="733">
        <f t="shared" si="7"/>
        <v>0</v>
      </c>
      <c r="R56" s="734">
        <f ca="1">SUM(R54:R55)</f>
        <v>996.84170448786881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9804.5050254289636</v>
      </c>
      <c r="D61" s="740">
        <f t="shared" ref="D61:Q61" ca="1" si="8">D46+D52+D56</f>
        <v>0</v>
      </c>
      <c r="E61" s="740">
        <f t="shared" ca="1" si="8"/>
        <v>18134.09810410707</v>
      </c>
      <c r="F61" s="740">
        <f t="shared" si="8"/>
        <v>511.4321846034178</v>
      </c>
      <c r="G61" s="740">
        <f t="shared" ca="1" si="8"/>
        <v>3315.5285855570778</v>
      </c>
      <c r="H61" s="740">
        <f t="shared" si="8"/>
        <v>24017.969393497246</v>
      </c>
      <c r="I61" s="740">
        <f t="shared" si="8"/>
        <v>3763.6100923222721</v>
      </c>
      <c r="J61" s="740">
        <f t="shared" si="8"/>
        <v>0</v>
      </c>
      <c r="K61" s="740">
        <f t="shared" si="8"/>
        <v>21.708732176041242</v>
      </c>
      <c r="L61" s="740">
        <f t="shared" si="8"/>
        <v>0</v>
      </c>
      <c r="M61" s="740">
        <f t="shared" ca="1" si="8"/>
        <v>0</v>
      </c>
      <c r="N61" s="740">
        <f t="shared" si="8"/>
        <v>0</v>
      </c>
      <c r="O61" s="740">
        <f t="shared" ca="1" si="8"/>
        <v>0</v>
      </c>
      <c r="P61" s="740">
        <f t="shared" si="8"/>
        <v>0</v>
      </c>
      <c r="Q61" s="740">
        <f t="shared" si="8"/>
        <v>0</v>
      </c>
      <c r="R61" s="740">
        <f ca="1">R46+R52+R56</f>
        <v>59568.852117692084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0.20772847155031207</v>
      </c>
      <c r="D63" s="781">
        <f t="shared" ca="1" si="9"/>
        <v>0</v>
      </c>
      <c r="E63" s="1023">
        <f t="shared" ca="1" si="9"/>
        <v>0.20199999999999996</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2834.381577339419</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2834.381577339419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2834.381577339419</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2834.381577339419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20725.542816963654</v>
      </c>
      <c r="C4" s="477">
        <f>huishoudens!C8</f>
        <v>0</v>
      </c>
      <c r="D4" s="477">
        <f>huishoudens!D8</f>
        <v>56021.887746</v>
      </c>
      <c r="E4" s="477">
        <f>huishoudens!E8</f>
        <v>1570.770182161426</v>
      </c>
      <c r="F4" s="477">
        <f>huishoudens!F8</f>
        <v>4508.1669464022189</v>
      </c>
      <c r="G4" s="477">
        <f>huishoudens!G8</f>
        <v>0</v>
      </c>
      <c r="H4" s="477">
        <f>huishoudens!H8</f>
        <v>0</v>
      </c>
      <c r="I4" s="477">
        <f>huishoudens!I8</f>
        <v>0</v>
      </c>
      <c r="J4" s="477">
        <f>huishoudens!J8</f>
        <v>0</v>
      </c>
      <c r="K4" s="477">
        <f>huishoudens!K8</f>
        <v>0</v>
      </c>
      <c r="L4" s="477">
        <f>huishoudens!L8</f>
        <v>0</v>
      </c>
      <c r="M4" s="477">
        <f>huishoudens!M8</f>
        <v>0</v>
      </c>
      <c r="N4" s="477">
        <f>huishoudens!N8</f>
        <v>7758.4190015597251</v>
      </c>
      <c r="O4" s="477">
        <f>huishoudens!O8</f>
        <v>75.040000000000006</v>
      </c>
      <c r="P4" s="478">
        <f>huishoudens!P8</f>
        <v>400.4</v>
      </c>
      <c r="Q4" s="479">
        <f>SUM(B4:P4)</f>
        <v>91060.22669308701</v>
      </c>
    </row>
    <row r="5" spans="1:17">
      <c r="A5" s="476" t="s">
        <v>156</v>
      </c>
      <c r="B5" s="477">
        <f ca="1">tertiair!B16</f>
        <v>23764.455000000002</v>
      </c>
      <c r="C5" s="477">
        <f ca="1">tertiair!C16</f>
        <v>0</v>
      </c>
      <c r="D5" s="477">
        <f ca="1">tertiair!D16</f>
        <v>30469.138766000004</v>
      </c>
      <c r="E5" s="477">
        <f>tertiair!E16</f>
        <v>344.82835040636178</v>
      </c>
      <c r="F5" s="477">
        <f ca="1">tertiair!F16</f>
        <v>5882.0522394976952</v>
      </c>
      <c r="G5" s="477">
        <f>tertiair!G16</f>
        <v>0</v>
      </c>
      <c r="H5" s="477">
        <f>tertiair!H16</f>
        <v>0</v>
      </c>
      <c r="I5" s="477">
        <f>tertiair!I16</f>
        <v>0</v>
      </c>
      <c r="J5" s="477">
        <f>tertiair!J16</f>
        <v>0</v>
      </c>
      <c r="K5" s="477">
        <f>tertiair!K16</f>
        <v>0</v>
      </c>
      <c r="L5" s="477">
        <f ca="1">tertiair!L16</f>
        <v>0</v>
      </c>
      <c r="M5" s="477">
        <f>tertiair!M16</f>
        <v>0</v>
      </c>
      <c r="N5" s="477">
        <f ca="1">tertiair!N16</f>
        <v>1440.0030586114647</v>
      </c>
      <c r="O5" s="477">
        <f>tertiair!O16</f>
        <v>0</v>
      </c>
      <c r="P5" s="478">
        <f>tertiair!P16</f>
        <v>19.066666666666666</v>
      </c>
      <c r="Q5" s="476">
        <f t="shared" ref="Q5:Q14" ca="1" si="0">SUM(B5:P5)</f>
        <v>61919.54408118219</v>
      </c>
    </row>
    <row r="6" spans="1:17">
      <c r="A6" s="476" t="s">
        <v>194</v>
      </c>
      <c r="B6" s="477">
        <f>'openbare verlichting'!B8</f>
        <v>951.86300000000006</v>
      </c>
      <c r="C6" s="477"/>
      <c r="D6" s="477"/>
      <c r="E6" s="477"/>
      <c r="F6" s="477"/>
      <c r="G6" s="477"/>
      <c r="H6" s="477"/>
      <c r="I6" s="477"/>
      <c r="J6" s="477"/>
      <c r="K6" s="477"/>
      <c r="L6" s="477"/>
      <c r="M6" s="477"/>
      <c r="N6" s="477"/>
      <c r="O6" s="477"/>
      <c r="P6" s="478"/>
      <c r="Q6" s="476">
        <f t="shared" si="0"/>
        <v>951.86300000000006</v>
      </c>
    </row>
    <row r="7" spans="1:17">
      <c r="A7" s="476" t="s">
        <v>112</v>
      </c>
      <c r="B7" s="477">
        <f>landbouw!B8</f>
        <v>425.13499999999999</v>
      </c>
      <c r="C7" s="477">
        <f>landbouw!C8</f>
        <v>0</v>
      </c>
      <c r="D7" s="477">
        <f>landbouw!D8</f>
        <v>266.22890799999999</v>
      </c>
      <c r="E7" s="477">
        <f>landbouw!E8</f>
        <v>10.9625993203214</v>
      </c>
      <c r="F7" s="477">
        <f>landbouw!F8</f>
        <v>1553.9493880277978</v>
      </c>
      <c r="G7" s="477">
        <f>landbouw!G8</f>
        <v>0</v>
      </c>
      <c r="H7" s="477">
        <f>landbouw!H8</f>
        <v>0</v>
      </c>
      <c r="I7" s="477">
        <f>landbouw!I8</f>
        <v>0</v>
      </c>
      <c r="J7" s="477">
        <f>landbouw!J8</f>
        <v>61.203800704544811</v>
      </c>
      <c r="K7" s="477">
        <f>landbouw!K8</f>
        <v>0</v>
      </c>
      <c r="L7" s="477">
        <f>landbouw!L8</f>
        <v>0</v>
      </c>
      <c r="M7" s="477">
        <f>landbouw!M8</f>
        <v>0</v>
      </c>
      <c r="N7" s="477">
        <f>landbouw!N8</f>
        <v>0</v>
      </c>
      <c r="O7" s="477">
        <f>landbouw!O8</f>
        <v>0</v>
      </c>
      <c r="P7" s="478">
        <f>landbouw!P8</f>
        <v>0</v>
      </c>
      <c r="Q7" s="476">
        <f t="shared" si="0"/>
        <v>2317.4796960526642</v>
      </c>
    </row>
    <row r="8" spans="1:17">
      <c r="A8" s="476" t="s">
        <v>638</v>
      </c>
      <c r="B8" s="477">
        <f>industrie!B18</f>
        <v>930.75599999999997</v>
      </c>
      <c r="C8" s="477">
        <f>industrie!C18</f>
        <v>0</v>
      </c>
      <c r="D8" s="477">
        <f>industrie!D18</f>
        <v>1287.8638740000001</v>
      </c>
      <c r="E8" s="477">
        <f>industrie!E18</f>
        <v>100.34442195518902</v>
      </c>
      <c r="F8" s="477">
        <f>industrie!F18</f>
        <v>473.54148433849798</v>
      </c>
      <c r="G8" s="477">
        <f>industrie!G18</f>
        <v>0</v>
      </c>
      <c r="H8" s="477">
        <f>industrie!H18</f>
        <v>0</v>
      </c>
      <c r="I8" s="477">
        <f>industrie!I18</f>
        <v>0</v>
      </c>
      <c r="J8" s="477">
        <f>industrie!J18</f>
        <v>0.12030148766209198</v>
      </c>
      <c r="K8" s="477">
        <f>industrie!K18</f>
        <v>0</v>
      </c>
      <c r="L8" s="477">
        <f>industrie!L18</f>
        <v>0</v>
      </c>
      <c r="M8" s="477">
        <f>industrie!M18</f>
        <v>0</v>
      </c>
      <c r="N8" s="477">
        <f>industrie!N18</f>
        <v>232.65636483419752</v>
      </c>
      <c r="O8" s="477">
        <f>industrie!O18</f>
        <v>0</v>
      </c>
      <c r="P8" s="478">
        <f>industrie!P18</f>
        <v>0</v>
      </c>
      <c r="Q8" s="476">
        <f t="shared" si="0"/>
        <v>3025.2824466155462</v>
      </c>
    </row>
    <row r="9" spans="1:17" s="482" customFormat="1">
      <c r="A9" s="480" t="s">
        <v>564</v>
      </c>
      <c r="B9" s="481">
        <f>transport!B14</f>
        <v>25.656893538493904</v>
      </c>
      <c r="C9" s="481">
        <f>transport!C14</f>
        <v>0</v>
      </c>
      <c r="D9" s="481">
        <f>transport!D14</f>
        <v>55.654597619149072</v>
      </c>
      <c r="E9" s="481">
        <f>transport!E14</f>
        <v>226.09966467396069</v>
      </c>
      <c r="F9" s="481">
        <f>transport!F14</f>
        <v>0</v>
      </c>
      <c r="G9" s="481">
        <f>transport!G14</f>
        <v>84718.52123237669</v>
      </c>
      <c r="H9" s="481">
        <f>transport!H14</f>
        <v>15114.899969165752</v>
      </c>
      <c r="I9" s="481">
        <f>transport!I14</f>
        <v>0</v>
      </c>
      <c r="J9" s="481">
        <f>transport!J14</f>
        <v>0</v>
      </c>
      <c r="K9" s="481">
        <f>transport!K14</f>
        <v>0</v>
      </c>
      <c r="L9" s="481">
        <f>transport!L14</f>
        <v>0</v>
      </c>
      <c r="M9" s="481">
        <f>transport!M14</f>
        <v>3121.8747392378195</v>
      </c>
      <c r="N9" s="481">
        <f>transport!N14</f>
        <v>0</v>
      </c>
      <c r="O9" s="481">
        <f>transport!O14</f>
        <v>0</v>
      </c>
      <c r="P9" s="481">
        <f>transport!P14</f>
        <v>0</v>
      </c>
      <c r="Q9" s="480">
        <f>SUM(B9:P9)</f>
        <v>103262.70709661186</v>
      </c>
    </row>
    <row r="10" spans="1:17">
      <c r="A10" s="476" t="s">
        <v>554</v>
      </c>
      <c r="B10" s="477">
        <f>transport!B54</f>
        <v>0</v>
      </c>
      <c r="C10" s="477">
        <f>transport!C54</f>
        <v>0</v>
      </c>
      <c r="D10" s="477">
        <f>transport!D54</f>
        <v>0</v>
      </c>
      <c r="E10" s="477">
        <f>transport!E54</f>
        <v>0</v>
      </c>
      <c r="F10" s="477">
        <f>transport!F54</f>
        <v>0</v>
      </c>
      <c r="G10" s="477">
        <f>transport!G54</f>
        <v>5236.4203163021348</v>
      </c>
      <c r="H10" s="477">
        <f>transport!H54</f>
        <v>0</v>
      </c>
      <c r="I10" s="477">
        <f>transport!I54</f>
        <v>0</v>
      </c>
      <c r="J10" s="477">
        <f>transport!J54</f>
        <v>0</v>
      </c>
      <c r="K10" s="477">
        <f>transport!K54</f>
        <v>0</v>
      </c>
      <c r="L10" s="477">
        <f>transport!L54</f>
        <v>0</v>
      </c>
      <c r="M10" s="477">
        <f>transport!M54</f>
        <v>162.42204338595468</v>
      </c>
      <c r="N10" s="477">
        <f>transport!N54</f>
        <v>0</v>
      </c>
      <c r="O10" s="477">
        <f>transport!O54</f>
        <v>0</v>
      </c>
      <c r="P10" s="478">
        <f>transport!P54</f>
        <v>0</v>
      </c>
      <c r="Q10" s="476">
        <f t="shared" si="0"/>
        <v>5398.8423596880893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375.24900000000002</v>
      </c>
      <c r="C14" s="484"/>
      <c r="D14" s="484">
        <f>'SEAP template'!E25</f>
        <v>1671.989</v>
      </c>
      <c r="E14" s="484"/>
      <c r="F14" s="484"/>
      <c r="G14" s="484"/>
      <c r="H14" s="484"/>
      <c r="I14" s="484"/>
      <c r="J14" s="484"/>
      <c r="K14" s="484"/>
      <c r="L14" s="484"/>
      <c r="M14" s="484"/>
      <c r="N14" s="484"/>
      <c r="O14" s="484"/>
      <c r="P14" s="485"/>
      <c r="Q14" s="476">
        <f t="shared" si="0"/>
        <v>2047.2380000000001</v>
      </c>
    </row>
    <row r="15" spans="1:17" s="486" customFormat="1">
      <c r="A15" s="1038" t="s">
        <v>558</v>
      </c>
      <c r="B15" s="978">
        <f ca="1">SUM(B4:B14)</f>
        <v>47198.657710502157</v>
      </c>
      <c r="C15" s="978">
        <f t="shared" ref="C15:Q15" ca="1" si="1">SUM(C4:C14)</f>
        <v>0</v>
      </c>
      <c r="D15" s="978">
        <f t="shared" ca="1" si="1"/>
        <v>89772.762891619175</v>
      </c>
      <c r="E15" s="978">
        <f t="shared" si="1"/>
        <v>2253.005218517259</v>
      </c>
      <c r="F15" s="978">
        <f t="shared" ca="1" si="1"/>
        <v>12417.710058266211</v>
      </c>
      <c r="G15" s="978">
        <f t="shared" si="1"/>
        <v>89954.94154867882</v>
      </c>
      <c r="H15" s="978">
        <f t="shared" si="1"/>
        <v>15114.899969165752</v>
      </c>
      <c r="I15" s="978">
        <f t="shared" si="1"/>
        <v>0</v>
      </c>
      <c r="J15" s="978">
        <f t="shared" si="1"/>
        <v>61.324102192206901</v>
      </c>
      <c r="K15" s="978">
        <f t="shared" si="1"/>
        <v>0</v>
      </c>
      <c r="L15" s="978">
        <f t="shared" ca="1" si="1"/>
        <v>0</v>
      </c>
      <c r="M15" s="978">
        <f t="shared" si="1"/>
        <v>3284.2967826237741</v>
      </c>
      <c r="N15" s="978">
        <f t="shared" ca="1" si="1"/>
        <v>9431.0784250053875</v>
      </c>
      <c r="O15" s="978">
        <f t="shared" si="1"/>
        <v>75.040000000000006</v>
      </c>
      <c r="P15" s="978">
        <f t="shared" si="1"/>
        <v>419.46666666666664</v>
      </c>
      <c r="Q15" s="978">
        <f t="shared" ca="1" si="1"/>
        <v>269983.18337323738</v>
      </c>
    </row>
    <row r="17" spans="1:17">
      <c r="A17" s="487" t="s">
        <v>559</v>
      </c>
      <c r="B17" s="786">
        <f ca="1">huishoudens!B10</f>
        <v>0.20772847155031207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4305.2853314184094</v>
      </c>
      <c r="C22" s="477">
        <f t="shared" ref="C22:C32" ca="1" si="3">C4*$C$17</f>
        <v>0</v>
      </c>
      <c r="D22" s="477">
        <f t="shared" ref="D22:D32" si="4">D4*$D$17</f>
        <v>11316.421324692001</v>
      </c>
      <c r="E22" s="477">
        <f t="shared" ref="E22:E32" si="5">E4*$E$17</f>
        <v>356.56483135064371</v>
      </c>
      <c r="F22" s="477">
        <f t="shared" ref="F22:F32" si="6">F4*$F$17</f>
        <v>1203.6805746893924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17181.952062150449</v>
      </c>
    </row>
    <row r="23" spans="1:17">
      <c r="A23" s="476" t="s">
        <v>156</v>
      </c>
      <c r="B23" s="477">
        <f t="shared" ca="1" si="2"/>
        <v>4936.5539143761716</v>
      </c>
      <c r="C23" s="477">
        <f t="shared" ca="1" si="3"/>
        <v>0</v>
      </c>
      <c r="D23" s="477">
        <f t="shared" ca="1" si="4"/>
        <v>6154.7660307320011</v>
      </c>
      <c r="E23" s="477">
        <f t="shared" si="5"/>
        <v>78.276035542244131</v>
      </c>
      <c r="F23" s="477">
        <f t="shared" ca="1" si="6"/>
        <v>1570.5079479458848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12740.103928596302</v>
      </c>
    </row>
    <row r="24" spans="1:17">
      <c r="A24" s="476" t="s">
        <v>194</v>
      </c>
      <c r="B24" s="477">
        <f t="shared" ca="1" si="2"/>
        <v>197.72904611529472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197.72904611529472</v>
      </c>
    </row>
    <row r="25" spans="1:17">
      <c r="A25" s="476" t="s">
        <v>112</v>
      </c>
      <c r="B25" s="477">
        <f t="shared" ca="1" si="2"/>
        <v>88.312643752541916</v>
      </c>
      <c r="C25" s="477">
        <f t="shared" ca="1" si="3"/>
        <v>0</v>
      </c>
      <c r="D25" s="477">
        <f t="shared" si="4"/>
        <v>53.778239415999998</v>
      </c>
      <c r="E25" s="477">
        <f t="shared" si="5"/>
        <v>2.4885100457129581</v>
      </c>
      <c r="F25" s="477">
        <f t="shared" si="6"/>
        <v>414.90448660342201</v>
      </c>
      <c r="G25" s="477">
        <f t="shared" si="7"/>
        <v>0</v>
      </c>
      <c r="H25" s="477">
        <f t="shared" si="8"/>
        <v>0</v>
      </c>
      <c r="I25" s="477">
        <f t="shared" si="9"/>
        <v>0</v>
      </c>
      <c r="J25" s="477">
        <f t="shared" si="10"/>
        <v>21.666145449408862</v>
      </c>
      <c r="K25" s="477">
        <f t="shared" si="11"/>
        <v>0</v>
      </c>
      <c r="L25" s="477">
        <f t="shared" si="12"/>
        <v>0</v>
      </c>
      <c r="M25" s="477">
        <f t="shared" si="13"/>
        <v>0</v>
      </c>
      <c r="N25" s="477">
        <f t="shared" si="14"/>
        <v>0</v>
      </c>
      <c r="O25" s="477">
        <f t="shared" si="15"/>
        <v>0</v>
      </c>
      <c r="P25" s="478">
        <f t="shared" si="16"/>
        <v>0</v>
      </c>
      <c r="Q25" s="476">
        <f t="shared" ca="1" si="17"/>
        <v>581.15002526708577</v>
      </c>
    </row>
    <row r="26" spans="1:17">
      <c r="A26" s="476" t="s">
        <v>638</v>
      </c>
      <c r="B26" s="477">
        <f t="shared" ca="1" si="2"/>
        <v>193.34452126628224</v>
      </c>
      <c r="C26" s="477">
        <f t="shared" ca="1" si="3"/>
        <v>0</v>
      </c>
      <c r="D26" s="477">
        <f t="shared" si="4"/>
        <v>260.14850254800007</v>
      </c>
      <c r="E26" s="477">
        <f t="shared" si="5"/>
        <v>22.77818378382791</v>
      </c>
      <c r="F26" s="477">
        <f t="shared" si="6"/>
        <v>126.43557631837896</v>
      </c>
      <c r="G26" s="477">
        <f t="shared" si="7"/>
        <v>0</v>
      </c>
      <c r="H26" s="477">
        <f t="shared" si="8"/>
        <v>0</v>
      </c>
      <c r="I26" s="477">
        <f t="shared" si="9"/>
        <v>0</v>
      </c>
      <c r="J26" s="477">
        <f t="shared" si="10"/>
        <v>4.2586726632380556E-2</v>
      </c>
      <c r="K26" s="477">
        <f t="shared" si="11"/>
        <v>0</v>
      </c>
      <c r="L26" s="477">
        <f t="shared" si="12"/>
        <v>0</v>
      </c>
      <c r="M26" s="477">
        <f t="shared" si="13"/>
        <v>0</v>
      </c>
      <c r="N26" s="477">
        <f t="shared" si="14"/>
        <v>0</v>
      </c>
      <c r="O26" s="477">
        <f t="shared" si="15"/>
        <v>0</v>
      </c>
      <c r="P26" s="478">
        <f t="shared" si="16"/>
        <v>0</v>
      </c>
      <c r="Q26" s="476">
        <f t="shared" ca="1" si="17"/>
        <v>602.74937064312155</v>
      </c>
    </row>
    <row r="27" spans="1:17" s="482" customFormat="1">
      <c r="A27" s="480" t="s">
        <v>564</v>
      </c>
      <c r="B27" s="780">
        <f t="shared" ca="1" si="2"/>
        <v>5.3296672794804163</v>
      </c>
      <c r="C27" s="481">
        <f t="shared" ca="1" si="3"/>
        <v>0</v>
      </c>
      <c r="D27" s="481">
        <f t="shared" si="4"/>
        <v>11.242228719068112</v>
      </c>
      <c r="E27" s="481">
        <f t="shared" si="5"/>
        <v>51.32462388098908</v>
      </c>
      <c r="F27" s="481">
        <f t="shared" si="6"/>
        <v>0</v>
      </c>
      <c r="G27" s="481">
        <f t="shared" si="7"/>
        <v>22619.845169044576</v>
      </c>
      <c r="H27" s="481">
        <f t="shared" si="8"/>
        <v>3763.6100923222721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26451.351781246387</v>
      </c>
    </row>
    <row r="28" spans="1:17">
      <c r="A28" s="476" t="s">
        <v>554</v>
      </c>
      <c r="B28" s="477">
        <f t="shared" ca="1" si="2"/>
        <v>0</v>
      </c>
      <c r="C28" s="477">
        <f t="shared" ca="1" si="3"/>
        <v>0</v>
      </c>
      <c r="D28" s="477">
        <f t="shared" si="4"/>
        <v>0</v>
      </c>
      <c r="E28" s="477">
        <f t="shared" si="5"/>
        <v>0</v>
      </c>
      <c r="F28" s="477">
        <f t="shared" si="6"/>
        <v>0</v>
      </c>
      <c r="G28" s="477">
        <f t="shared" si="7"/>
        <v>1398.12422445267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1398.12422445267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77.949901220783062</v>
      </c>
      <c r="C32" s="477">
        <f t="shared" ca="1" si="3"/>
        <v>0</v>
      </c>
      <c r="D32" s="477">
        <f t="shared" si="4"/>
        <v>337.74177800000001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415.69167922078304</v>
      </c>
    </row>
    <row r="33" spans="1:17" s="486" customFormat="1">
      <c r="A33" s="1038" t="s">
        <v>558</v>
      </c>
      <c r="B33" s="978">
        <f ca="1">SUM(B22:B32)</f>
        <v>9804.5050254289654</v>
      </c>
      <c r="C33" s="978">
        <f t="shared" ref="C33:Q33" ca="1" si="18">SUM(C22:C32)</f>
        <v>0</v>
      </c>
      <c r="D33" s="978">
        <f t="shared" ca="1" si="18"/>
        <v>18134.098104107066</v>
      </c>
      <c r="E33" s="978">
        <f t="shared" si="18"/>
        <v>511.4321846034178</v>
      </c>
      <c r="F33" s="978">
        <f t="shared" ca="1" si="18"/>
        <v>3315.5285855570778</v>
      </c>
      <c r="G33" s="978">
        <f t="shared" si="18"/>
        <v>24017.969393497246</v>
      </c>
      <c r="H33" s="978">
        <f t="shared" si="18"/>
        <v>3763.6100923222721</v>
      </c>
      <c r="I33" s="978">
        <f t="shared" si="18"/>
        <v>0</v>
      </c>
      <c r="J33" s="978">
        <f t="shared" si="18"/>
        <v>21.708732176041242</v>
      </c>
      <c r="K33" s="978">
        <f t="shared" si="18"/>
        <v>0</v>
      </c>
      <c r="L33" s="978">
        <f t="shared" ca="1" si="18"/>
        <v>0</v>
      </c>
      <c r="M33" s="978">
        <f t="shared" si="18"/>
        <v>0</v>
      </c>
      <c r="N33" s="978">
        <f t="shared" ca="1" si="18"/>
        <v>0</v>
      </c>
      <c r="O33" s="978">
        <f t="shared" si="18"/>
        <v>0</v>
      </c>
      <c r="P33" s="978">
        <f t="shared" si="18"/>
        <v>0</v>
      </c>
      <c r="Q33" s="978">
        <f t="shared" ca="1" si="18"/>
        <v>59568.852117692099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2834.381577339419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2834.381577339419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0.20772847155031207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0.20772847155031207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2019-06-29T16:55:47Z</dcterms:modified>
</cp:coreProperties>
</file>