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C19"/>
  <c r="D89" i="14" s="1"/>
  <c r="D19" i="59" s="1"/>
  <c r="B19" i="18"/>
  <c r="N18"/>
  <c r="L88" i="14" s="1"/>
  <c r="M18" i="18"/>
  <c r="L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N10" s="1"/>
  <c r="L90" i="14"/>
  <c r="L18" i="59"/>
  <c r="L20" s="1"/>
  <c r="B98" i="18"/>
  <c r="I102" s="1"/>
  <c r="H17" s="1"/>
  <c r="B17"/>
  <c r="B20" s="1"/>
  <c r="O32" i="48"/>
  <c r="O31"/>
  <c r="O77" i="14"/>
  <c r="O9" i="59" s="1"/>
  <c r="O10" s="1"/>
  <c r="L10" i="18"/>
  <c r="E89" i="14"/>
  <c r="E19" i="59" s="1"/>
  <c r="E20" s="1"/>
  <c r="D20" i="18"/>
  <c r="H20" i="59"/>
  <c r="H90" i="14"/>
  <c r="H18" i="59"/>
  <c r="C98" i="18"/>
  <c r="E101" s="1"/>
  <c r="E8" s="1"/>
  <c r="K20" i="59"/>
  <c r="P22" i="14"/>
  <c r="K10" i="18"/>
  <c r="L78" i="14"/>
  <c r="D14" i="48"/>
  <c r="M77" i="14"/>
  <c r="M9" i="59" s="1"/>
  <c r="H9" i="18"/>
  <c r="O9" s="1"/>
  <c r="K78" i="14"/>
  <c r="Q22"/>
  <c r="G10" i="59"/>
  <c r="L10"/>
  <c r="B8" i="18"/>
  <c r="D22" i="14"/>
  <c r="L22"/>
  <c r="E10" i="59"/>
  <c r="I77" i="14"/>
  <c r="I9" i="59" s="1"/>
  <c r="B13" i="15"/>
  <c r="B10" i="18"/>
  <c r="N13" i="15"/>
  <c r="L13"/>
  <c r="F77" i="14"/>
  <c r="F9" i="59" s="1"/>
  <c r="F101" i="18"/>
  <c r="H101"/>
  <c r="D101"/>
  <c r="G101"/>
  <c r="C101"/>
  <c r="E102"/>
  <c r="E17" s="1"/>
  <c r="C102"/>
  <c r="F102"/>
  <c r="H102"/>
  <c r="D102"/>
  <c r="O19"/>
  <c r="N88" i="14"/>
  <c r="D10" i="18"/>
  <c r="E78" i="14"/>
  <c r="D77"/>
  <c r="D9" i="59" s="1"/>
  <c r="H77" i="14"/>
  <c r="O88"/>
  <c r="G89"/>
  <c r="G19" i="59" s="1"/>
  <c r="G20" s="1"/>
  <c r="G20" i="18"/>
  <c r="O18"/>
  <c r="G78" i="14"/>
  <c r="O25" i="48"/>
  <c r="O27"/>
  <c r="Q11"/>
  <c r="O29"/>
  <c r="P31"/>
  <c r="O28"/>
  <c r="Q12"/>
  <c r="O24"/>
  <c r="O30"/>
  <c r="P24"/>
  <c r="P30"/>
  <c r="Q77" i="14"/>
  <c r="P9" i="59" s="1"/>
  <c r="E90" i="14"/>
  <c r="R9"/>
  <c r="R25"/>
  <c r="K90"/>
  <c r="O90" l="1"/>
  <c r="O18" i="59"/>
  <c r="O20" s="1"/>
  <c r="N90" i="14"/>
  <c r="N18" i="59"/>
  <c r="N20" s="1"/>
  <c r="H78" i="14"/>
  <c r="H9" i="59"/>
  <c r="H10" s="1"/>
  <c r="O78" i="14"/>
  <c r="B89"/>
  <c r="B19" i="59" s="1"/>
  <c r="J17" i="18"/>
  <c r="J20" s="1"/>
  <c r="I8"/>
  <c r="I10" s="1"/>
  <c r="G102"/>
  <c r="B101"/>
  <c r="C8" s="1"/>
  <c r="Q89" i="14"/>
  <c r="P19" i="59" s="1"/>
  <c r="B102" i="18"/>
  <c r="C17" s="1"/>
  <c r="D87" i="14" s="1"/>
  <c r="D17" i="59" s="1"/>
  <c r="D20" s="1"/>
  <c r="I101" i="18"/>
  <c r="H8" s="1"/>
  <c r="H10" s="1"/>
  <c r="Q14" i="48"/>
  <c r="G90" i="14"/>
  <c r="C89"/>
  <c r="C19" i="59" s="1"/>
  <c r="C77" i="14"/>
  <c r="C9" i="59" s="1"/>
  <c r="H20" i="18"/>
  <c r="M87" i="14"/>
  <c r="F76"/>
  <c r="E10" i="18"/>
  <c r="M76" i="14"/>
  <c r="B88"/>
  <c r="B18" i="59" s="1"/>
  <c r="I17" i="18"/>
  <c r="D76" i="14"/>
  <c r="D8" i="59" s="1"/>
  <c r="D10" s="1"/>
  <c r="C10" i="18"/>
  <c r="J8"/>
  <c r="C88" i="14"/>
  <c r="C18" i="59" s="1"/>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H10" i="14"/>
  <c r="H16" s="1"/>
  <c r="G5" i="48"/>
  <c r="C20" i="18"/>
  <c r="O8"/>
  <c r="O10" s="1"/>
  <c r="O17"/>
  <c r="O20" s="1"/>
  <c r="J87" i="14"/>
  <c r="Q76"/>
  <c r="D78"/>
  <c r="I78"/>
  <c r="B76"/>
  <c r="J10" i="18"/>
  <c r="J76" i="14"/>
  <c r="I87"/>
  <c r="I17" i="59" s="1"/>
  <c r="I20" s="1"/>
  <c r="I20" i="18"/>
  <c r="Q87" i="14"/>
  <c r="D90"/>
  <c r="C87"/>
  <c r="A31" i="23"/>
  <c r="A32"/>
  <c r="A33"/>
  <c r="C90" i="14" l="1"/>
  <c r="C17" i="59"/>
  <c r="C20" s="1"/>
  <c r="B78" i="14"/>
  <c r="B4" i="6" s="1"/>
  <c r="B8" i="59"/>
  <c r="B10" s="1"/>
  <c r="J78" i="14"/>
  <c r="J8" i="59"/>
  <c r="J10" s="1"/>
  <c r="J90" i="14"/>
  <c r="J17" i="59"/>
  <c r="J20" s="1"/>
  <c r="Q90" i="14"/>
  <c r="B17" i="6" s="1"/>
  <c r="P17" i="59"/>
  <c r="P20" s="1"/>
  <c r="Q78" i="14"/>
  <c r="B9" i="6" s="1"/>
  <c r="P8" i="59"/>
  <c r="P10" s="1"/>
  <c r="B87" i="14"/>
  <c r="I90"/>
  <c r="C76"/>
  <c r="B11" i="44"/>
  <c r="B25"/>
  <c r="B24"/>
  <c r="B90" i="14" l="1"/>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8"/>
  <c r="J29"/>
  <c r="Q11" i="14"/>
  <c r="P4" i="48"/>
  <c r="P11" i="14"/>
  <c r="O4" i="48"/>
  <c r="I32"/>
  <c r="I28"/>
  <c r="I22"/>
  <c r="I26"/>
  <c r="I31"/>
  <c r="I27"/>
  <c r="I30"/>
  <c r="I25"/>
  <c r="I24"/>
  <c r="I29"/>
  <c r="D4"/>
  <c r="D22" s="1"/>
  <c r="E11" i="14"/>
  <c r="H32" i="48"/>
  <c r="H29"/>
  <c r="H26"/>
  <c r="H25"/>
  <c r="H22"/>
  <c r="H30"/>
  <c r="H28"/>
  <c r="H24"/>
  <c r="H23"/>
  <c r="D11" i="14"/>
  <c r="C4" i="48"/>
  <c r="G29"/>
  <c r="G32"/>
  <c r="G22"/>
  <c r="G30"/>
  <c r="G26"/>
  <c r="G25"/>
  <c r="G24"/>
  <c r="G23"/>
  <c r="C11" i="14"/>
  <c r="B4" i="48"/>
  <c r="F24"/>
  <c r="F32"/>
  <c r="F29"/>
  <c r="F30"/>
  <c r="F31"/>
  <c r="F27"/>
  <c r="F28"/>
  <c r="N24"/>
  <c r="N32"/>
  <c r="N30"/>
  <c r="N29"/>
  <c r="N27"/>
  <c r="N31"/>
  <c r="N28"/>
  <c r="C19" i="14"/>
  <c r="B10" i="48"/>
  <c r="E32"/>
  <c r="E29"/>
  <c r="E31"/>
  <c r="E28"/>
  <c r="E30"/>
  <c r="E24"/>
  <c r="M26"/>
  <c r="M32"/>
  <c r="M22"/>
  <c r="M25"/>
  <c r="M30"/>
  <c r="M24"/>
  <c r="M29"/>
  <c r="M23"/>
  <c r="K5"/>
  <c r="L10" i="14"/>
  <c r="L16" s="1"/>
  <c r="L27" s="1"/>
  <c r="D30" i="48"/>
  <c r="D31"/>
  <c r="D29"/>
  <c r="D24"/>
  <c r="D28"/>
  <c r="D32"/>
  <c r="L32"/>
  <c r="L28"/>
  <c r="L27"/>
  <c r="L30"/>
  <c r="L29"/>
  <c r="L24"/>
  <c r="L31"/>
  <c r="L22"/>
  <c r="Q10" i="14"/>
  <c r="P5" i="48"/>
  <c r="P23" s="1"/>
  <c r="K28"/>
  <c r="K32"/>
  <c r="K22"/>
  <c r="K26"/>
  <c r="K27"/>
  <c r="K30"/>
  <c r="K25"/>
  <c r="K31"/>
  <c r="K24"/>
  <c r="K29"/>
  <c r="B7"/>
  <c r="C24" i="14"/>
  <c r="C26" s="1"/>
  <c r="N46"/>
  <c r="B8" i="9"/>
  <c r="B6" i="48" s="1"/>
  <c r="Q6" s="1"/>
  <c r="J15" i="16"/>
  <c r="G24" i="14"/>
  <c r="G26" s="1"/>
  <c r="F7" i="48"/>
  <c r="F25" s="1"/>
  <c r="L8"/>
  <c r="L26" s="1"/>
  <c r="M13" i="14"/>
  <c r="C16" i="15"/>
  <c r="C5" i="48" s="1"/>
  <c r="C18" i="16"/>
  <c r="D7" i="48"/>
  <c r="E24" i="14"/>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Q13"/>
  <c r="Q16" s="1"/>
  <c r="Q27" s="1"/>
  <c r="P8" i="48"/>
  <c r="P26" s="1"/>
  <c r="O22"/>
  <c r="K23"/>
  <c r="K33" s="1"/>
  <c r="K15"/>
  <c r="C22" i="14"/>
  <c r="J10"/>
  <c r="J16" s="1"/>
  <c r="J27" s="1"/>
  <c r="I5" i="48"/>
  <c r="F20" i="14"/>
  <c r="F22" s="1"/>
  <c r="E9" i="48"/>
  <c r="E27" s="1"/>
  <c r="E20" i="14"/>
  <c r="E22" s="1"/>
  <c r="D9" i="48"/>
  <c r="D27" s="1"/>
  <c r="P10" i="14"/>
  <c r="O5" i="48"/>
  <c r="O23" s="1"/>
  <c r="J7"/>
  <c r="J25" s="1"/>
  <c r="K24" i="14"/>
  <c r="K26" s="1"/>
  <c r="B9" i="48"/>
  <c r="C20" i="14"/>
  <c r="G11"/>
  <c r="F4" i="48"/>
  <c r="F22" s="1"/>
  <c r="P15"/>
  <c r="P22"/>
  <c r="P33" s="1"/>
  <c r="J63" i="14"/>
  <c r="D10"/>
  <c r="J12" i="17"/>
  <c r="K54" i="14" s="1"/>
  <c r="K56" s="1"/>
  <c r="L46"/>
  <c r="L61" s="1"/>
  <c r="L63" s="1"/>
  <c r="M12" i="22"/>
  <c r="M13" i="48"/>
  <c r="M31" s="1"/>
  <c r="N18"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20" i="14"/>
  <c r="G9" i="48"/>
  <c r="N19" i="14"/>
  <c r="M10" i="48"/>
  <c r="M28" s="1"/>
  <c r="O22" i="16"/>
  <c r="P43" i="14" s="1"/>
  <c r="P46" s="1"/>
  <c r="P61" s="1"/>
  <c r="P13"/>
  <c r="P16" s="1"/>
  <c r="P27" s="1"/>
  <c r="O8" i="48"/>
  <c r="O26" s="1"/>
  <c r="O33" s="1"/>
  <c r="H19" i="14"/>
  <c r="R19" s="1"/>
  <c r="G10" i="48"/>
  <c r="E12" i="13"/>
  <c r="F41" i="14" s="1"/>
  <c r="E4" i="48"/>
  <c r="F11" i="14"/>
  <c r="K11"/>
  <c r="J4" i="48"/>
  <c r="I23"/>
  <c r="I33" s="1"/>
  <c r="I15"/>
  <c r="E7"/>
  <c r="E25" s="1"/>
  <c r="F24" i="14"/>
  <c r="F26" s="1"/>
  <c r="N20"/>
  <c r="M9" i="48"/>
  <c r="G31"/>
  <c r="Q13"/>
  <c r="N22" i="14"/>
  <c r="N27" s="1"/>
  <c r="Q46"/>
  <c r="Q61" s="1"/>
  <c r="Q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P63" l="1"/>
  <c r="K10"/>
  <c r="J5" i="48"/>
  <c r="J23" s="1"/>
  <c r="J22"/>
  <c r="H9"/>
  <c r="I20" i="14"/>
  <c r="G28" i="48"/>
  <c r="Q10"/>
  <c r="G27"/>
  <c r="G15"/>
  <c r="H22" i="14"/>
  <c r="H27" s="1"/>
  <c r="F10"/>
  <c r="E5" i="48"/>
  <c r="E23" s="1"/>
  <c r="E22"/>
  <c r="Q4"/>
  <c r="M27"/>
  <c r="M33" s="1"/>
  <c r="M15"/>
  <c r="O15"/>
  <c r="R11"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E26" s="1"/>
  <c r="E33" s="1"/>
  <c r="H27"/>
  <c r="H33" s="1"/>
  <c r="H15"/>
  <c r="Q9"/>
  <c r="R20" i="14"/>
  <c r="R22" s="1"/>
  <c r="I22"/>
  <c r="I27" s="1"/>
  <c r="I63" s="1"/>
  <c r="J22" i="16"/>
  <c r="K43" i="14" s="1"/>
  <c r="K13"/>
  <c r="K16" s="1"/>
  <c r="K27" s="1"/>
  <c r="J8" i="48"/>
  <c r="J26" s="1"/>
  <c r="J33" s="1"/>
  <c r="K46" i="14"/>
  <c r="K61" s="1"/>
  <c r="E22" i="16"/>
  <c r="F43" i="14" s="1"/>
  <c r="F46"/>
  <c r="F61" s="1"/>
  <c r="G33" i="48"/>
  <c r="H63" i="14"/>
  <c r="O13"/>
  <c r="N8" i="48"/>
  <c r="N26" s="1"/>
  <c r="F8"/>
  <c r="G13" i="14"/>
  <c r="R13" s="1"/>
  <c r="J15" i="48" l="1"/>
  <c r="K63" i="14"/>
  <c r="F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<sst xmlns="http://schemas.openxmlformats.org/spreadsheetml/2006/main" count="2416" uniqueCount="904">
  <si>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</si>
  <si>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</si>
  <si>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</si>
  <si>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</si>
  <si>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</si>
  <si>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</si>
  <si>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</si>
  <si>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</si>
  <si>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</si>
  <si>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</si>
  <si>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</si>
  <si>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</si>
  <si>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</si>
  <si>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</si>
  <si>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</si>
  <si>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</si>
  <si>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</si>
  <si>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</si>
  <si>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</si>
  <si>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</si>
  <si>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</si>
  <si>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</si>
  <si>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</si>
  <si>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</si>
  <si>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</si>
  <si>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</si>
  <si>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</si>
  <si>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</si>
  <si>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</si>
  <si>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</si>
  <si>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</si>
  <si>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</si>
  <si>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</si>
  <si>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</si>
  <si>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</si>
  <si>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</si>
  <si>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</si>
  <si>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</si>
  <si>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</si>
  <si>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</si>
  <si>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</si>
  <si>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</si>
  <si>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</si>
  <si>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</si>
  <si>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</si>
  <si>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</si>
  <si>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</si>
  <si>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</si>
  <si>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</si>
  <si>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</si>
  <si>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</si>
  <si>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</si>
  <si>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</si>
  <si>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</si>
  <si>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</si>
  <si>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</si>
  <si>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</si>
  <si>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</si>
  <si>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</si>
  <si>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</si>
  <si>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</si>
  <si>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</si>
  <si>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</si>
  <si>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</si>
  <si>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</si>
  <si>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</si>
  <si>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</si>
  <si>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</si>
  <si>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</si>
  <si>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</si>
  <si>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</si>
  <si>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</si>
  <si>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</si>
  <si>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</si>
  <si>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</si>
  <si>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</si>
  <si>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</si>
  <si>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</si>
  <si>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</si>
  <si>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</si>
  <si>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</si>
  <si>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</si>
  <si>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</si>
  <si>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</si>
  <si>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</si>
  <si>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</si>
  <si>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</si>
  <si>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</si>
  <si>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</si>
  <si>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</si>
  <si>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</si>
  <si>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</si>
  <si>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</si>
  <si>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</si>
  <si>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</si>
  <si>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</si>
  <si>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</si>
  <si>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</si>
  <si>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</si>
  <si>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</si>
  <si>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</si>
  <si>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</si>
  <si>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</si>
  <si>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</si>
  <si>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</si>
  <si>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</si>
  <si>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</si>
  <si>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</si>
  <si>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</si>
  <si>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</si>
  <si>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</si>
  <si>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</si>
  <si>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</si>
  <si>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</si>
  <si>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</si>
  <si>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</si>
  <si>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</si>
  <si>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</si>
  <si>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</si>
  <si>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</si>
  <si>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</si>
  <si>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</si>
  <si>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</si>
  <si>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</si>
  <si>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</si>
  <si>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</si>
  <si>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</si>
  <si>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</si>
  <si>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</si>
  <si>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</si>
  <si>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</si>
  <si>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</si>
  <si>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</si>
  <si>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</si>
  <si>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</si>
  <si>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</si>
  <si>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</si>
  <si>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</si>
  <si>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</si>
  <si>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</si>
  <si>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</si>
  <si>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</si>
  <si>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</si>
  <si>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</si>
  <si>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</si>
  <si>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</si>
  <si>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</si>
  <si>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</si>
  <si>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</si>
  <si>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</si>
  <si>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</si>
  <si>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</si>
  <si>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</si>
  <si>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</si>
  <si>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</si>
  <si>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</si>
  <si>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</si>
  <si>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</si>
  <si>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</si>
  <si>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</si>
  <si>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</si>
  <si>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</si>
  <si>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</si>
  <si>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</si>
  <si>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</si>
  <si>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</si>
  <si>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</si>
  <si>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</si>
  <si>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</si>
  <si>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</si>
  <si>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</si>
  <si>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</si>
  <si>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</si>
  <si>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</si>
  <si>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</si>
  <si>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</si>
  <si>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</si>
  <si>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</si>
  <si>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</si>
  <si>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</si>
  <si>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</si>
  <si>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</si>
  <si>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</si>
  <si>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</si>
  <si>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</si>
  <si>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</si>
  <si>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</si>
  <si>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</si>
  <si>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</si>
  <si>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</si>
  <si>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</si>
  <si>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</si>
  <si>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</si>
  <si>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</si>
  <si>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</si>
  <si>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</si>
  <si>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</si>
  <si>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</si>
  <si>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</si>
  <si>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</si>
  <si>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</si>
  <si>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</si>
  <si>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</si>
  <si>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</si>
  <si>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</si>
  <si>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</si>
  <si>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</si>
  <si>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</si>
  <si>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</si>
  <si>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</si>
  <si>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</si>
  <si>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</si>
  <si>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</si>
  <si>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</si>
  <si>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</si>
  <si>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</si>
  <si>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</si>
  <si>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</si>
  <si>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</si>
  <si>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</si>
  <si>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</si>
  <si>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</si>
  <si>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</si>
  <si>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</si>
  <si>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</si>
  <si>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</si>
  <si>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</si>
  <si>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</si>
  <si>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</si>
  <si>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</si>
  <si>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</si>
  <si>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</si>
  <si>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</si>
  <si>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</si>
  <si>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</si>
  <si>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</si>
  <si>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</si>
  <si>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</si>
  <si>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</si>
  <si>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</si>
  <si>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</si>
  <si>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</si>
  <si>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</si>
  <si>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</si>
  <si>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</si>
  <si>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</si>
  <si>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</si>
  <si>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</si>
  <si>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</si>
  <si>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</si>
  <si>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</si>
  <si>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</si>
  <si>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</si>
  <si>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</si>
  <si>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</si>
  <si>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</si>
  <si>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</si>
  <si>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</si>
  <si>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</si>
  <si>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</si>
  <si>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</si>
  <si>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</si>
  <si>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</si>
  <si>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</si>
  <si>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</si>
  <si>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</si>
  <si>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</si>
  <si>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</si>
  <si>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</si>
  <si>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</si>
  <si>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</si>
  <si>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</si>
  <si>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</si>
  <si>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</si>
  <si>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</si>
  <si>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</si>
  <si>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</si>
  <si>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</si>
  <si>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</si>
  <si>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</si>
  <si>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</si>
  <si>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</si>
  <si>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</si>
  <si>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</si>
  <si>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</si>
  <si>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</si>
  <si>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</si>
  <si>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</si>
  <si>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</si>
  <si>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</si>
  <si>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</si>
  <si>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</si>
  <si>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</si>
  <si>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</si>
  <si>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</si>
  <si>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</si>
  <si>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</si>
  <si>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</si>
  <si>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</si>
  <si>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</si>
  <si>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</si>
  <si>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</si>
  <si>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</si>
  <si>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</si>
  <si>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</si>
  <si>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</si>
  <si>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</si>
  <si>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</si>
  <si>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</si>
  <si>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</si>
  <si>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</si>
  <si>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</si>
  <si>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</si>
  <si>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</si>
  <si>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</si>
  <si>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</si>
  <si>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</si>
  <si>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</si>
  <si>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</si>
  <si>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</si>
  <si>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</si>
  <si>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</si>
  <si>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</si>
  <si>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</si>
  <si>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</si>
  <si>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</si>
  <si>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</si>
  <si>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</si>
  <si>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</si>
  <si>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</si>
  <si>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</si>
  <si>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</si>
  <si>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</si>
  <si>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</si>
  <si>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</si>
  <si>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</si>
  <si>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</si>
  <si>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</si>
  <si>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</si>
  <si>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</si>
  <si>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</si>
  <si>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</si>
  <si>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</si>
  <si>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</si>
  <si>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</si>
  <si>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</si>
  <si>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</si>
  <si>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</si>
  <si>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</si>
  <si>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</si>
  <si>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</si>
  <si>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</si>
  <si>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</si>
  <si>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</si>
  <si>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</si>
  <si>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</si>
  <si>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</si>
  <si>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</si>
  <si>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</si>
  <si>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</si>
  <si>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</si>
  <si>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</si>
  <si>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</si>
  <si>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</si>
  <si>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</si>
  <si>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</si>
  <si>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</si>
  <si>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</si>
  <si>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</si>
  <si>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</si>
  <si>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</si>
  <si>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</si>
  <si>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</si>
  <si>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</si>
  <si>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</si>
  <si>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</si>
  <si>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</si>
  <si>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</si>
  <si>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</si>
  <si>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</si>
  <si>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</si>
  <si>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</si>
  <si>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</si>
  <si>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</si>
  <si>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</si>
  <si>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</si>
  <si>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</si>
  <si>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</si>
  <si>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</si>
  <si>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</si>
  <si>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</si>
  <si>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</si>
  <si>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</si>
  <si>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</si>
  <si>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</si>
  <si>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</si>
  <si>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</si>
  <si>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</si>
  <si>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</si>
  <si>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</si>
  <si>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</si>
  <si>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</si>
  <si>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</si>
  <si>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</si>
  <si>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</si>
  <si>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</si>
  <si>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</si>
  <si>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</si>
  <si>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</si>
  <si>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</si>
  <si>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</si>
  <si>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</si>
  <si>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</si>
  <si>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</si>
  <si>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</si>
  <si>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</si>
  <si>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</si>
  <si>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</si>
  <si>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</si>
  <si>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</si>
  <si>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</si>
  <si>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</si>
  <si>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</si>
  <si>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</si>
  <si>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</si>
  <si>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</si>
  <si>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</si>
  <si>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</si>
  <si>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</si>
  <si>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</si>
  <si>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</si>
  <si>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</si>
  <si>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</si>
  <si>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</si>
  <si>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</si>
  <si>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</si>
  <si>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</si>
  <si>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</si>
  <si>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</si>
  <si>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</si>
  <si>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</si>
  <si>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</si>
  <si>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</si>
  <si>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</si>
  <si>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</si>
  <si>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</si>
  <si>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</si>
  <si>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</si>
  <si>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</si>
  <si>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</si>
  <si>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</si>
  <si>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</si>
  <si>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</si>
  <si>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</si>
  <si>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</si>
  <si>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</si>
  <si>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</si>
  <si>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</si>
  <si>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</si>
  <si>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</si>
  <si>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</si>
  <si>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</si>
  <si>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</si>
  <si>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</si>
  <si>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</si>
  <si>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</si>
  <si>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</si>
  <si>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</si>
  <si>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</si>
  <si>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</si>
  <si>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</si>
  <si>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</si>
  <si>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</si>
  <si>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</si>
  <si>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</si>
  <si>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</si>
  <si>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</si>
  <si>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</si>
  <si>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</si>
  <si>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</si>
  <si>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</si>
  <si>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</si>
  <si>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</si>
  <si>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</si>
  <si>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</si>
  <si>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</si>
  <si>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</si>
  <si>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</si>
  <si>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</si>
  <si>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</si>
  <si>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</si>
  <si>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</si>
  <si>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</si>
  <si>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</si>
  <si>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</si>
  <si>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</si>
  <si>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</si>
  <si>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</si>
  <si>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</si>
  <si>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</si>
  <si>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</si>
  <si>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</si>
  <si>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</si>
  <si>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</si>
  <si>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</si>
  <si>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</si>
  <si>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</si>
  <si>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</si>
  <si>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</si>
  <si>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</si>
  <si>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</si>
  <si>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</si>
  <si>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</si>
  <si>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</si>
  <si>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</si>
  <si>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</si>
  <si>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</si>
  <si>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</si>
  <si>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</si>
  <si>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</si>
  <si>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</si>
  <si>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</si>
  <si>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</si>
  <si>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</si>
  <si>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</si>
  <si>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</si>
  <si>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</si>
  <si>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</si>
  <si>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</si>
  <si>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</si>
  <si>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</si>
  <si>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</si>
  <si>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</si>
  <si>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</si>
  <si>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</si>
  <si>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</si>
  <si>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</si>
  <si>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</si>
  <si>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</si>
  <si>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</si>
  <si>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</si>
  <si>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</si>
  <si>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</si>
  <si>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</si>
  <si>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</si>
  <si>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</si>
  <si>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</si>
  <si>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</si>
  <si>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</si>
  <si>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</si>
  <si>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</si>
  <si>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</si>
  <si>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</si>
  <si>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</si>
  <si>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</si>
  <si>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</si>
  <si>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</si>
  <si>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</si>
  <si>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</si>
  <si>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</si>
  <si>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</si>
  <si>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</si>
  <si>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</si>
  <si>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</si>
  <si>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</si>
  <si>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</si>
  <si>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</si>
  <si>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</si>
  <si>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</si>
  <si>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</si>
  <si>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</si>
  <si>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</si>
  <si>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</si>
  <si>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</si>
  <si>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</si>
  <si>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</si>
  <si>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</si>
  <si>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</si>
  <si>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</si>
  <si>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</si>
  <si>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</si>
  <si>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</si>
  <si>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</si>
  <si>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</si>
  <si>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</si>
  <si>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</si>
  <si>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</si>
  <si>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</si>
  <si>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</si>
  <si>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</si>
  <si>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</si>
  <si>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</si>
  <si>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</si>
  <si>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</si>
  <si>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</si>
  <si>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</si>
  <si>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</si>
  <si>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</si>
  <si>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</si>
  <si>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</si>
  <si>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</si>
  <si>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</si>
  <si>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</si>
  <si>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</si>
  <si>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</si>
  <si>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</si>
  <si>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</si>
  <si>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</si>
  <si>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</si>
  <si>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</si>
  <si>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</si>
  <si>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</si>
  <si>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</si>
  <si>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</si>
  <si>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</si>
  <si>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</si>
  <si>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</si>
  <si>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</si>
  <si>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</si>
  <si>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</si>
  <si>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</si>
  <si>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</si>
  <si>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</si>
  <si>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</si>
  <si>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</si>
  <si>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</si>
  <si>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</si>
  <si>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</si>
  <si>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</si>
  <si>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</si>
  <si>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</si>
  <si>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</si>
  <si>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</si>
  <si>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</si>
  <si>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</si>
  <si>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</si>
  <si>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</si>
  <si>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</si>
  <si>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</si>
  <si>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</si>
  <si>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</si>
  <si>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</si>
  <si>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</si>
  <si>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</si>
  <si>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</si>
  <si>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</si>
  <si>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</si>
  <si>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</si>
  <si>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</si>
  <si>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</si>
  <si>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</si>
  <si>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</si>
  <si>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</si>
  <si>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</si>
  <si>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</si>
  <si>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</si>
  <si>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</si>
  <si>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</si>
  <si>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</si>
  <si>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</si>
  <si>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</si>
  <si>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</si>
  <si>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</si>
  <si>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</si>
  <si>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</si>
  <si>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</si>
  <si>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</si>
  <si>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</si>
  <si>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</si>
  <si>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</si>
  <si>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</si>
  <si>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</si>
  <si>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</si>
  <si>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</si>
  <si>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</si>
  <si>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</si>
  <si>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</si>
  <si>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</si>
  <si>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</si>
  <si>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</si>
  <si>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</si>
  <si>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</si>
  <si>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</si>
  <si>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</si>
  <si>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</si>
  <si>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</si>
  <si>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</si>
  <si>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</si>
  <si>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</si>
  <si>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</si>
  <si>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</si>
  <si>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</si>
  <si>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</si>
  <si>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</si>
  <si>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</si>
  <si>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</si>
  <si>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</si>
  <si>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</si>
  <si>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</si>
  <si>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</si>
  <si>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</si>
  <si>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</si>
  <si>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</si>
  <si>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</si>
  <si>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</si>
  <si>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</si>
  <si>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</si>
  <si>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</si>
  <si>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</si>
  <si>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</si>
  <si>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</si>
  <si>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</si>
  <si>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</si>
  <si>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</si>
  <si>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</si>
  <si>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</si>
  <si>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</si>
  <si>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</si>
  <si>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</si>
  <si>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</si>
  <si>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</si>
  <si>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</si>
  <si>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</si>
  <si>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</si>
  <si>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</si>
  <si>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</si>
  <si>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</si>
  <si>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</si>
  <si>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</si>
  <si>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</si>
  <si>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</si>
  <si>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</si>
  <si>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</si>
  <si>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</si>
  <si>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</si>
  <si>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</si>
  <si>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</si>
  <si>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</si>
  <si>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</si>
  <si>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</si>
  <si>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</si>
  <si>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</si>
  <si>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</si>
  <si>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</si>
  <si>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</si>
  <si>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</si>
  <si>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</si>
  <si>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</si>
  <si>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</si>
  <si>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</si>
  <si>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</si>
  <si>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</si>
  <si>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</si>
  <si>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</si>
  <si>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</si>
  <si>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</si>
  <si>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</si>
  <si>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</si>
  <si>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</si>
  <si>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</si>
  <si>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</si>
  <si>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</si>
  <si>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</si>
  <si>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</si>
  <si>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</si>
  <si>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</si>
  <si>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</si>
  <si>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</si>
  <si>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</si>
  <si>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</si>
  <si>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</si>
  <si>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</si>
  <si>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</si>
  <si>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</si>
  <si>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</si>
  <si>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</si>
  <si>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</si>
  <si>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</si>
  <si>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</si>
  <si>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</si>
  <si>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</si>
  <si>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</si>
  <si>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</si>
  <si>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</si>
  <si>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</si>
  <si>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</si>
  <si>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</si>
  <si>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</si>
  <si>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</si>
  <si>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</si>
  <si>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</si>
  <si>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</si>
  <si>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</si>
  <si>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</si>
  <si>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</si>
  <si>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</si>
  <si>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</si>
  <si>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</si>
  <si>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</si>
  <si>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</si>
  <si>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</si>
  <si>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</si>
  <si>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</si>
  <si>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</si>
  <si>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</si>
  <si>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</si>
  <si>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</si>
  <si>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</si>
  <si>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</si>
  <si>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</si>
  <si>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</si>
  <si>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</si>
  <si>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</si>
  <si>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</si>
  <si>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</si>
  <si>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</si>
  <si>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</si>
  <si>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</si>
  <si>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</si>
  <si>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</si>
  <si>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</si>
  <si>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</si>
  <si>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</si>
  <si>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</si>
  <si>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</si>
  <si>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</si>
  <si>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</si>
  <si>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</si>
  <si>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</si>
  <si>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</si>
  <si>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</si>
  <si>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</si>
  <si>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</si>
  <si>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</si>
  <si>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</si>
  <si>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</si>
  <si>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</si>
  <si>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</si>
  <si>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</si>
  <si>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</si>
  <si>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</si>
  <si>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</si>
  <si>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</si>
  <si>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</si>
  <si>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</si>
  <si>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</si>
  <si>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</si>
  <si>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</si>
  <si>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</si>
  <si>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</si>
  <si>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</si>
  <si>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</si>
  <si>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</si>
  <si>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</si>
  <si>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</si>
  <si>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</si>
  <si>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</si>
  <si>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</si>
  <si>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</si>
  <si>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</si>
  <si>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</si>
  <si>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</si>
  <si>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</si>
  <si>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</si>
  <si>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</si>
  <si>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</si>
  <si>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</si>
  <si>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</si>
  <si>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</si>
  <si>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</si>
  <si>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</si>
  <si>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</si>
  <si>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</si>
  <si>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</si>
  <si>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</si>
  <si>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</si>
  <si>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</si>
  <si>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</si>
  <si>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</si>
  <si>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</si>
  <si>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</si>
  <si>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</si>
  <si>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</si>
  <si>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</si>
  <si>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</si>
  <si>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</si>
  <si>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</si>
  <si>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</si>
  <si>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</si>
  <si>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</si>
  <si>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</si>
  <si>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</si>
  <si>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</si>
  <si>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</si>
  <si>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</si>
  <si>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</si>
  <si>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71020</t>
  </si>
  <si>
    <t>HALEN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</si>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</sst>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83966.363929291998</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73503104"/>
        <c:axId val="73504640"/>
      </c:barChart>
      <c:catAx>
        <c:axId val="73503104"/>
        <c:scaling>
          <c:orientation val="minMax"/>
        </c:scaling>
        <c:axPos val="b"/>
        <c:numFmt formatCode="General" sourceLinked="0"/>
        <c:tickLblPos val="nextTo"/>
        <c:crossAx val="73504640"/>
        <c:crosses val="autoZero"/>
        <c:auto val="1"/>
        <c:lblAlgn val="ctr"/>
        <c:lblOffset val="100"/>
      </c:catAx>
      <c:valAx>
        <c:axId val="73504640"/>
        <c:scaling>
          <c:orientation val="minMax"/>
        </c:scaling>
        <c:axPos val="l"/>
        <c:majorGridlines/>
        <c:numFmt formatCode="#,##0" sourceLinked="1"/>
        <c:tickLblPos val="nextTo"/>
        <c:crossAx val="735031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83966.363929291998</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15947.120378855216</c:v>
                </c:pt>
                <c:pt idx="2">
                  <c:v>3225.5775124346815</c:v>
                </c:pt>
                <c:pt idx="3">
                  <c:v>75.225232685054934</c:v>
                </c:pt>
                <c:pt idx="4">
                  <c:v>1205.2642601083048</c:v>
                </c:pt>
                <c:pt idx="5">
                  <c:v>9101.531892144345</c:v>
                </c:pt>
                <c:pt idx="6">
                  <c:v>31900.438617520169</c:v>
                </c:pt>
                <c:pt idx="7">
                  <c:v>345.94896563909003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73579520"/>
        <c:axId val="73585408"/>
      </c:barChart>
      <c:catAx>
        <c:axId val="73579520"/>
        <c:scaling>
          <c:orientation val="minMax"/>
        </c:scaling>
        <c:axPos val="b"/>
        <c:numFmt formatCode="General" sourceLinked="0"/>
        <c:tickLblPos val="nextTo"/>
        <c:crossAx val="73585408"/>
        <c:crosses val="autoZero"/>
        <c:auto val="1"/>
        <c:lblAlgn val="ctr"/>
        <c:lblOffset val="100"/>
      </c:catAx>
      <c:valAx>
        <c:axId val="73585408"/>
        <c:scaling>
          <c:orientation val="minMax"/>
        </c:scaling>
        <c:axPos val="l"/>
        <c:majorGridlines/>
        <c:numFmt formatCode="#,##0" sourceLinked="1"/>
        <c:tickLblPos val="nextTo"/>
        <c:crossAx val="73579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15947.120378855216</c:v>
                </c:pt>
                <c:pt idx="2">
                  <c:v>3225.5775124346815</c:v>
                </c:pt>
                <c:pt idx="3">
                  <c:v>75.225232685054934</c:v>
                </c:pt>
                <c:pt idx="4">
                  <c:v>1205.2642601083048</c:v>
                </c:pt>
                <c:pt idx="5">
                  <c:v>9101.531892144345</c:v>
                </c:pt>
                <c:pt idx="6">
                  <c:v>31900.438617520169</c:v>
                </c:pt>
                <c:pt idx="7">
                  <c:v>345.94896563909003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71020</v>
      </c>
      <c r="B6" s="416"/>
      <c r="C6" s="417"/>
    </row>
    <row r="7" spans="1:7" s="414" customFormat="1" ht="15.75" customHeight="1">
      <c r="A7" s="418" t="str">
        <f>txtMunicipality</f>
        <v>HALEN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0.123201093837352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0.123201093837352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3886</v>
      </c>
      <c r="C9" s="342">
        <v>4081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1943</v>
      </c>
    </row>
    <row r="15" spans="1:6">
      <c r="A15" s="348" t="s">
        <v>184</v>
      </c>
      <c r="B15" s="334">
        <v>765</v>
      </c>
    </row>
    <row r="16" spans="1:6">
      <c r="A16" s="348" t="s">
        <v>6</v>
      </c>
      <c r="B16" s="334">
        <v>188</v>
      </c>
    </row>
    <row r="17" spans="1:6">
      <c r="A17" s="348" t="s">
        <v>7</v>
      </c>
      <c r="B17" s="334">
        <v>366</v>
      </c>
    </row>
    <row r="18" spans="1:6">
      <c r="A18" s="348" t="s">
        <v>8</v>
      </c>
      <c r="B18" s="334">
        <v>528</v>
      </c>
    </row>
    <row r="19" spans="1:6">
      <c r="A19" s="348" t="s">
        <v>9</v>
      </c>
      <c r="B19" s="334">
        <v>587</v>
      </c>
    </row>
    <row r="20" spans="1:6">
      <c r="A20" s="348" t="s">
        <v>10</v>
      </c>
      <c r="B20" s="334">
        <v>293</v>
      </c>
    </row>
    <row r="21" spans="1:6">
      <c r="A21" s="348" t="s">
        <v>11</v>
      </c>
      <c r="B21" s="334">
        <v>2437</v>
      </c>
    </row>
    <row r="22" spans="1:6">
      <c r="A22" s="348" t="s">
        <v>12</v>
      </c>
      <c r="B22" s="334">
        <v>4891</v>
      </c>
    </row>
    <row r="23" spans="1:6">
      <c r="A23" s="348" t="s">
        <v>13</v>
      </c>
      <c r="B23" s="334">
        <v>43</v>
      </c>
    </row>
    <row r="24" spans="1:6">
      <c r="A24" s="348" t="s">
        <v>14</v>
      </c>
      <c r="B24" s="334">
        <v>4</v>
      </c>
    </row>
    <row r="25" spans="1:6">
      <c r="A25" s="348" t="s">
        <v>15</v>
      </c>
      <c r="B25" s="334">
        <v>135</v>
      </c>
    </row>
    <row r="26" spans="1:6">
      <c r="A26" s="348" t="s">
        <v>16</v>
      </c>
      <c r="B26" s="334">
        <v>397</v>
      </c>
    </row>
    <row r="27" spans="1:6">
      <c r="A27" s="348" t="s">
        <v>17</v>
      </c>
      <c r="B27" s="334">
        <v>40</v>
      </c>
    </row>
    <row r="28" spans="1:6" s="356" customFormat="1">
      <c r="A28" s="355" t="s">
        <v>18</v>
      </c>
      <c r="B28" s="355">
        <v>87022</v>
      </c>
    </row>
    <row r="29" spans="1:6">
      <c r="A29" s="355" t="s">
        <v>898</v>
      </c>
      <c r="B29" s="355">
        <v>56</v>
      </c>
      <c r="C29" s="356"/>
      <c r="D29" s="356"/>
      <c r="E29" s="356"/>
      <c r="F29" s="356"/>
    </row>
    <row r="30" spans="1:6">
      <c r="A30" s="341" t="s">
        <v>899</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8688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1593</v>
      </c>
      <c r="D39" s="334">
        <v>23649377</v>
      </c>
      <c r="E39" s="334">
        <v>3839</v>
      </c>
      <c r="F39" s="334">
        <v>14919795</v>
      </c>
    </row>
    <row r="40" spans="1:6">
      <c r="A40" s="348" t="s">
        <v>30</v>
      </c>
      <c r="B40" s="348" t="s">
        <v>29</v>
      </c>
      <c r="C40" s="334">
        <v>0</v>
      </c>
      <c r="D40" s="334">
        <v>0</v>
      </c>
      <c r="E40" s="334">
        <v>0</v>
      </c>
      <c r="F40" s="334">
        <v>0</v>
      </c>
    </row>
    <row r="41" spans="1:6">
      <c r="A41" s="348" t="s">
        <v>32</v>
      </c>
      <c r="B41" s="348" t="s">
        <v>33</v>
      </c>
      <c r="C41" s="334">
        <v>22</v>
      </c>
      <c r="D41" s="334">
        <v>13135943</v>
      </c>
      <c r="E41" s="334">
        <v>65</v>
      </c>
      <c r="F41" s="334">
        <v>11943762</v>
      </c>
    </row>
    <row r="42" spans="1:6">
      <c r="A42" s="348" t="s">
        <v>32</v>
      </c>
      <c r="B42" s="348" t="s">
        <v>34</v>
      </c>
      <c r="C42" s="334">
        <v>3</v>
      </c>
      <c r="D42" s="334">
        <v>1926361</v>
      </c>
      <c r="E42" s="334">
        <v>3</v>
      </c>
      <c r="F42" s="334">
        <v>1471195</v>
      </c>
    </row>
    <row r="43" spans="1:6">
      <c r="A43" s="348" t="s">
        <v>32</v>
      </c>
      <c r="B43" s="348" t="s">
        <v>35</v>
      </c>
      <c r="C43" s="334">
        <v>0</v>
      </c>
      <c r="D43" s="334">
        <v>0</v>
      </c>
      <c r="E43" s="334">
        <v>0</v>
      </c>
      <c r="F43" s="334">
        <v>0</v>
      </c>
    </row>
    <row r="44" spans="1:6">
      <c r="A44" s="348" t="s">
        <v>32</v>
      </c>
      <c r="B44" s="348" t="s">
        <v>36</v>
      </c>
      <c r="C44" s="334">
        <v>6</v>
      </c>
      <c r="D44" s="334">
        <v>170412</v>
      </c>
      <c r="E44" s="334">
        <v>14</v>
      </c>
      <c r="F44" s="334">
        <v>385135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60880</v>
      </c>
    </row>
    <row r="48" spans="1:6">
      <c r="A48" s="348" t="s">
        <v>32</v>
      </c>
      <c r="B48" s="348" t="s">
        <v>29</v>
      </c>
      <c r="C48" s="334">
        <v>3</v>
      </c>
      <c r="D48" s="334">
        <v>115364</v>
      </c>
      <c r="E48" s="334">
        <v>3</v>
      </c>
      <c r="F48" s="334">
        <v>101060</v>
      </c>
    </row>
    <row r="49" spans="1:6">
      <c r="A49" s="348" t="s">
        <v>32</v>
      </c>
      <c r="B49" s="348" t="s">
        <v>40</v>
      </c>
      <c r="C49" s="334">
        <v>0</v>
      </c>
      <c r="D49" s="334">
        <v>0</v>
      </c>
      <c r="E49" s="334">
        <v>0</v>
      </c>
      <c r="F49" s="334">
        <v>0</v>
      </c>
    </row>
    <row r="50" spans="1:6">
      <c r="A50" s="348" t="s">
        <v>32</v>
      </c>
      <c r="B50" s="348" t="s">
        <v>41</v>
      </c>
      <c r="C50" s="334">
        <v>5</v>
      </c>
      <c r="D50" s="334">
        <v>4985847</v>
      </c>
      <c r="E50" s="334">
        <v>5</v>
      </c>
      <c r="F50" s="334">
        <v>578778</v>
      </c>
    </row>
    <row r="51" spans="1:6">
      <c r="A51" s="348" t="s">
        <v>42</v>
      </c>
      <c r="B51" s="348" t="s">
        <v>43</v>
      </c>
      <c r="C51" s="334">
        <v>7</v>
      </c>
      <c r="D51" s="334">
        <v>203272</v>
      </c>
      <c r="E51" s="334">
        <v>59</v>
      </c>
      <c r="F51" s="334">
        <v>1363150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610589</v>
      </c>
    </row>
    <row r="55" spans="1:6">
      <c r="A55" s="348" t="s">
        <v>46</v>
      </c>
      <c r="B55" s="348" t="s">
        <v>29</v>
      </c>
      <c r="C55" s="334">
        <v>0</v>
      </c>
      <c r="D55" s="334">
        <v>0</v>
      </c>
      <c r="E55" s="334">
        <v>0</v>
      </c>
      <c r="F55" s="334">
        <v>0</v>
      </c>
    </row>
    <row r="56" spans="1:6">
      <c r="A56" s="348" t="s">
        <v>48</v>
      </c>
      <c r="B56" s="348" t="s">
        <v>29</v>
      </c>
      <c r="C56" s="334">
        <v>31</v>
      </c>
      <c r="D56" s="334">
        <v>586307</v>
      </c>
      <c r="E56" s="334">
        <v>102</v>
      </c>
      <c r="F56" s="334">
        <v>465348</v>
      </c>
    </row>
    <row r="57" spans="1:6">
      <c r="A57" s="348" t="s">
        <v>49</v>
      </c>
      <c r="B57" s="348" t="s">
        <v>50</v>
      </c>
      <c r="C57" s="334">
        <v>20</v>
      </c>
      <c r="D57" s="334">
        <v>1209958</v>
      </c>
      <c r="E57" s="334">
        <v>57</v>
      </c>
      <c r="F57" s="334">
        <v>2036611</v>
      </c>
    </row>
    <row r="58" spans="1:6">
      <c r="A58" s="348" t="s">
        <v>49</v>
      </c>
      <c r="B58" s="348" t="s">
        <v>51</v>
      </c>
      <c r="C58" s="334">
        <v>4</v>
      </c>
      <c r="D58" s="334">
        <v>1089729</v>
      </c>
      <c r="E58" s="334">
        <v>21</v>
      </c>
      <c r="F58" s="334">
        <v>670877</v>
      </c>
    </row>
    <row r="59" spans="1:6">
      <c r="A59" s="348" t="s">
        <v>49</v>
      </c>
      <c r="B59" s="348" t="s">
        <v>52</v>
      </c>
      <c r="C59" s="334">
        <v>39</v>
      </c>
      <c r="D59" s="334">
        <v>1787975</v>
      </c>
      <c r="E59" s="334">
        <v>118</v>
      </c>
      <c r="F59" s="334">
        <v>6632599</v>
      </c>
    </row>
    <row r="60" spans="1:6">
      <c r="A60" s="348" t="s">
        <v>49</v>
      </c>
      <c r="B60" s="348" t="s">
        <v>53</v>
      </c>
      <c r="C60" s="334">
        <v>13</v>
      </c>
      <c r="D60" s="334">
        <v>384671</v>
      </c>
      <c r="E60" s="334">
        <v>32</v>
      </c>
      <c r="F60" s="334">
        <v>597537</v>
      </c>
    </row>
    <row r="61" spans="1:6">
      <c r="A61" s="348" t="s">
        <v>49</v>
      </c>
      <c r="B61" s="348" t="s">
        <v>54</v>
      </c>
      <c r="C61" s="334">
        <v>52</v>
      </c>
      <c r="D61" s="334">
        <v>1945986</v>
      </c>
      <c r="E61" s="334">
        <v>168</v>
      </c>
      <c r="F61" s="334">
        <v>2346637</v>
      </c>
    </row>
    <row r="62" spans="1:6">
      <c r="A62" s="348" t="s">
        <v>49</v>
      </c>
      <c r="B62" s="348" t="s">
        <v>55</v>
      </c>
      <c r="C62" s="334">
        <v>3</v>
      </c>
      <c r="D62" s="334">
        <v>184208</v>
      </c>
      <c r="E62" s="334">
        <v>3</v>
      </c>
      <c r="F62" s="334">
        <v>32801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104867</v>
      </c>
      <c r="E65" s="334">
        <v>1</v>
      </c>
      <c r="F65" s="334">
        <v>3293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60967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18705105</v>
      </c>
      <c r="E73" s="476">
        <v>19393437.352813635</v>
      </c>
    </row>
    <row r="74" spans="1:6">
      <c r="A74" s="348" t="s">
        <v>64</v>
      </c>
      <c r="B74" s="348" t="s">
        <v>714</v>
      </c>
      <c r="C74" s="1311" t="s">
        <v>716</v>
      </c>
      <c r="D74" s="476">
        <v>1039476.9798033892</v>
      </c>
      <c r="E74" s="476">
        <v>1096849.9405340147</v>
      </c>
    </row>
    <row r="75" spans="1:6">
      <c r="A75" s="348" t="s">
        <v>65</v>
      </c>
      <c r="B75" s="348" t="s">
        <v>713</v>
      </c>
      <c r="C75" s="1311" t="s">
        <v>717</v>
      </c>
      <c r="D75" s="476">
        <v>29396144</v>
      </c>
      <c r="E75" s="476">
        <v>30477901.079919267</v>
      </c>
    </row>
    <row r="76" spans="1:6">
      <c r="A76" s="348" t="s">
        <v>65</v>
      </c>
      <c r="B76" s="348" t="s">
        <v>714</v>
      </c>
      <c r="C76" s="1311" t="s">
        <v>718</v>
      </c>
      <c r="D76" s="476">
        <v>1041383.9798033892</v>
      </c>
      <c r="E76" s="476">
        <v>1100281.7165207949</v>
      </c>
    </row>
    <row r="77" spans="1:6">
      <c r="A77" s="348" t="s">
        <v>66</v>
      </c>
      <c r="B77" s="348" t="s">
        <v>713</v>
      </c>
      <c r="C77" s="1311" t="s">
        <v>719</v>
      </c>
      <c r="D77" s="476">
        <v>84832996</v>
      </c>
      <c r="E77" s="476">
        <v>94562391.606479362</v>
      </c>
    </row>
    <row r="78" spans="1:6">
      <c r="A78" s="341" t="s">
        <v>66</v>
      </c>
      <c r="B78" s="341" t="s">
        <v>714</v>
      </c>
      <c r="C78" s="341" t="s">
        <v>720</v>
      </c>
      <c r="D78" s="1307">
        <v>9972756</v>
      </c>
      <c r="E78" s="1307">
        <v>11072137.168364426</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365984.0403932216</v>
      </c>
      <c r="C83" s="476">
        <v>359745.14998691191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16117.853777307973</v>
      </c>
    </row>
    <row r="91" spans="1:6">
      <c r="A91" s="348" t="s">
        <v>68</v>
      </c>
      <c r="B91" s="334">
        <v>2364.7660211929729</v>
      </c>
    </row>
    <row r="92" spans="1:6">
      <c r="A92" s="341" t="s">
        <v>69</v>
      </c>
      <c r="B92" s="342">
        <v>2139.1155595922223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46599.739127544388</v>
      </c>
      <c r="C3" s="43" t="s">
        <v>170</v>
      </c>
      <c r="D3" s="43"/>
      <c r="E3" s="154"/>
      <c r="F3" s="43"/>
      <c r="G3" s="43"/>
      <c r="H3" s="43"/>
      <c r="I3" s="43"/>
      <c r="J3" s="43"/>
      <c r="K3" s="96"/>
    </row>
    <row r="4" spans="1:11">
      <c r="A4" s="384" t="s">
        <v>171</v>
      </c>
      <c r="B4" s="49">
        <f>IF(ISERROR('SEAP template'!B78),0,'SEAP template'!B78)</f>
        <v>20621.735358093167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0.123201093837352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0.123201093837352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75.225232685054934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14919.795</v>
      </c>
      <c r="C5" s="17">
        <f>IF(ISERROR('Eigen informatie GS &amp; warmtenet'!B57),0,'Eigen informatie GS &amp; warmtenet'!B57)</f>
        <v>0</v>
      </c>
      <c r="D5" s="30">
        <f>(SUM(HH_hh_gas_kWh,HH_rest_gas_kWh)/1000)*0.902</f>
        <v>21331.738054000001</v>
      </c>
      <c r="E5" s="17">
        <f>B46*B57</f>
        <v>1662.1888024787465</v>
      </c>
      <c r="F5" s="17">
        <f>B51*B62</f>
        <v>34199.683930618383</v>
      </c>
      <c r="G5" s="18"/>
      <c r="H5" s="17"/>
      <c r="I5" s="17"/>
      <c r="J5" s="17">
        <f>B50*B61+C50*C61</f>
        <v>0</v>
      </c>
      <c r="K5" s="17"/>
      <c r="L5" s="17"/>
      <c r="M5" s="17"/>
      <c r="N5" s="17">
        <f>B48*B59+C48*C59</f>
        <v>8911.7787876685543</v>
      </c>
      <c r="O5" s="17">
        <f>B69*B70*B71</f>
        <v>118.81333333333333</v>
      </c>
      <c r="P5" s="17">
        <f>B77*B78*B79/1000-B77*B78*B79/1000/B80</f>
        <v>457.6</v>
      </c>
    </row>
    <row r="6" spans="1:16">
      <c r="A6" s="16" t="s">
        <v>631</v>
      </c>
      <c r="B6" s="789">
        <f>kWh_PV_kleiner_dan_10kW</f>
        <v>2364.7660211929729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17284.561021192974</v>
      </c>
      <c r="C8" s="21">
        <f>C5</f>
        <v>0</v>
      </c>
      <c r="D8" s="21">
        <f>D5</f>
        <v>21331.738054000001</v>
      </c>
      <c r="E8" s="21">
        <f>E5</f>
        <v>1662.1888024787465</v>
      </c>
      <c r="F8" s="21">
        <f>F5</f>
        <v>34199.683930618383</v>
      </c>
      <c r="G8" s="21"/>
      <c r="H8" s="21"/>
      <c r="I8" s="21"/>
      <c r="J8" s="21">
        <f>J5</f>
        <v>0</v>
      </c>
      <c r="K8" s="21"/>
      <c r="L8" s="21">
        <f>L5</f>
        <v>0</v>
      </c>
      <c r="M8" s="21">
        <f>M5</f>
        <v>0</v>
      </c>
      <c r="N8" s="21">
        <f>N5</f>
        <v>8911.7787876685543</v>
      </c>
      <c r="O8" s="21">
        <f>O5</f>
        <v>118.81333333333333</v>
      </c>
      <c r="P8" s="21">
        <f>P5</f>
        <v>457.6</v>
      </c>
    </row>
    <row r="9" spans="1:16">
      <c r="B9" s="19"/>
      <c r="C9" s="19"/>
      <c r="D9" s="258"/>
      <c r="E9" s="19"/>
      <c r="F9" s="19"/>
      <c r="G9" s="19"/>
      <c r="H9" s="19"/>
      <c r="I9" s="19"/>
      <c r="J9" s="19"/>
      <c r="K9" s="19"/>
      <c r="L9" s="19"/>
      <c r="M9" s="19"/>
      <c r="N9" s="19"/>
      <c r="O9" s="19"/>
      <c r="P9" s="19"/>
    </row>
    <row r="10" spans="1:16">
      <c r="A10" s="24" t="s">
        <v>214</v>
      </c>
      <c r="B10" s="25">
        <f ca="1">'EF ele_warmte'!B12</f>
        <v>0.123201093837352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2129.4768243094322</v>
      </c>
      <c r="C12" s="23">
        <f ca="1">C10*C8</f>
        <v>0</v>
      </c>
      <c r="D12" s="23">
        <f>D8*D10</f>
        <v>4309.0110869080008</v>
      </c>
      <c r="E12" s="23">
        <f>E10*E8</f>
        <v>377.31685816267549</v>
      </c>
      <c r="F12" s="23">
        <f>F10*F8</f>
        <v>9131.3156094751084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3886</v>
      </c>
      <c r="C28" s="36"/>
      <c r="D28" s="228"/>
    </row>
    <row r="29" spans="1:7" s="15" customFormat="1">
      <c r="A29" s="230" t="s">
        <v>741</v>
      </c>
      <c r="B29" s="37">
        <f>SUM(HH_hh_gas_aantal,HH_rest_gas_aantal)</f>
        <v>1593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1593</v>
      </c>
      <c r="C32" s="167">
        <f>IF(ISERROR(B32/SUM($B$32,$B$34,$B$35,$B$36,$B$38,$B$39)*100),0,B32/SUM($B$32,$B$34,$B$35,$B$36,$B$38,$B$39)*100)</f>
        <v>41.24805800103573</v>
      </c>
      <c r="D32" s="233"/>
      <c r="G32" s="15"/>
    </row>
    <row r="33" spans="1:7">
      <c r="A33" s="171" t="s">
        <v>72</v>
      </c>
      <c r="B33" s="34" t="s">
        <v>111</v>
      </c>
      <c r="C33" s="167"/>
      <c r="D33" s="233"/>
      <c r="G33" s="15"/>
    </row>
    <row r="34" spans="1:7">
      <c r="A34" s="171" t="s">
        <v>73</v>
      </c>
      <c r="B34" s="33">
        <f>IF((($B$28-$B$32-$B$39-$B$77-$B$38)*C20/100)&lt;0,0,($B$28-$B$32-$B$39-$B$77-$B$38)*C20/100)</f>
        <v>111.40305676855894</v>
      </c>
      <c r="C34" s="167">
        <f>IF(ISERROR(B34/SUM($B$32,$B$34,$B$35,$B$36,$B$38,$B$39)*100),0,B34/SUM($B$32,$B$34,$B$35,$B$36,$B$38,$B$39)*100)</f>
        <v>2.884594944809916</v>
      </c>
      <c r="D34" s="233"/>
      <c r="G34" s="15"/>
    </row>
    <row r="35" spans="1:7">
      <c r="A35" s="171" t="s">
        <v>74</v>
      </c>
      <c r="B35" s="33">
        <f>IF((($B$28-$B$32-$B$39-$B$77-$B$38)*C21/100)&lt;0,0,($B$28-$B$32-$B$39-$B$77-$B$38)*C21/100)</f>
        <v>610.79606986899557</v>
      </c>
      <c r="C35" s="167">
        <f>IF(ISERROR(B35/SUM($B$32,$B$34,$B$35,$B$36,$B$38,$B$39)*100),0,B35/SUM($B$32,$B$34,$B$35,$B$36,$B$38,$B$39)*100)</f>
        <v>15.815537800854365</v>
      </c>
      <c r="D35" s="233"/>
      <c r="G35" s="15"/>
    </row>
    <row r="36" spans="1:7">
      <c r="A36" s="171" t="s">
        <v>75</v>
      </c>
      <c r="B36" s="33">
        <f>IF((($B$28-$B$32-$B$39-$B$77-$B$38)*C22/100)&lt;0,0,($B$28-$B$32-$B$39-$B$77-$B$38)*C22/100)</f>
        <v>157.50087336244542</v>
      </c>
      <c r="C36" s="167">
        <f>IF(ISERROR(B36/SUM($B$32,$B$34,$B$35,$B$36,$B$38,$B$39)*100),0,B36/SUM($B$32,$B$34,$B$35,$B$36,$B$38,$B$39)*100)</f>
        <v>4.0782204392140189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1389.3</v>
      </c>
      <c r="C39" s="167">
        <f>IF(ISERROR(B39/SUM($B$32,$B$34,$B$35,$B$36,$B$38,$B$39)*100),0,B39/SUM($B$32,$B$34,$B$35,$B$36,$B$38,$B$39)*100)</f>
        <v>35.973588814085964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1593</v>
      </c>
      <c r="C44" s="34" t="s">
        <v>111</v>
      </c>
      <c r="D44" s="174"/>
    </row>
    <row r="45" spans="1:7">
      <c r="A45" s="171" t="s">
        <v>72</v>
      </c>
      <c r="B45" s="33" t="str">
        <f t="shared" si="0"/>
        <v>-</v>
      </c>
      <c r="C45" s="34" t="s">
        <v>111</v>
      </c>
      <c r="D45" s="174"/>
    </row>
    <row r="46" spans="1:7">
      <c r="A46" s="171" t="s">
        <v>73</v>
      </c>
      <c r="B46" s="33">
        <f t="shared" si="0"/>
        <v>111.40305676855894</v>
      </c>
      <c r="C46" s="34" t="s">
        <v>111</v>
      </c>
      <c r="D46" s="174"/>
    </row>
    <row r="47" spans="1:7">
      <c r="A47" s="171" t="s">
        <v>74</v>
      </c>
      <c r="B47" s="33">
        <f t="shared" si="0"/>
        <v>610.79606986899557</v>
      </c>
      <c r="C47" s="34" t="s">
        <v>111</v>
      </c>
      <c r="D47" s="174"/>
    </row>
    <row r="48" spans="1:7">
      <c r="A48" s="171" t="s">
        <v>75</v>
      </c>
      <c r="B48" s="33">
        <f t="shared" si="0"/>
        <v>157.50087336244542</v>
      </c>
      <c r="C48" s="33">
        <f>B48*10</f>
        <v>1575.0087336244542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12317.062000000002</v>
      </c>
      <c r="C5" s="17">
        <f>IF(ISERROR('Eigen informatie GS &amp; warmtenet'!B58),0,'Eigen informatie GS &amp; warmtenet'!B58)</f>
        <v>0</v>
      </c>
      <c r="D5" s="30">
        <f>SUM(D6:D12)</f>
        <v>5955.4793540000001</v>
      </c>
      <c r="E5" s="17">
        <f>SUM(E6:E12)</f>
        <v>110.65742757041103</v>
      </c>
      <c r="F5" s="17">
        <f>SUM(F6:F12)</f>
        <v>1797.6626801712202</v>
      </c>
      <c r="G5" s="18"/>
      <c r="H5" s="17"/>
      <c r="I5" s="17"/>
      <c r="J5" s="17">
        <f>SUM(J6:J12)</f>
        <v>0</v>
      </c>
      <c r="K5" s="17"/>
      <c r="L5" s="17"/>
      <c r="M5" s="17"/>
      <c r="N5" s="17">
        <f>SUM(N6:N12)</f>
        <v>1517.4978240525181</v>
      </c>
      <c r="O5" s="17">
        <f>B38*B39*B40</f>
        <v>1.5633333333333335</v>
      </c>
      <c r="P5" s="17">
        <f>B46*B47*B48/1000-B46*B47*B48/1000/B49</f>
        <v>0</v>
      </c>
      <c r="R5" s="32"/>
    </row>
    <row r="6" spans="1:18">
      <c r="A6" s="32" t="s">
        <v>54</v>
      </c>
      <c r="B6" s="37">
        <f>B26</f>
        <v>2346.6370000000002</v>
      </c>
      <c r="C6" s="33"/>
      <c r="D6" s="37">
        <f>IF(ISERROR(TER_kantoor_gas_kWh/1000),0,TER_kantoor_gas_kWh/1000)*0.902</f>
        <v>1755.2793720000002</v>
      </c>
      <c r="E6" s="33">
        <f>$C$26*'E Balans VL '!I12/100/3.6*1000000</f>
        <v>6.7985516894671569</v>
      </c>
      <c r="F6" s="33">
        <f>$C$26*('E Balans VL '!L12+'E Balans VL '!N12)/100/3.6*1000000</f>
        <v>265.58760797843507</v>
      </c>
      <c r="G6" s="34"/>
      <c r="H6" s="33"/>
      <c r="I6" s="33"/>
      <c r="J6" s="33">
        <f>$C$26*('E Balans VL '!D12+'E Balans VL '!E12)/100/3.6*1000000</f>
        <v>0</v>
      </c>
      <c r="K6" s="33"/>
      <c r="L6" s="33"/>
      <c r="M6" s="33"/>
      <c r="N6" s="33">
        <f>$C$26*'E Balans VL '!Y12/100/3.6*1000000</f>
        <v>23.48810729065714</v>
      </c>
      <c r="O6" s="33"/>
      <c r="P6" s="33"/>
      <c r="R6" s="32"/>
    </row>
    <row r="7" spans="1:18">
      <c r="A7" s="32" t="s">
        <v>53</v>
      </c>
      <c r="B7" s="37">
        <f t="shared" ref="B7:B12" si="0">B27</f>
        <v>597.53700000000003</v>
      </c>
      <c r="C7" s="33"/>
      <c r="D7" s="37">
        <f>IF(ISERROR(TER_horeca_gas_kWh/1000),0,TER_horeca_gas_kWh/1000)*0.902</f>
        <v>346.97324200000003</v>
      </c>
      <c r="E7" s="33">
        <f>$C$27*'E Balans VL '!I9/100/3.6*1000000</f>
        <v>25.08293377461743</v>
      </c>
      <c r="F7" s="33">
        <f>$C$27*('E Balans VL '!L9+'E Balans VL '!N9)/100/3.6*1000000</f>
        <v>128.39307810026992</v>
      </c>
      <c r="G7" s="34"/>
      <c r="H7" s="33"/>
      <c r="I7" s="33"/>
      <c r="J7" s="33">
        <f>$C$27*('E Balans VL '!D9+'E Balans VL '!E9)/100/3.6*1000000</f>
        <v>0</v>
      </c>
      <c r="K7" s="33"/>
      <c r="L7" s="33"/>
      <c r="M7" s="33"/>
      <c r="N7" s="33">
        <f>$C$27*'E Balans VL '!Y9/100/3.6*1000000</f>
        <v>0.15398005924936242</v>
      </c>
      <c r="O7" s="33"/>
      <c r="P7" s="33"/>
      <c r="R7" s="32"/>
    </row>
    <row r="8" spans="1:18">
      <c r="A8" s="6" t="s">
        <v>52</v>
      </c>
      <c r="B8" s="37">
        <f t="shared" si="0"/>
        <v>6632.5990000000002</v>
      </c>
      <c r="C8" s="33"/>
      <c r="D8" s="37">
        <f>IF(ISERROR(TER_handel_gas_kWh/1000),0,TER_handel_gas_kWh/1000)*0.902</f>
        <v>1612.7534499999999</v>
      </c>
      <c r="E8" s="33">
        <f>$C$28*'E Balans VL '!I13/100/3.6*1000000</f>
        <v>71.239633415228511</v>
      </c>
      <c r="F8" s="33">
        <f>$C$28*('E Balans VL '!L13+'E Balans VL '!N13)/100/3.6*1000000</f>
        <v>858.64471142345178</v>
      </c>
      <c r="G8" s="34"/>
      <c r="H8" s="33"/>
      <c r="I8" s="33"/>
      <c r="J8" s="33">
        <f>$C$28*('E Balans VL '!D13+'E Balans VL '!E13)/100/3.6*1000000</f>
        <v>0</v>
      </c>
      <c r="K8" s="33"/>
      <c r="L8" s="33"/>
      <c r="M8" s="33"/>
      <c r="N8" s="33">
        <f>$C$28*'E Balans VL '!Y13/100/3.6*1000000</f>
        <v>53.804005243651751</v>
      </c>
      <c r="O8" s="33"/>
      <c r="P8" s="33"/>
      <c r="R8" s="32"/>
    </row>
    <row r="9" spans="1:18">
      <c r="A9" s="32" t="s">
        <v>51</v>
      </c>
      <c r="B9" s="37">
        <f t="shared" si="0"/>
        <v>670.87699999999995</v>
      </c>
      <c r="C9" s="33"/>
      <c r="D9" s="37">
        <f>IF(ISERROR(TER_gezond_gas_kWh/1000),0,TER_gezond_gas_kWh/1000)*0.902</f>
        <v>982.93555800000001</v>
      </c>
      <c r="E9" s="33">
        <f>$C$29*'E Balans VL '!I10/100/3.6*1000000</f>
        <v>0.53406148316187652</v>
      </c>
      <c r="F9" s="33">
        <f>$C$29*('E Balans VL '!L10+'E Balans VL '!N10)/100/3.6*1000000</f>
        <v>81.554794395886731</v>
      </c>
      <c r="G9" s="34"/>
      <c r="H9" s="33"/>
      <c r="I9" s="33"/>
      <c r="J9" s="33">
        <f>$C$29*('E Balans VL '!D10+'E Balans VL '!E10)/100/3.6*1000000</f>
        <v>0</v>
      </c>
      <c r="K9" s="33"/>
      <c r="L9" s="33"/>
      <c r="M9" s="33"/>
      <c r="N9" s="33">
        <f>$C$29*'E Balans VL '!Y10/100/3.6*1000000</f>
        <v>5.4191666688168425</v>
      </c>
      <c r="O9" s="33"/>
      <c r="P9" s="33"/>
      <c r="R9" s="32"/>
    </row>
    <row r="10" spans="1:18">
      <c r="A10" s="32" t="s">
        <v>50</v>
      </c>
      <c r="B10" s="37">
        <f t="shared" si="0"/>
        <v>2036.6110000000001</v>
      </c>
      <c r="C10" s="33"/>
      <c r="D10" s="37">
        <f>IF(ISERROR(TER_ander_gas_kWh/1000),0,TER_ander_gas_kWh/1000)*0.902</f>
        <v>1091.382116</v>
      </c>
      <c r="E10" s="33">
        <f>$C$30*'E Balans VL '!I14/100/3.6*1000000</f>
        <v>6.9795728868273477</v>
      </c>
      <c r="F10" s="33">
        <f>$C$30*('E Balans VL '!L14+'E Balans VL '!N14)/100/3.6*1000000</f>
        <v>454.89613927757733</v>
      </c>
      <c r="G10" s="34"/>
      <c r="H10" s="33"/>
      <c r="I10" s="33"/>
      <c r="J10" s="33">
        <f>$C$30*('E Balans VL '!D14+'E Balans VL '!E14)/100/3.6*1000000</f>
        <v>0</v>
      </c>
      <c r="K10" s="33"/>
      <c r="L10" s="33"/>
      <c r="M10" s="33"/>
      <c r="N10" s="33">
        <f>$C$30*'E Balans VL '!Y14/100/3.6*1000000</f>
        <v>1434.5999141884142</v>
      </c>
      <c r="O10" s="33"/>
      <c r="P10" s="33"/>
      <c r="R10" s="32"/>
    </row>
    <row r="11" spans="1:18">
      <c r="A11" s="32" t="s">
        <v>55</v>
      </c>
      <c r="B11" s="37">
        <f t="shared" si="0"/>
        <v>32.801000000000002</v>
      </c>
      <c r="C11" s="33"/>
      <c r="D11" s="37">
        <f>IF(ISERROR(TER_onderwijs_gas_kWh/1000),0,TER_onderwijs_gas_kWh/1000)*0.902</f>
        <v>166.15561600000001</v>
      </c>
      <c r="E11" s="33">
        <f>$C$31*'E Balans VL '!I11/100/3.6*1000000</f>
        <v>2.2674321108703311E-2</v>
      </c>
      <c r="F11" s="33">
        <f>$C$31*('E Balans VL '!L11+'E Balans VL '!N11)/100/3.6*1000000</f>
        <v>8.5863489955993302</v>
      </c>
      <c r="G11" s="34"/>
      <c r="H11" s="33"/>
      <c r="I11" s="33"/>
      <c r="J11" s="33">
        <f>$C$31*('E Balans VL '!D11+'E Balans VL '!E11)/100/3.6*1000000</f>
        <v>0</v>
      </c>
      <c r="K11" s="33"/>
      <c r="L11" s="33"/>
      <c r="M11" s="33"/>
      <c r="N11" s="33">
        <f>$C$31*'E Balans VL '!Y11/100/3.6*1000000</f>
        <v>3.2650601728757236E-2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12317.062000000002</v>
      </c>
      <c r="C16" s="21">
        <f t="shared" ca="1" si="1"/>
        <v>0</v>
      </c>
      <c r="D16" s="21">
        <f t="shared" ca="1" si="1"/>
        <v>5955.4793540000001</v>
      </c>
      <c r="E16" s="21">
        <f t="shared" si="1"/>
        <v>110.65742757041103</v>
      </c>
      <c r="F16" s="21">
        <f t="shared" ca="1" si="1"/>
        <v>1797.6626801712202</v>
      </c>
      <c r="G16" s="21">
        <f t="shared" si="1"/>
        <v>0</v>
      </c>
      <c r="H16" s="21">
        <f t="shared" si="1"/>
        <v>0</v>
      </c>
      <c r="I16" s="21">
        <f t="shared" si="1"/>
        <v>0</v>
      </c>
      <c r="J16" s="21">
        <f t="shared" si="1"/>
        <v>0</v>
      </c>
      <c r="K16" s="21">
        <f t="shared" si="1"/>
        <v>0</v>
      </c>
      <c r="L16" s="21">
        <f t="shared" ca="1" si="1"/>
        <v>0</v>
      </c>
      <c r="M16" s="21">
        <f t="shared" si="1"/>
        <v>0</v>
      </c>
      <c r="N16" s="21">
        <f t="shared" ca="1" si="1"/>
        <v>1517.4978240525181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0.123201093837352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1517.4755112624828</v>
      </c>
      <c r="C20" s="23">
        <f t="shared" ref="C20:P20" ca="1" si="2">C16*C18</f>
        <v>0</v>
      </c>
      <c r="D20" s="23">
        <f t="shared" ca="1" si="2"/>
        <v>1203.006829508</v>
      </c>
      <c r="E20" s="23">
        <f t="shared" si="2"/>
        <v>25.119236058483306</v>
      </c>
      <c r="F20" s="23">
        <f t="shared" ca="1" si="2"/>
        <v>479.97593560571585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2346.6370000000002</v>
      </c>
      <c r="C26" s="39">
        <f>IF(ISERROR(B26*3.6/1000000/'E Balans VL '!Z12*100),0,B26*3.6/1000000/'E Balans VL '!Z12*100)</f>
        <v>5.1546594689042748E-2</v>
      </c>
      <c r="D26" s="237" t="s">
        <v>692</v>
      </c>
      <c r="F26" s="6"/>
    </row>
    <row r="27" spans="1:18">
      <c r="A27" s="231" t="s">
        <v>53</v>
      </c>
      <c r="B27" s="33">
        <f>IF(ISERROR(TER_horeca_ele_kWh/1000),0,TER_horeca_ele_kWh/1000)</f>
        <v>597.53700000000003</v>
      </c>
      <c r="C27" s="39">
        <f>IF(ISERROR(B27*3.6/1000000/'E Balans VL '!Z9*100),0,B27*3.6/1000000/'E Balans VL '!Z9*100)</f>
        <v>4.8018054269166562E-2</v>
      </c>
      <c r="D27" s="237" t="s">
        <v>692</v>
      </c>
      <c r="F27" s="6"/>
    </row>
    <row r="28" spans="1:18">
      <c r="A28" s="171" t="s">
        <v>52</v>
      </c>
      <c r="B28" s="33">
        <f>IF(ISERROR(TER_handel_ele_kWh/1000),0,TER_handel_ele_kWh/1000)</f>
        <v>6632.5990000000002</v>
      </c>
      <c r="C28" s="39">
        <f>IF(ISERROR(B28*3.6/1000000/'E Balans VL '!Z13*100),0,B28*3.6/1000000/'E Balans VL '!Z13*100)</f>
        <v>0.19612131879904823</v>
      </c>
      <c r="D28" s="237" t="s">
        <v>692</v>
      </c>
      <c r="F28" s="6"/>
    </row>
    <row r="29" spans="1:18">
      <c r="A29" s="231" t="s">
        <v>51</v>
      </c>
      <c r="B29" s="33">
        <f>IF(ISERROR(TER_gezond_ele_kWh/1000),0,TER_gezond_ele_kWh/1000)</f>
        <v>670.87699999999995</v>
      </c>
      <c r="C29" s="39">
        <f>IF(ISERROR(B29*3.6/1000000/'E Balans VL '!Z10*100),0,B29*3.6/1000000/'E Balans VL '!Z10*100)</f>
        <v>7.5590517382667477E-2</v>
      </c>
      <c r="D29" s="237" t="s">
        <v>692</v>
      </c>
      <c r="F29" s="6"/>
    </row>
    <row r="30" spans="1:18">
      <c r="A30" s="231" t="s">
        <v>50</v>
      </c>
      <c r="B30" s="33">
        <f>IF(ISERROR(TER_ander_ele_kWh/1000),0,TER_ander_ele_kWh/1000)</f>
        <v>2036.6110000000001</v>
      </c>
      <c r="C30" s="39">
        <f>IF(ISERROR(B30*3.6/1000000/'E Balans VL '!Z14*100),0,B30*3.6/1000000/'E Balans VL '!Z14*100)</f>
        <v>0.15402540850075189</v>
      </c>
      <c r="D30" s="237" t="s">
        <v>692</v>
      </c>
      <c r="F30" s="6"/>
    </row>
    <row r="31" spans="1:18">
      <c r="A31" s="231" t="s">
        <v>55</v>
      </c>
      <c r="B31" s="33">
        <f>IF(ISERROR(TER_onderwijs_ele_kWh/1000),0,TER_onderwijs_ele_kWh/1000)</f>
        <v>32.801000000000002</v>
      </c>
      <c r="C31" s="39">
        <f>IF(ISERROR(B31*3.6/1000000/'E Balans VL '!Z11*100),0,B31*3.6/1000000/'E Balans VL '!Z11*100)</f>
        <v>6.8087261574740505E-3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14540.81</v>
      </c>
      <c r="C5" s="17">
        <f>IF(ISERROR('Eigen informatie GS &amp; warmtenet'!B59),0,'Eigen informatie GS &amp; warmtenet'!B59)</f>
        <v>0</v>
      </c>
      <c r="D5" s="30">
        <f>SUM(D6:D15)</f>
        <v>18341.202153999999</v>
      </c>
      <c r="E5" s="17">
        <f>SUM(E6:E15)</f>
        <v>3310.3666548603646</v>
      </c>
      <c r="F5" s="17">
        <f>SUM(F6:F15)</f>
        <v>10669.132636657634</v>
      </c>
      <c r="G5" s="18"/>
      <c r="H5" s="17"/>
      <c r="I5" s="17"/>
      <c r="J5" s="17">
        <f>SUM(J6:J15)</f>
        <v>14.276031396458304</v>
      </c>
      <c r="K5" s="17"/>
      <c r="L5" s="17"/>
      <c r="M5" s="17"/>
      <c r="N5" s="17">
        <f>SUM(N6:N15)</f>
        <v>4251.0979414318535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385.13499999999999</v>
      </c>
      <c r="C8" s="33"/>
      <c r="D8" s="37">
        <f>IF( ISERROR(IND_metaal_Gas_kWH/1000),0,IND_metaal_Gas_kWH/1000)*0.902</f>
        <v>153.711624</v>
      </c>
      <c r="E8" s="33">
        <f>C30*'E Balans VL '!I18/100/3.6*1000000</f>
        <v>9.63858110637781</v>
      </c>
      <c r="F8" s="33">
        <f>C30*'E Balans VL '!L18/100/3.6*1000000+C30*'E Balans VL '!N18/100/3.6*1000000</f>
        <v>120.70322476001363</v>
      </c>
      <c r="G8" s="34"/>
      <c r="H8" s="33"/>
      <c r="I8" s="33"/>
      <c r="J8" s="40">
        <f>C30*'E Balans VL '!D18/100/3.6*1000000+C30*'E Balans VL '!E18/100/3.6*1000000</f>
        <v>0</v>
      </c>
      <c r="K8" s="33"/>
      <c r="L8" s="33"/>
      <c r="M8" s="33"/>
      <c r="N8" s="33">
        <f>C30*'E Balans VL '!Y18/100/3.6*1000000</f>
        <v>9.6755907124831602</v>
      </c>
      <c r="O8" s="33"/>
      <c r="P8" s="33"/>
      <c r="R8" s="32"/>
    </row>
    <row r="9" spans="1:18">
      <c r="A9" s="6" t="s">
        <v>33</v>
      </c>
      <c r="B9" s="37">
        <f t="shared" si="0"/>
        <v>11943.762000000001</v>
      </c>
      <c r="C9" s="33"/>
      <c r="D9" s="37">
        <f>IF( ISERROR(IND_andere_gas_kWh/1000),0,IND_andere_gas_kWh/1000)*0.902</f>
        <v>11848.620585999999</v>
      </c>
      <c r="E9" s="33">
        <f>C31*'E Balans VL '!I19/100/3.6*1000000</f>
        <v>3284.0446759375664</v>
      </c>
      <c r="F9" s="33">
        <f>C31*'E Balans VL '!L19/100/3.6*1000000+C31*'E Balans VL '!N19/100/3.6*1000000</f>
        <v>9413.7628198102811</v>
      </c>
      <c r="G9" s="34"/>
      <c r="H9" s="33"/>
      <c r="I9" s="33"/>
      <c r="J9" s="40">
        <f>C31*'E Balans VL '!D19/100/3.6*1000000+C31*'E Balans VL '!E19/100/3.6*1000000</f>
        <v>0</v>
      </c>
      <c r="K9" s="33"/>
      <c r="L9" s="33"/>
      <c r="M9" s="33"/>
      <c r="N9" s="33">
        <f>C31*'E Balans VL '!Y19/100/3.6*1000000</f>
        <v>3866.5110219610319</v>
      </c>
      <c r="O9" s="33"/>
      <c r="P9" s="33"/>
      <c r="R9" s="32"/>
    </row>
    <row r="10" spans="1:18">
      <c r="A10" s="6" t="s">
        <v>41</v>
      </c>
      <c r="B10" s="37">
        <f t="shared" si="0"/>
        <v>578.77800000000002</v>
      </c>
      <c r="C10" s="33"/>
      <c r="D10" s="37">
        <f>IF( ISERROR(IND_voed_gas_kWh/1000),0,IND_voed_gas_kWh/1000)*0.902</f>
        <v>4497.2339940000002</v>
      </c>
      <c r="E10" s="33">
        <f>C32*'E Balans VL '!I20/100/3.6*1000000</f>
        <v>5.9003228593804309</v>
      </c>
      <c r="F10" s="33">
        <f>C32*'E Balans VL '!L20/100/3.6*1000000+C32*'E Balans VL '!N20/100/3.6*1000000</f>
        <v>1093.3080220930431</v>
      </c>
      <c r="G10" s="34"/>
      <c r="H10" s="33"/>
      <c r="I10" s="33"/>
      <c r="J10" s="40">
        <f>C32*'E Balans VL '!D20/100/3.6*1000000+C32*'E Balans VL '!E20/100/3.6*1000000</f>
        <v>13.85205131018985</v>
      </c>
      <c r="K10" s="33"/>
      <c r="L10" s="33"/>
      <c r="M10" s="33"/>
      <c r="N10" s="33">
        <f>C32*'E Balans VL '!Y20/100/3.6*1000000</f>
        <v>305.08267305064851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60.88</v>
      </c>
      <c r="C13" s="33"/>
      <c r="D13" s="37">
        <f>IF( ISERROR(IND_papier_gas_kWh/1000),0,IND_papier_gas_kWh/1000)*0.902</f>
        <v>0</v>
      </c>
      <c r="E13" s="33">
        <f>C35*'E Balans VL '!I23/100/3.6*1000000</f>
        <v>0.12608658930104977</v>
      </c>
      <c r="F13" s="33">
        <f>C35*'E Balans VL '!L23/100/3.6*1000000+C35*'E Balans VL '!N23/100/3.6*1000000</f>
        <v>1.2073809163464586</v>
      </c>
      <c r="G13" s="34"/>
      <c r="H13" s="33"/>
      <c r="I13" s="33"/>
      <c r="J13" s="40">
        <f>C35*'E Balans VL '!D23/100/3.6*1000000+C35*'E Balans VL '!E23/100/3.6*1000000</f>
        <v>0</v>
      </c>
      <c r="K13" s="33"/>
      <c r="L13" s="33"/>
      <c r="M13" s="33"/>
      <c r="N13" s="33">
        <f>C35*'E Balans VL '!Y23/100/3.6*1000000</f>
        <v>25.706450251341888</v>
      </c>
      <c r="O13" s="33"/>
      <c r="P13" s="33"/>
      <c r="R13" s="32"/>
    </row>
    <row r="14" spans="1:18">
      <c r="A14" s="6" t="s">
        <v>34</v>
      </c>
      <c r="B14" s="37">
        <f t="shared" si="0"/>
        <v>1471.1949999999999</v>
      </c>
      <c r="C14" s="33"/>
      <c r="D14" s="37">
        <f>IF( ISERROR(IND_chemie_gas_kWh/1000),0,IND_chemie_gas_kWh/1000)*0.902</f>
        <v>1737.5776220000002</v>
      </c>
      <c r="E14" s="33">
        <f>C36*'E Balans VL '!I24/100/3.6*1000000</f>
        <v>5.5157518359119129</v>
      </c>
      <c r="F14" s="33">
        <f>C36*'E Balans VL '!L24/100/3.6*1000000+C36*'E Balans VL '!N24/100/3.6*1000000</f>
        <v>17.115812774774085</v>
      </c>
      <c r="G14" s="34"/>
      <c r="H14" s="33"/>
      <c r="I14" s="33"/>
      <c r="J14" s="40">
        <f>C36*'E Balans VL '!D24/100/3.6*1000000+C36*'E Balans VL '!E24/100/3.6*1000000</f>
        <v>0</v>
      </c>
      <c r="K14" s="33"/>
      <c r="L14" s="33"/>
      <c r="M14" s="33"/>
      <c r="N14" s="33">
        <f>C36*'E Balans VL '!Y24/100/3.6*1000000</f>
        <v>25.134660519821502</v>
      </c>
      <c r="O14" s="33"/>
      <c r="P14" s="33"/>
      <c r="R14" s="32"/>
    </row>
    <row r="15" spans="1:18">
      <c r="A15" s="6" t="s">
        <v>270</v>
      </c>
      <c r="B15" s="37">
        <f t="shared" si="0"/>
        <v>101.06</v>
      </c>
      <c r="C15" s="33"/>
      <c r="D15" s="37">
        <f>IF( ISERROR(IND_rest_gas_kWh/1000),0,IND_rest_gas_kWh/1000)*0.902</f>
        <v>104.058328</v>
      </c>
      <c r="E15" s="33">
        <f>C37*'E Balans VL '!I15/100/3.6*1000000</f>
        <v>5.1412365318269391</v>
      </c>
      <c r="F15" s="33">
        <f>C37*'E Balans VL '!L15/100/3.6*1000000+C37*'E Balans VL '!N15/100/3.6*1000000</f>
        <v>23.035376303176335</v>
      </c>
      <c r="G15" s="34"/>
      <c r="H15" s="33"/>
      <c r="I15" s="33"/>
      <c r="J15" s="40">
        <f>C37*'E Balans VL '!D15/100/3.6*1000000+C37*'E Balans VL '!E15/100/3.6*1000000</f>
        <v>0.42398008626845418</v>
      </c>
      <c r="K15" s="33"/>
      <c r="L15" s="33"/>
      <c r="M15" s="33"/>
      <c r="N15" s="33">
        <f>C37*'E Balans VL '!Y15/100/3.6*1000000</f>
        <v>18.987544936526653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14540.81</v>
      </c>
      <c r="C18" s="21">
        <f>C5+C16</f>
        <v>0</v>
      </c>
      <c r="D18" s="21">
        <f>MAX((D5+D16),0)</f>
        <v>18341.202153999999</v>
      </c>
      <c r="E18" s="21">
        <f>MAX((E5+E16),0)</f>
        <v>3310.3666548603646</v>
      </c>
      <c r="F18" s="21">
        <f>MAX((F5+F16),0)</f>
        <v>10669.132636657634</v>
      </c>
      <c r="G18" s="21"/>
      <c r="H18" s="21"/>
      <c r="I18" s="21"/>
      <c r="J18" s="21">
        <f>MAX((J5+J16),0)</f>
        <v>14.276031396458304</v>
      </c>
      <c r="K18" s="21"/>
      <c r="L18" s="21">
        <f>MAX((L5+L16),0)</f>
        <v>0</v>
      </c>
      <c r="M18" s="21"/>
      <c r="N18" s="21">
        <f>MAX((N5+N16),0)</f>
        <v>4251.0979414318535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0.123201093837352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1791.4436972811063</v>
      </c>
      <c r="C22" s="23">
        <f ca="1">C18*C20</f>
        <v>0</v>
      </c>
      <c r="D22" s="23">
        <f>D18*D20</f>
        <v>3704.9228351080001</v>
      </c>
      <c r="E22" s="23">
        <f>E18*E20</f>
        <v>751.45323065330274</v>
      </c>
      <c r="F22" s="23">
        <f>F18*F20</f>
        <v>2848.6584139875886</v>
      </c>
      <c r="G22" s="23"/>
      <c r="H22" s="23"/>
      <c r="I22" s="23"/>
      <c r="J22" s="23">
        <f>J18*J20</f>
        <v>5.0537151143462395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385.13499999999999</v>
      </c>
      <c r="C30" s="39">
        <f>IF(ISERROR(B30*3.6/1000000/'E Balans VL '!Z18*100),0,B30*3.6/1000000/'E Balans VL '!Z18*100)</f>
        <v>5.3906065234335429E-2</v>
      </c>
      <c r="D30" s="237" t="s">
        <v>692</v>
      </c>
    </row>
    <row r="31" spans="1:18">
      <c r="A31" s="6" t="s">
        <v>33</v>
      </c>
      <c r="B31" s="37">
        <f>IF( ISERROR(IND_ander_ele_kWh/1000),0,IND_ander_ele_kWh/1000)</f>
        <v>11943.762000000001</v>
      </c>
      <c r="C31" s="39">
        <f>IF(ISERROR(B31*3.6/1000000/'E Balans VL '!Z19*100),0,B31*3.6/1000000/'E Balans VL '!Z19*100)</f>
        <v>0.52277652518652695</v>
      </c>
      <c r="D31" s="237" t="s">
        <v>692</v>
      </c>
    </row>
    <row r="32" spans="1:18">
      <c r="A32" s="171" t="s">
        <v>41</v>
      </c>
      <c r="B32" s="37">
        <f>IF( ISERROR(IND_voed_ele_kWh/1000),0,IND_voed_ele_kWh/1000)</f>
        <v>578.77800000000002</v>
      </c>
      <c r="C32" s="39">
        <f>IF(ISERROR(B32*3.6/1000000/'E Balans VL '!Z20*100),0,B32*3.6/1000000/'E Balans VL '!Z20*100)</f>
        <v>0.143286212530669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60.88</v>
      </c>
      <c r="C35" s="39">
        <f>IF(ISERROR(B35*3.6/1000000/'E Balans VL '!Z22*100),0,B35*3.6/1000000/'E Balans VL '!Z22*100)</f>
        <v>1.7275260229488894E-3</v>
      </c>
      <c r="D35" s="237" t="s">
        <v>692</v>
      </c>
    </row>
    <row r="36" spans="1:5">
      <c r="A36" s="171" t="s">
        <v>34</v>
      </c>
      <c r="B36" s="37">
        <f>IF( ISERROR(IND_chemie_ele_kWh/1000),0,IND_chemie_ele_kWh/1000)</f>
        <v>1471.1949999999999</v>
      </c>
      <c r="C36" s="39">
        <f>IF(ISERROR(B36*3.6/1000000/'E Balans VL '!Z24*100),0,B36*3.6/1000000/'E Balans VL '!Z24*100)</f>
        <v>3.7513226960756513E-2</v>
      </c>
      <c r="D36" s="237" t="s">
        <v>692</v>
      </c>
    </row>
    <row r="37" spans="1:5">
      <c r="A37" s="171" t="s">
        <v>270</v>
      </c>
      <c r="B37" s="37">
        <f>IF( ISERROR(IND_rest_ele_kWh/1000),0,IND_rest_ele_kWh/1000)</f>
        <v>101.06</v>
      </c>
      <c r="C37" s="39">
        <f>IF(ISERROR(B37*3.6/1000000/'E Balans VL '!Z15*100),0,B37*3.6/1000000/'E Balans VL '!Z15*100)</f>
        <v>7.4934259779583232E-4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1363.15</v>
      </c>
      <c r="C5" s="17">
        <f>'Eigen informatie GS &amp; warmtenet'!B60</f>
        <v>0</v>
      </c>
      <c r="D5" s="30">
        <f>IF(ISERROR(SUM(LB_lb_gas_kWh,LB_rest_gas_kWh)/1000),0,SUM(LB_lb_gas_kWh,LB_rest_gas_kWh)/1000)*0.902</f>
        <v>183.35134399999998</v>
      </c>
      <c r="E5" s="17">
        <f>B17*'E Balans VL '!I25/3.6*1000000/100</f>
        <v>12.626066239701874</v>
      </c>
      <c r="F5" s="17">
        <f>B17*('E Balans VL '!L25/3.6*1000000+'E Balans VL '!N25/3.6*1000000)/100</f>
        <v>3458.5712298085114</v>
      </c>
      <c r="G5" s="18"/>
      <c r="H5" s="17"/>
      <c r="I5" s="17"/>
      <c r="J5" s="17">
        <f>('E Balans VL '!D25+'E Balans VL '!E25)/3.6*1000000*landbouw!B17/100</f>
        <v>208.98610779840001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1363.15</v>
      </c>
      <c r="C8" s="21">
        <f>C5+C6</f>
        <v>0</v>
      </c>
      <c r="D8" s="21">
        <f>MAX((D5+D6),0)</f>
        <v>183.35134399999998</v>
      </c>
      <c r="E8" s="21">
        <f>MAX((E5+E6),0)</f>
        <v>12.626066239701874</v>
      </c>
      <c r="F8" s="21">
        <f>MAX((F5+F6),0)</f>
        <v>3458.5712298085114</v>
      </c>
      <c r="G8" s="21"/>
      <c r="H8" s="21"/>
      <c r="I8" s="21"/>
      <c r="J8" s="21">
        <f>MAX((J5+J6),0)</f>
        <v>208.98610779840001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0.123201093837352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167.94157106438641</v>
      </c>
      <c r="C12" s="23">
        <f ca="1">C8*C10</f>
        <v>0</v>
      </c>
      <c r="D12" s="23">
        <f>D8*D10</f>
        <v>37.036971487999999</v>
      </c>
      <c r="E12" s="23">
        <f>E8*E10</f>
        <v>2.8661170364123256</v>
      </c>
      <c r="F12" s="23">
        <f>F8*F10</f>
        <v>923.43851835887256</v>
      </c>
      <c r="G12" s="23"/>
      <c r="H12" s="23"/>
      <c r="I12" s="23"/>
      <c r="J12" s="23">
        <f>J8*J10</f>
        <v>73.981082160633605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0.1938110262240092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138.01724662217089</v>
      </c>
      <c r="C26" s="247">
        <f>B26*'GWP N2O_CH4'!B5</f>
        <v>2898.3621790655889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50.134128355111706</v>
      </c>
      <c r="C27" s="247">
        <f>B27*'GWP N2O_CH4'!B5</f>
        <v>1052.8166954573458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2.8006755526853913</v>
      </c>
      <c r="C28" s="247">
        <f>B28*'GWP N2O_CH4'!B4</f>
        <v>868.20942133247127</v>
      </c>
      <c r="D28" s="50"/>
    </row>
    <row r="29" spans="1:4">
      <c r="A29" s="41" t="s">
        <v>277</v>
      </c>
      <c r="B29" s="247">
        <f>B34*'ha_N2O bodem landbouw'!B4</f>
        <v>12.862246427766161</v>
      </c>
      <c r="C29" s="247">
        <f>B29*'GWP N2O_CH4'!B4</f>
        <v>3987.2963926075099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2.8847752755606234E-3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6.5588782865069791E-5</v>
      </c>
      <c r="C5" s="464" t="s">
        <v>211</v>
      </c>
      <c r="D5" s="449">
        <f>SUM(D6:D11)</f>
        <v>1.8219942261538219E-4</v>
      </c>
      <c r="E5" s="449">
        <f>SUM(E6:E11)</f>
        <v>1.3196783571276412E-3</v>
      </c>
      <c r="F5" s="462" t="s">
        <v>211</v>
      </c>
      <c r="G5" s="449">
        <f>SUM(G6:G11)</f>
        <v>0.36318830028183813</v>
      </c>
      <c r="H5" s="449">
        <f>SUM(H6:H11)</f>
        <v>7.0384943644952264E-2</v>
      </c>
      <c r="I5" s="464" t="s">
        <v>211</v>
      </c>
      <c r="J5" s="464" t="s">
        <v>211</v>
      </c>
      <c r="K5" s="464" t="s">
        <v>211</v>
      </c>
      <c r="L5" s="464" t="s">
        <v>211</v>
      </c>
      <c r="M5" s="449">
        <f>SUM(M6:M11)</f>
        <v>2.3175502805664022E-2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9.2289618097528699E-6</v>
      </c>
      <c r="C6" s="450"/>
      <c r="D6" s="893">
        <f>vkm_2011_GW_PW*SUMIFS(TableVerdeelsleutelVkm[CNG],TableVerdeelsleutelVkm[Voertuigtype],"Lichte voertuigen")*SUMIFS(TableECFTransport[EnergieConsumptieFactor (PJ per km)],TableECFTransport[Index],CONCATENATE($A6,"_CNG_CNG"))</f>
        <v>2.1347604732563397E-5</v>
      </c>
      <c r="E6" s="893">
        <f>vkm_2011_GW_PW*SUMIFS(TableVerdeelsleutelVkm[LPG],TableVerdeelsleutelVkm[Voertuigtype],"Lichte voertuigen")*SUMIFS(TableECFTransport[EnergieConsumptieFactor (PJ per km)],TableECFTransport[Index],CONCATENATE($A6,"_LPG_LPG"))</f>
        <v>1.3900271056105346E-4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2.8876784739487665E-2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8.1397688614754504E-3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1.9209672406005221E-3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9.697119074502835E-3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3.3162386155940688E-6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5.6103330422532338E-4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1.4503842150578461E-5</v>
      </c>
      <c r="C8" s="450"/>
      <c r="D8" s="452">
        <f>vkm_2011_NGW_PW*SUMIFS(TableVerdeelsleutelVkm[CNG],TableVerdeelsleutelVkm[Voertuigtype],"Lichte voertuigen")*SUMIFS(TableECFTransport[EnergieConsumptieFactor (PJ per km)],TableECFTransport[Index],CONCATENATE($A8,"_CNG_CNG"))</f>
        <v>5.9338347679994122E-5</v>
      </c>
      <c r="E8" s="452">
        <f>vkm_2011_NGW_PW*SUMIFS(TableVerdeelsleutelVkm[LPG],TableVerdeelsleutelVkm[Voertuigtype],"Lichte voertuigen")*SUMIFS(TableECFTransport[EnergieConsumptieFactor (PJ per km)],TableECFTransport[Index],CONCATENATE($A8,"_LPG_LPG"))</f>
        <v>3.5658437648549877E-4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6.9248162068026545E-2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2.1877270954167798E-2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4.6791689400643962E-3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1.2393670181745585E-2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4.0104473008563433E-6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7.1703705261092908E-4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4.1855978904738463E-5</v>
      </c>
      <c r="C10" s="450"/>
      <c r="D10" s="452">
        <f>vkm_2011_SW_PW*SUMIFS(TableVerdeelsleutelVkm[CNG],TableVerdeelsleutelVkm[Voertuigtype],"Lichte voertuigen")*SUMIFS(TableECFTransport[EnergieConsumptieFactor (PJ per km)],TableECFTransport[Index],CONCATENATE($A10,"_CNG_CNG"))</f>
        <v>1.0151347020282468E-4</v>
      </c>
      <c r="E10" s="452">
        <f>vkm_2011_SW_PW*SUMIFS(TableVerdeelsleutelVkm[LPG],TableVerdeelsleutelVkm[Voertuigtype],"Lichte voertuigen")*SUMIFS(TableECFTransport[EnergieConsumptieFactor (PJ per km)],TableECFTransport[Index],CONCATENATE($A10,"_LPG_LPG"))</f>
        <v>8.24091270081089E-4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0.15412872921331888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4.0327832658538808E-2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1.0157104123631175E-2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8.8843835004756649E-2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3.2744484853753463E-5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5.1401921445316748E-3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18.219106351408275</v>
      </c>
      <c r="C14" s="21"/>
      <c r="D14" s="21">
        <f t="shared" ref="D14:M14" si="0">((D5)*10^9/3600)+D12</f>
        <v>50.610950726495048</v>
      </c>
      <c r="E14" s="21">
        <f t="shared" si="0"/>
        <v>366.57732142434475</v>
      </c>
      <c r="F14" s="21"/>
      <c r="G14" s="21">
        <f t="shared" si="0"/>
        <v>100885.63896717725</v>
      </c>
      <c r="H14" s="21">
        <f t="shared" si="0"/>
        <v>19551.373234708964</v>
      </c>
      <c r="I14" s="21"/>
      <c r="J14" s="21"/>
      <c r="K14" s="21"/>
      <c r="L14" s="21"/>
      <c r="M14" s="21">
        <f t="shared" si="0"/>
        <v>6437.6396682400064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0.123201093837352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2.244613831232547</v>
      </c>
      <c r="C18" s="23"/>
      <c r="D18" s="23">
        <f t="shared" ref="D18:M18" si="1">D14*D16</f>
        <v>10.223412046752001</v>
      </c>
      <c r="E18" s="23">
        <f t="shared" si="1"/>
        <v>83.213051963326265</v>
      </c>
      <c r="F18" s="23"/>
      <c r="G18" s="23">
        <f t="shared" si="1"/>
        <v>26936.465604236328</v>
      </c>
      <c r="H18" s="23">
        <f t="shared" si="1"/>
        <v>4868.2919354425321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4.6644804355832365E-3</v>
      </c>
      <c r="H50" s="321">
        <f t="shared" si="2"/>
        <v>0</v>
      </c>
      <c r="I50" s="321">
        <f t="shared" si="2"/>
        <v>0</v>
      </c>
      <c r="J50" s="321">
        <f t="shared" si="2"/>
        <v>0</v>
      </c>
      <c r="K50" s="321">
        <f t="shared" si="2"/>
        <v>0</v>
      </c>
      <c r="L50" s="321">
        <f t="shared" si="2"/>
        <v>0</v>
      </c>
      <c r="M50" s="321">
        <f t="shared" si="2"/>
        <v>2.6600172154629822E-4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4.6644804355832365E-3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2.6600172154629822E-4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1295.6890098842323</v>
      </c>
      <c r="H54" s="21">
        <f t="shared" si="3"/>
        <v>0</v>
      </c>
      <c r="I54" s="21">
        <f t="shared" si="3"/>
        <v>0</v>
      </c>
      <c r="J54" s="21">
        <f t="shared" si="3"/>
        <v>0</v>
      </c>
      <c r="K54" s="21">
        <f t="shared" si="3"/>
        <v>0</v>
      </c>
      <c r="L54" s="21">
        <f t="shared" si="3"/>
        <v>0</v>
      </c>
      <c r="M54" s="21">
        <f t="shared" si="3"/>
        <v>73.889367096193951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0.123201093837352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345.94896563909003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12927.651000000002</v>
      </c>
      <c r="D10" s="1025">
        <f ca="1">tertiair!C16</f>
        <v>0</v>
      </c>
      <c r="E10" s="1025">
        <f ca="1">tertiair!D16</f>
        <v>5955.4793540000001</v>
      </c>
      <c r="F10" s="1025">
        <f>tertiair!E16</f>
        <v>110.65742757041103</v>
      </c>
      <c r="G10" s="1025">
        <f ca="1">tertiair!F16</f>
        <v>1797.6626801712202</v>
      </c>
      <c r="H10" s="1025">
        <f>tertiair!G16</f>
        <v>0</v>
      </c>
      <c r="I10" s="1025">
        <f>tertiair!H16</f>
        <v>0</v>
      </c>
      <c r="J10" s="1025">
        <f>tertiair!I16</f>
        <v>0</v>
      </c>
      <c r="K10" s="1025">
        <f>tertiair!J16</f>
        <v>0</v>
      </c>
      <c r="L10" s="1025">
        <f>tertiair!K16</f>
        <v>0</v>
      </c>
      <c r="M10" s="1025">
        <f ca="1">tertiair!L16</f>
        <v>0</v>
      </c>
      <c r="N10" s="1025">
        <f>tertiair!M16</f>
        <v>0</v>
      </c>
      <c r="O10" s="1025">
        <f ca="1">tertiair!N16</f>
        <v>1517.4978240525181</v>
      </c>
      <c r="P10" s="1025">
        <f>tertiair!O16</f>
        <v>1.5633333333333335</v>
      </c>
      <c r="Q10" s="1026">
        <f>tertiair!P16</f>
        <v>0</v>
      </c>
      <c r="R10" s="701">
        <f ca="1">SUM(C10:Q10)</f>
        <v>22310.511619127483</v>
      </c>
      <c r="S10" s="67"/>
    </row>
    <row r="11" spans="1:19" s="474" customFormat="1">
      <c r="A11" s="810" t="s">
        <v>225</v>
      </c>
      <c r="B11" s="815"/>
      <c r="C11" s="1025">
        <f>huishoudens!B8</f>
        <v>17284.561021192974</v>
      </c>
      <c r="D11" s="1025">
        <f>huishoudens!C8</f>
        <v>0</v>
      </c>
      <c r="E11" s="1025">
        <f>huishoudens!D8</f>
        <v>21331.738054000001</v>
      </c>
      <c r="F11" s="1025">
        <f>huishoudens!E8</f>
        <v>1662.1888024787465</v>
      </c>
      <c r="G11" s="1025">
        <f>huishoudens!F8</f>
        <v>34199.683930618383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8911.7787876685543</v>
      </c>
      <c r="P11" s="1025">
        <f>huishoudens!O8</f>
        <v>118.81333333333333</v>
      </c>
      <c r="Q11" s="1026">
        <f>huishoudens!P8</f>
        <v>457.6</v>
      </c>
      <c r="R11" s="701">
        <f>SUM(C11:Q11)</f>
        <v>83966.363929291998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14540.81</v>
      </c>
      <c r="D13" s="1025">
        <f>industrie!C18</f>
        <v>0</v>
      </c>
      <c r="E13" s="1025">
        <f>industrie!D18</f>
        <v>18341.202153999999</v>
      </c>
      <c r="F13" s="1025">
        <f>industrie!E18</f>
        <v>3310.3666548603646</v>
      </c>
      <c r="G13" s="1025">
        <f>industrie!F18</f>
        <v>10669.132636657634</v>
      </c>
      <c r="H13" s="1025">
        <f>industrie!G18</f>
        <v>0</v>
      </c>
      <c r="I13" s="1025">
        <f>industrie!H18</f>
        <v>0</v>
      </c>
      <c r="J13" s="1025">
        <f>industrie!I18</f>
        <v>0</v>
      </c>
      <c r="K13" s="1025">
        <f>industrie!J18</f>
        <v>14.276031396458304</v>
      </c>
      <c r="L13" s="1025">
        <f>industrie!K18</f>
        <v>0</v>
      </c>
      <c r="M13" s="1025">
        <f>industrie!L18</f>
        <v>0</v>
      </c>
      <c r="N13" s="1025">
        <f>industrie!M18</f>
        <v>0</v>
      </c>
      <c r="O13" s="1025">
        <f>industrie!N18</f>
        <v>4251.0979414318535</v>
      </c>
      <c r="P13" s="1025">
        <f>industrie!O18</f>
        <v>0</v>
      </c>
      <c r="Q13" s="1026">
        <f>industrie!P18</f>
        <v>0</v>
      </c>
      <c r="R13" s="701">
        <f>SUM(C13:Q13)</f>
        <v>51126.885418346312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44753.022021192977</v>
      </c>
      <c r="D16" s="733">
        <f t="shared" ref="D16:R16" ca="1" si="0">SUM(D9:D15)</f>
        <v>0</v>
      </c>
      <c r="E16" s="733">
        <f t="shared" ca="1" si="0"/>
        <v>45628.419561999995</v>
      </c>
      <c r="F16" s="733">
        <f t="shared" si="0"/>
        <v>5083.2128849095225</v>
      </c>
      <c r="G16" s="733">
        <f t="shared" ca="1" si="0"/>
        <v>46666.479247447234</v>
      </c>
      <c r="H16" s="733">
        <f t="shared" si="0"/>
        <v>0</v>
      </c>
      <c r="I16" s="733">
        <f t="shared" si="0"/>
        <v>0</v>
      </c>
      <c r="J16" s="733">
        <f t="shared" si="0"/>
        <v>0</v>
      </c>
      <c r="K16" s="733">
        <f t="shared" si="0"/>
        <v>14.276031396458304</v>
      </c>
      <c r="L16" s="733">
        <f t="shared" si="0"/>
        <v>0</v>
      </c>
      <c r="M16" s="733">
        <f t="shared" ca="1" si="0"/>
        <v>0</v>
      </c>
      <c r="N16" s="733">
        <f t="shared" si="0"/>
        <v>0</v>
      </c>
      <c r="O16" s="733">
        <f t="shared" ca="1" si="0"/>
        <v>14680.374553152926</v>
      </c>
      <c r="P16" s="733">
        <f t="shared" si="0"/>
        <v>120.37666666666667</v>
      </c>
      <c r="Q16" s="733">
        <f t="shared" si="0"/>
        <v>457.6</v>
      </c>
      <c r="R16" s="733">
        <f t="shared" ca="1" si="0"/>
        <v>157403.76096676581</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1295.6890098842323</v>
      </c>
      <c r="I19" s="1025">
        <f>transport!H54</f>
        <v>0</v>
      </c>
      <c r="J19" s="1025">
        <f>transport!I54</f>
        <v>0</v>
      </c>
      <c r="K19" s="1025">
        <f>transport!J54</f>
        <v>0</v>
      </c>
      <c r="L19" s="1025">
        <f>transport!K54</f>
        <v>0</v>
      </c>
      <c r="M19" s="1025">
        <f>transport!L54</f>
        <v>0</v>
      </c>
      <c r="N19" s="1025">
        <f>transport!M54</f>
        <v>73.889367096193951</v>
      </c>
      <c r="O19" s="1025">
        <f>transport!N54</f>
        <v>0</v>
      </c>
      <c r="P19" s="1025">
        <f>transport!O54</f>
        <v>0</v>
      </c>
      <c r="Q19" s="1026">
        <f>transport!P54</f>
        <v>0</v>
      </c>
      <c r="R19" s="701">
        <f>SUM(C19:Q19)</f>
        <v>1369.5783769804261</v>
      </c>
      <c r="S19" s="67"/>
    </row>
    <row r="20" spans="1:19" s="474" customFormat="1">
      <c r="A20" s="810" t="s">
        <v>307</v>
      </c>
      <c r="B20" s="815"/>
      <c r="C20" s="1025">
        <f>transport!B14</f>
        <v>18.219106351408275</v>
      </c>
      <c r="D20" s="1025">
        <f>transport!C14</f>
        <v>0</v>
      </c>
      <c r="E20" s="1025">
        <f>transport!D14</f>
        <v>50.610950726495048</v>
      </c>
      <c r="F20" s="1025">
        <f>transport!E14</f>
        <v>366.57732142434475</v>
      </c>
      <c r="G20" s="1025">
        <f>transport!F14</f>
        <v>0</v>
      </c>
      <c r="H20" s="1025">
        <f>transport!G14</f>
        <v>100885.63896717725</v>
      </c>
      <c r="I20" s="1025">
        <f>transport!H14</f>
        <v>19551.373234708964</v>
      </c>
      <c r="J20" s="1025">
        <f>transport!I14</f>
        <v>0</v>
      </c>
      <c r="K20" s="1025">
        <f>transport!J14</f>
        <v>0</v>
      </c>
      <c r="L20" s="1025">
        <f>transport!K14</f>
        <v>0</v>
      </c>
      <c r="M20" s="1025">
        <f>transport!L14</f>
        <v>0</v>
      </c>
      <c r="N20" s="1025">
        <f>transport!M14</f>
        <v>6437.6396682400064</v>
      </c>
      <c r="O20" s="1025">
        <f>transport!N14</f>
        <v>0</v>
      </c>
      <c r="P20" s="1025">
        <f>transport!O14</f>
        <v>0</v>
      </c>
      <c r="Q20" s="1026">
        <f>transport!P14</f>
        <v>0</v>
      </c>
      <c r="R20" s="701">
        <f>SUM(C20:Q20)</f>
        <v>127310.05924862847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18.219106351408275</v>
      </c>
      <c r="D22" s="813">
        <f t="shared" ref="D22:R22" si="1">SUM(D18:D21)</f>
        <v>0</v>
      </c>
      <c r="E22" s="813">
        <f t="shared" si="1"/>
        <v>50.610950726495048</v>
      </c>
      <c r="F22" s="813">
        <f t="shared" si="1"/>
        <v>366.57732142434475</v>
      </c>
      <c r="G22" s="813">
        <f t="shared" si="1"/>
        <v>0</v>
      </c>
      <c r="H22" s="813">
        <f t="shared" si="1"/>
        <v>102181.32797706148</v>
      </c>
      <c r="I22" s="813">
        <f t="shared" si="1"/>
        <v>19551.373234708964</v>
      </c>
      <c r="J22" s="813">
        <f t="shared" si="1"/>
        <v>0</v>
      </c>
      <c r="K22" s="813">
        <f t="shared" si="1"/>
        <v>0</v>
      </c>
      <c r="L22" s="813">
        <f t="shared" si="1"/>
        <v>0</v>
      </c>
      <c r="M22" s="813">
        <f t="shared" si="1"/>
        <v>0</v>
      </c>
      <c r="N22" s="813">
        <f t="shared" si="1"/>
        <v>6511.5290353362006</v>
      </c>
      <c r="O22" s="813">
        <f t="shared" si="1"/>
        <v>0</v>
      </c>
      <c r="P22" s="813">
        <f t="shared" si="1"/>
        <v>0</v>
      </c>
      <c r="Q22" s="813">
        <f t="shared" si="1"/>
        <v>0</v>
      </c>
      <c r="R22" s="813">
        <f t="shared" si="1"/>
        <v>128679.6376256089</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1363.15</v>
      </c>
      <c r="D24" s="1025">
        <f>+landbouw!C8</f>
        <v>0</v>
      </c>
      <c r="E24" s="1025">
        <f>+landbouw!D8</f>
        <v>183.35134399999998</v>
      </c>
      <c r="F24" s="1025">
        <f>+landbouw!E8</f>
        <v>12.626066239701874</v>
      </c>
      <c r="G24" s="1025">
        <f>+landbouw!F8</f>
        <v>3458.5712298085114</v>
      </c>
      <c r="H24" s="1025">
        <f>+landbouw!G8</f>
        <v>0</v>
      </c>
      <c r="I24" s="1025">
        <f>+landbouw!H8</f>
        <v>0</v>
      </c>
      <c r="J24" s="1025">
        <f>+landbouw!I8</f>
        <v>0</v>
      </c>
      <c r="K24" s="1025">
        <f>+landbouw!J8</f>
        <v>208.98610779840001</v>
      </c>
      <c r="L24" s="1025">
        <f>+landbouw!K8</f>
        <v>0</v>
      </c>
      <c r="M24" s="1025">
        <f>+landbouw!L8</f>
        <v>0</v>
      </c>
      <c r="N24" s="1025">
        <f>+landbouw!M8</f>
        <v>0</v>
      </c>
      <c r="O24" s="1025">
        <f>+landbouw!N8</f>
        <v>0</v>
      </c>
      <c r="P24" s="1025">
        <f>+landbouw!O8</f>
        <v>0</v>
      </c>
      <c r="Q24" s="1026">
        <f>+landbouw!P8</f>
        <v>0</v>
      </c>
      <c r="R24" s="701">
        <f>SUM(C24:Q24)</f>
        <v>5226.6847478466125</v>
      </c>
      <c r="S24" s="67"/>
    </row>
    <row r="25" spans="1:19" s="474" customFormat="1" ht="15" thickBot="1">
      <c r="A25" s="832" t="s">
        <v>864</v>
      </c>
      <c r="B25" s="1028"/>
      <c r="C25" s="1029">
        <f>IF(Onbekend_ele_kWh="---",0,Onbekend_ele_kWh)/1000+IF(REST_rest_ele_kWh="---",0,REST_rest_ele_kWh)/1000</f>
        <v>465.34800000000001</v>
      </c>
      <c r="D25" s="1029"/>
      <c r="E25" s="1029">
        <f>IF(onbekend_gas_kWh="---",0,onbekend_gas_kWh)/1000+IF(REST_rest_gas_kWh="---",0,REST_rest_gas_kWh)/1000</f>
        <v>586.30700000000002</v>
      </c>
      <c r="F25" s="1029"/>
      <c r="G25" s="1029"/>
      <c r="H25" s="1029"/>
      <c r="I25" s="1029"/>
      <c r="J25" s="1029"/>
      <c r="K25" s="1029"/>
      <c r="L25" s="1029"/>
      <c r="M25" s="1029"/>
      <c r="N25" s="1029"/>
      <c r="O25" s="1029"/>
      <c r="P25" s="1029"/>
      <c r="Q25" s="1030"/>
      <c r="R25" s="701">
        <f>SUM(C25:Q25)</f>
        <v>1051.655</v>
      </c>
      <c r="S25" s="67"/>
    </row>
    <row r="26" spans="1:19" s="474" customFormat="1" ht="15.75" thickBot="1">
      <c r="A26" s="706" t="s">
        <v>865</v>
      </c>
      <c r="B26" s="818"/>
      <c r="C26" s="813">
        <f>SUM(C24:C25)</f>
        <v>1828.498</v>
      </c>
      <c r="D26" s="813">
        <f t="shared" ref="D26:R26" si="2">SUM(D24:D25)</f>
        <v>0</v>
      </c>
      <c r="E26" s="813">
        <f t="shared" si="2"/>
        <v>769.65834399999994</v>
      </c>
      <c r="F26" s="813">
        <f t="shared" si="2"/>
        <v>12.626066239701874</v>
      </c>
      <c r="G26" s="813">
        <f t="shared" si="2"/>
        <v>3458.5712298085114</v>
      </c>
      <c r="H26" s="813">
        <f t="shared" si="2"/>
        <v>0</v>
      </c>
      <c r="I26" s="813">
        <f t="shared" si="2"/>
        <v>0</v>
      </c>
      <c r="J26" s="813">
        <f t="shared" si="2"/>
        <v>0</v>
      </c>
      <c r="K26" s="813">
        <f t="shared" si="2"/>
        <v>208.98610779840001</v>
      </c>
      <c r="L26" s="813">
        <f t="shared" si="2"/>
        <v>0</v>
      </c>
      <c r="M26" s="813">
        <f t="shared" si="2"/>
        <v>0</v>
      </c>
      <c r="N26" s="813">
        <f t="shared" si="2"/>
        <v>0</v>
      </c>
      <c r="O26" s="813">
        <f t="shared" si="2"/>
        <v>0</v>
      </c>
      <c r="P26" s="813">
        <f t="shared" si="2"/>
        <v>0</v>
      </c>
      <c r="Q26" s="813">
        <f t="shared" si="2"/>
        <v>0</v>
      </c>
      <c r="R26" s="813">
        <f t="shared" si="2"/>
        <v>6278.3397478466122</v>
      </c>
      <c r="S26" s="67"/>
    </row>
    <row r="27" spans="1:19" s="474" customFormat="1" ht="17.25" thickTop="1" thickBot="1">
      <c r="A27" s="707" t="s">
        <v>116</v>
      </c>
      <c r="B27" s="806"/>
      <c r="C27" s="708">
        <f ca="1">C22+C16+C26</f>
        <v>46599.739127544388</v>
      </c>
      <c r="D27" s="708">
        <f t="shared" ref="D27:R27" ca="1" si="3">D22+D16+D26</f>
        <v>0</v>
      </c>
      <c r="E27" s="708">
        <f t="shared" ca="1" si="3"/>
        <v>46448.68885672649</v>
      </c>
      <c r="F27" s="708">
        <f t="shared" si="3"/>
        <v>5462.4162725735687</v>
      </c>
      <c r="G27" s="708">
        <f t="shared" ca="1" si="3"/>
        <v>50125.050477255747</v>
      </c>
      <c r="H27" s="708">
        <f t="shared" si="3"/>
        <v>102181.32797706148</v>
      </c>
      <c r="I27" s="708">
        <f t="shared" si="3"/>
        <v>19551.373234708964</v>
      </c>
      <c r="J27" s="708">
        <f t="shared" si="3"/>
        <v>0</v>
      </c>
      <c r="K27" s="708">
        <f t="shared" si="3"/>
        <v>223.26213919485832</v>
      </c>
      <c r="L27" s="708">
        <f t="shared" si="3"/>
        <v>0</v>
      </c>
      <c r="M27" s="708">
        <f t="shared" ca="1" si="3"/>
        <v>0</v>
      </c>
      <c r="N27" s="708">
        <f t="shared" si="3"/>
        <v>6511.5290353362006</v>
      </c>
      <c r="O27" s="708">
        <f t="shared" ca="1" si="3"/>
        <v>14680.374553152926</v>
      </c>
      <c r="P27" s="708">
        <f t="shared" si="3"/>
        <v>120.37666666666667</v>
      </c>
      <c r="Q27" s="708">
        <f t="shared" si="3"/>
        <v>457.6</v>
      </c>
      <c r="R27" s="708">
        <f t="shared" ca="1" si="3"/>
        <v>292361.73834022129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1592.7007439475376</v>
      </c>
      <c r="D40" s="1025">
        <f ca="1">tertiair!C20</f>
        <v>0</v>
      </c>
      <c r="E40" s="1025">
        <f ca="1">tertiair!D20</f>
        <v>1203.006829508</v>
      </c>
      <c r="F40" s="1025">
        <f>tertiair!E20</f>
        <v>25.119236058483306</v>
      </c>
      <c r="G40" s="1025">
        <f ca="1">tertiair!F20</f>
        <v>479.97593560571585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3300.8027451197363</v>
      </c>
    </row>
    <row r="41" spans="1:18">
      <c r="A41" s="823" t="s">
        <v>225</v>
      </c>
      <c r="B41" s="830"/>
      <c r="C41" s="1025">
        <f ca="1">huishoudens!B12</f>
        <v>2129.4768243094322</v>
      </c>
      <c r="D41" s="1025">
        <f ca="1">huishoudens!C12</f>
        <v>0</v>
      </c>
      <c r="E41" s="1025">
        <f>huishoudens!D12</f>
        <v>4309.0110869080008</v>
      </c>
      <c r="F41" s="1025">
        <f>huishoudens!E12</f>
        <v>377.31685816267549</v>
      </c>
      <c r="G41" s="1025">
        <f>huishoudens!F12</f>
        <v>9131.3156094751084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15947.120378855216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1791.4436972811063</v>
      </c>
      <c r="D43" s="1025">
        <f ca="1">industrie!C22</f>
        <v>0</v>
      </c>
      <c r="E43" s="1025">
        <f>industrie!D22</f>
        <v>3704.9228351080001</v>
      </c>
      <c r="F43" s="1025">
        <f>industrie!E22</f>
        <v>751.45323065330274</v>
      </c>
      <c r="G43" s="1025">
        <f>industrie!F22</f>
        <v>2848.6584139875886</v>
      </c>
      <c r="H43" s="1025">
        <f>industrie!G22</f>
        <v>0</v>
      </c>
      <c r="I43" s="1025">
        <f>industrie!H22</f>
        <v>0</v>
      </c>
      <c r="J43" s="1025">
        <f>industrie!I22</f>
        <v>0</v>
      </c>
      <c r="K43" s="1025">
        <f>industrie!J22</f>
        <v>5.0537151143462395</v>
      </c>
      <c r="L43" s="1025">
        <f>industrie!K22</f>
        <v>0</v>
      </c>
      <c r="M43" s="1025">
        <f>industrie!L22</f>
        <v>0</v>
      </c>
      <c r="N43" s="1025">
        <f>industrie!M22</f>
        <v>0</v>
      </c>
      <c r="O43" s="1025">
        <f>industrie!N22</f>
        <v>0</v>
      </c>
      <c r="P43" s="1025">
        <f>industrie!O22</f>
        <v>0</v>
      </c>
      <c r="Q43" s="775">
        <f>industrie!P22</f>
        <v>0</v>
      </c>
      <c r="R43" s="850">
        <f t="shared" ca="1" si="4"/>
        <v>9101.531892144345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5513.6212655380759</v>
      </c>
      <c r="D46" s="733">
        <f t="shared" ref="D46:Q46" ca="1" si="5">SUM(D39:D45)</f>
        <v>0</v>
      </c>
      <c r="E46" s="733">
        <f t="shared" ca="1" si="5"/>
        <v>9216.9407515240018</v>
      </c>
      <c r="F46" s="733">
        <f t="shared" si="5"/>
        <v>1153.8893248744616</v>
      </c>
      <c r="G46" s="733">
        <f t="shared" ca="1" si="5"/>
        <v>12459.949959068414</v>
      </c>
      <c r="H46" s="733">
        <f t="shared" si="5"/>
        <v>0</v>
      </c>
      <c r="I46" s="733">
        <f t="shared" si="5"/>
        <v>0</v>
      </c>
      <c r="J46" s="733">
        <f t="shared" si="5"/>
        <v>0</v>
      </c>
      <c r="K46" s="733">
        <f t="shared" si="5"/>
        <v>5.0537151143462395</v>
      </c>
      <c r="L46" s="733">
        <f t="shared" si="5"/>
        <v>0</v>
      </c>
      <c r="M46" s="733">
        <f t="shared" ca="1" si="5"/>
        <v>0</v>
      </c>
      <c r="N46" s="733">
        <f t="shared" si="5"/>
        <v>0</v>
      </c>
      <c r="O46" s="733">
        <f t="shared" ca="1" si="5"/>
        <v>0</v>
      </c>
      <c r="P46" s="733">
        <f t="shared" si="5"/>
        <v>0</v>
      </c>
      <c r="Q46" s="733">
        <f t="shared" si="5"/>
        <v>0</v>
      </c>
      <c r="R46" s="733">
        <f ca="1">SUM(R39:R45)</f>
        <v>28349.455016119296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345.94896563909003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345.94896563909003</v>
      </c>
    </row>
    <row r="50" spans="1:18">
      <c r="A50" s="826" t="s">
        <v>307</v>
      </c>
      <c r="B50" s="836"/>
      <c r="C50" s="704">
        <f ca="1">transport!B18</f>
        <v>2.244613831232547</v>
      </c>
      <c r="D50" s="704">
        <f>transport!C18</f>
        <v>0</v>
      </c>
      <c r="E50" s="704">
        <f>transport!D18</f>
        <v>10.223412046752001</v>
      </c>
      <c r="F50" s="704">
        <f>transport!E18</f>
        <v>83.213051963326265</v>
      </c>
      <c r="G50" s="704">
        <f>transport!F18</f>
        <v>0</v>
      </c>
      <c r="H50" s="704">
        <f>transport!G18</f>
        <v>26936.465604236328</v>
      </c>
      <c r="I50" s="704">
        <f>transport!H18</f>
        <v>4868.2919354425321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31900.438617520169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2.244613831232547</v>
      </c>
      <c r="D52" s="733">
        <f t="shared" ref="D52:Q52" ca="1" si="6">SUM(D48:D51)</f>
        <v>0</v>
      </c>
      <c r="E52" s="733">
        <f t="shared" si="6"/>
        <v>10.223412046752001</v>
      </c>
      <c r="F52" s="733">
        <f t="shared" si="6"/>
        <v>83.213051963326265</v>
      </c>
      <c r="G52" s="733">
        <f t="shared" si="6"/>
        <v>0</v>
      </c>
      <c r="H52" s="733">
        <f t="shared" si="6"/>
        <v>27282.414569875418</v>
      </c>
      <c r="I52" s="733">
        <f t="shared" si="6"/>
        <v>4868.2919354425321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32246.38758315926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167.94157106438641</v>
      </c>
      <c r="D54" s="704">
        <f ca="1">+landbouw!C12</f>
        <v>0</v>
      </c>
      <c r="E54" s="704">
        <f>+landbouw!D12</f>
        <v>37.036971487999999</v>
      </c>
      <c r="F54" s="704">
        <f>+landbouw!E12</f>
        <v>2.8661170364123256</v>
      </c>
      <c r="G54" s="704">
        <f>+landbouw!F12</f>
        <v>923.43851835887256</v>
      </c>
      <c r="H54" s="704">
        <f>+landbouw!G12</f>
        <v>0</v>
      </c>
      <c r="I54" s="704">
        <f>+landbouw!H12</f>
        <v>0</v>
      </c>
      <c r="J54" s="704">
        <f>+landbouw!I12</f>
        <v>0</v>
      </c>
      <c r="K54" s="704">
        <f>+landbouw!J12</f>
        <v>73.981082160633605</v>
      </c>
      <c r="L54" s="704">
        <f>+landbouw!K12</f>
        <v>0</v>
      </c>
      <c r="M54" s="704">
        <f>+landbouw!L12</f>
        <v>0</v>
      </c>
      <c r="N54" s="704">
        <f>+landbouw!M12</f>
        <v>0</v>
      </c>
      <c r="O54" s="704">
        <f>+landbouw!N12</f>
        <v>0</v>
      </c>
      <c r="P54" s="704">
        <f>+landbouw!O12</f>
        <v>0</v>
      </c>
      <c r="Q54" s="705">
        <f>+landbouw!P12</f>
        <v>0</v>
      </c>
      <c r="R54" s="732">
        <f ca="1">SUM(C54:Q54)</f>
        <v>1205.2642601083048</v>
      </c>
    </row>
    <row r="55" spans="1:18" ht="15" thickBot="1">
      <c r="A55" s="826" t="s">
        <v>864</v>
      </c>
      <c r="B55" s="836"/>
      <c r="C55" s="704">
        <f ca="1">C25*'EF ele_warmte'!B12</f>
        <v>57.331382615024083</v>
      </c>
      <c r="D55" s="704"/>
      <c r="E55" s="704">
        <f>E25*EF_CO2_aardgas</f>
        <v>118.434014</v>
      </c>
      <c r="F55" s="704"/>
      <c r="G55" s="704"/>
      <c r="H55" s="704"/>
      <c r="I55" s="704"/>
      <c r="J55" s="704"/>
      <c r="K55" s="704"/>
      <c r="L55" s="704"/>
      <c r="M55" s="704"/>
      <c r="N55" s="704"/>
      <c r="O55" s="704"/>
      <c r="P55" s="704"/>
      <c r="Q55" s="705"/>
      <c r="R55" s="732">
        <f ca="1">SUM(C55:Q55)</f>
        <v>175.76539661502409</v>
      </c>
    </row>
    <row r="56" spans="1:18" ht="15.75" thickBot="1">
      <c r="A56" s="824" t="s">
        <v>865</v>
      </c>
      <c r="B56" s="837"/>
      <c r="C56" s="733">
        <f ca="1">SUM(C54:C55)</f>
        <v>225.27295367941048</v>
      </c>
      <c r="D56" s="733">
        <f t="shared" ref="D56:Q56" ca="1" si="7">SUM(D54:D55)</f>
        <v>0</v>
      </c>
      <c r="E56" s="733">
        <f t="shared" si="7"/>
        <v>155.470985488</v>
      </c>
      <c r="F56" s="733">
        <f t="shared" si="7"/>
        <v>2.8661170364123256</v>
      </c>
      <c r="G56" s="733">
        <f t="shared" si="7"/>
        <v>923.43851835887256</v>
      </c>
      <c r="H56" s="733">
        <f t="shared" si="7"/>
        <v>0</v>
      </c>
      <c r="I56" s="733">
        <f t="shared" si="7"/>
        <v>0</v>
      </c>
      <c r="J56" s="733">
        <f t="shared" si="7"/>
        <v>0</v>
      </c>
      <c r="K56" s="733">
        <f t="shared" si="7"/>
        <v>73.981082160633605</v>
      </c>
      <c r="L56" s="733">
        <f t="shared" si="7"/>
        <v>0</v>
      </c>
      <c r="M56" s="733">
        <f t="shared" si="7"/>
        <v>0</v>
      </c>
      <c r="N56" s="733">
        <f t="shared" si="7"/>
        <v>0</v>
      </c>
      <c r="O56" s="733">
        <f t="shared" si="7"/>
        <v>0</v>
      </c>
      <c r="P56" s="733">
        <f t="shared" si="7"/>
        <v>0</v>
      </c>
      <c r="Q56" s="734">
        <f t="shared" si="7"/>
        <v>0</v>
      </c>
      <c r="R56" s="735">
        <f ca="1">SUM(R54:R55)</f>
        <v>1381.029656723329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5741.1388330487189</v>
      </c>
      <c r="D61" s="741">
        <f t="shared" ref="D61:Q61" ca="1" si="8">D46+D52+D56</f>
        <v>0</v>
      </c>
      <c r="E61" s="741">
        <f t="shared" ca="1" si="8"/>
        <v>9382.6351490587549</v>
      </c>
      <c r="F61" s="741">
        <f t="shared" si="8"/>
        <v>1239.9684938742002</v>
      </c>
      <c r="G61" s="741">
        <f t="shared" ca="1" si="8"/>
        <v>13383.388477427286</v>
      </c>
      <c r="H61" s="741">
        <f t="shared" si="8"/>
        <v>27282.414569875418</v>
      </c>
      <c r="I61" s="741">
        <f t="shared" si="8"/>
        <v>4868.2919354425321</v>
      </c>
      <c r="J61" s="741">
        <f t="shared" si="8"/>
        <v>0</v>
      </c>
      <c r="K61" s="741">
        <f t="shared" si="8"/>
        <v>79.034797274979837</v>
      </c>
      <c r="L61" s="741">
        <f t="shared" si="8"/>
        <v>0</v>
      </c>
      <c r="M61" s="741">
        <f t="shared" ca="1" si="8"/>
        <v>0</v>
      </c>
      <c r="N61" s="741">
        <f t="shared" si="8"/>
        <v>0</v>
      </c>
      <c r="O61" s="741">
        <f t="shared" ca="1" si="8"/>
        <v>0</v>
      </c>
      <c r="P61" s="741">
        <f t="shared" si="8"/>
        <v>0</v>
      </c>
      <c r="Q61" s="741">
        <f t="shared" si="8"/>
        <v>0</v>
      </c>
      <c r="R61" s="741">
        <f ca="1">R46+R52+R56</f>
        <v>61976.872256001887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0.12320109383735198</v>
      </c>
      <c r="D63" s="782">
        <f t="shared" ca="1" si="9"/>
        <v>0</v>
      </c>
      <c r="E63" s="1036">
        <f t="shared" ca="1" si="9"/>
        <v>0.2020000000000001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16117.853777307973</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4503.8815807851952</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20621.735358093167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16117.853777307973</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4503.8815807851952</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20621.735358093167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17284.561021192974</v>
      </c>
      <c r="C4" s="478">
        <f>huishoudens!C8</f>
        <v>0</v>
      </c>
      <c r="D4" s="478">
        <f>huishoudens!D8</f>
        <v>21331.738054000001</v>
      </c>
      <c r="E4" s="478">
        <f>huishoudens!E8</f>
        <v>1662.1888024787465</v>
      </c>
      <c r="F4" s="478">
        <f>huishoudens!F8</f>
        <v>34199.683930618383</v>
      </c>
      <c r="G4" s="478">
        <f>huishoudens!G8</f>
        <v>0</v>
      </c>
      <c r="H4" s="478">
        <f>huishoudens!H8</f>
        <v>0</v>
      </c>
      <c r="I4" s="478">
        <f>huishoudens!I8</f>
        <v>0</v>
      </c>
      <c r="J4" s="478">
        <f>huishoudens!J8</f>
        <v>0</v>
      </c>
      <c r="K4" s="478">
        <f>huishoudens!K8</f>
        <v>0</v>
      </c>
      <c r="L4" s="478">
        <f>huishoudens!L8</f>
        <v>0</v>
      </c>
      <c r="M4" s="478">
        <f>huishoudens!M8</f>
        <v>0</v>
      </c>
      <c r="N4" s="478">
        <f>huishoudens!N8</f>
        <v>8911.7787876685543</v>
      </c>
      <c r="O4" s="478">
        <f>huishoudens!O8</f>
        <v>118.81333333333333</v>
      </c>
      <c r="P4" s="479">
        <f>huishoudens!P8</f>
        <v>457.6</v>
      </c>
      <c r="Q4" s="480">
        <f>SUM(B4:P4)</f>
        <v>83966.363929291998</v>
      </c>
    </row>
    <row r="5" spans="1:17">
      <c r="A5" s="477" t="s">
        <v>156</v>
      </c>
      <c r="B5" s="478">
        <f ca="1">tertiair!B16</f>
        <v>12317.062000000002</v>
      </c>
      <c r="C5" s="478">
        <f ca="1">tertiair!C16</f>
        <v>0</v>
      </c>
      <c r="D5" s="478">
        <f ca="1">tertiair!D16</f>
        <v>5955.4793540000001</v>
      </c>
      <c r="E5" s="478">
        <f>tertiair!E16</f>
        <v>110.65742757041103</v>
      </c>
      <c r="F5" s="478">
        <f ca="1">tertiair!F16</f>
        <v>1797.6626801712202</v>
      </c>
      <c r="G5" s="478">
        <f>tertiair!G16</f>
        <v>0</v>
      </c>
      <c r="H5" s="478">
        <f>tertiair!H16</f>
        <v>0</v>
      </c>
      <c r="I5" s="478">
        <f>tertiair!I16</f>
        <v>0</v>
      </c>
      <c r="J5" s="478">
        <f>tertiair!J16</f>
        <v>0</v>
      </c>
      <c r="K5" s="478">
        <f>tertiair!K16</f>
        <v>0</v>
      </c>
      <c r="L5" s="478">
        <f ca="1">tertiair!L16</f>
        <v>0</v>
      </c>
      <c r="M5" s="478">
        <f>tertiair!M16</f>
        <v>0</v>
      </c>
      <c r="N5" s="478">
        <f ca="1">tertiair!N16</f>
        <v>1517.4978240525181</v>
      </c>
      <c r="O5" s="478">
        <f>tertiair!O16</f>
        <v>1.5633333333333335</v>
      </c>
      <c r="P5" s="479">
        <f>tertiair!P16</f>
        <v>0</v>
      </c>
      <c r="Q5" s="477">
        <f t="shared" ref="Q5:Q14" ca="1" si="0">SUM(B5:P5)</f>
        <v>21699.922619127483</v>
      </c>
    </row>
    <row r="6" spans="1:17">
      <c r="A6" s="477" t="s">
        <v>194</v>
      </c>
      <c r="B6" s="478">
        <f>'openbare verlichting'!B8</f>
        <v>610.58900000000006</v>
      </c>
      <c r="C6" s="478"/>
      <c r="D6" s="478"/>
      <c r="E6" s="478"/>
      <c r="F6" s="478"/>
      <c r="G6" s="478"/>
      <c r="H6" s="478"/>
      <c r="I6" s="478"/>
      <c r="J6" s="478"/>
      <c r="K6" s="478"/>
      <c r="L6" s="478"/>
      <c r="M6" s="478"/>
      <c r="N6" s="478"/>
      <c r="O6" s="478"/>
      <c r="P6" s="479"/>
      <c r="Q6" s="477">
        <f t="shared" si="0"/>
        <v>610.58900000000006</v>
      </c>
    </row>
    <row r="7" spans="1:17">
      <c r="A7" s="477" t="s">
        <v>112</v>
      </c>
      <c r="B7" s="478">
        <f>landbouw!B8</f>
        <v>1363.15</v>
      </c>
      <c r="C7" s="478">
        <f>landbouw!C8</f>
        <v>0</v>
      </c>
      <c r="D7" s="478">
        <f>landbouw!D8</f>
        <v>183.35134399999998</v>
      </c>
      <c r="E7" s="478">
        <f>landbouw!E8</f>
        <v>12.626066239701874</v>
      </c>
      <c r="F7" s="478">
        <f>landbouw!F8</f>
        <v>3458.5712298085114</v>
      </c>
      <c r="G7" s="478">
        <f>landbouw!G8</f>
        <v>0</v>
      </c>
      <c r="H7" s="478">
        <f>landbouw!H8</f>
        <v>0</v>
      </c>
      <c r="I7" s="478">
        <f>landbouw!I8</f>
        <v>0</v>
      </c>
      <c r="J7" s="478">
        <f>landbouw!J8</f>
        <v>208.98610779840001</v>
      </c>
      <c r="K7" s="478">
        <f>landbouw!K8</f>
        <v>0</v>
      </c>
      <c r="L7" s="478">
        <f>landbouw!L8</f>
        <v>0</v>
      </c>
      <c r="M7" s="478">
        <f>landbouw!M8</f>
        <v>0</v>
      </c>
      <c r="N7" s="478">
        <f>landbouw!N8</f>
        <v>0</v>
      </c>
      <c r="O7" s="478">
        <f>landbouw!O8</f>
        <v>0</v>
      </c>
      <c r="P7" s="479">
        <f>landbouw!P8</f>
        <v>0</v>
      </c>
      <c r="Q7" s="477">
        <f t="shared" si="0"/>
        <v>5226.6847478466125</v>
      </c>
    </row>
    <row r="8" spans="1:17">
      <c r="A8" s="477" t="s">
        <v>650</v>
      </c>
      <c r="B8" s="478">
        <f>industrie!B18</f>
        <v>14540.81</v>
      </c>
      <c r="C8" s="478">
        <f>industrie!C18</f>
        <v>0</v>
      </c>
      <c r="D8" s="478">
        <f>industrie!D18</f>
        <v>18341.202153999999</v>
      </c>
      <c r="E8" s="478">
        <f>industrie!E18</f>
        <v>3310.3666548603646</v>
      </c>
      <c r="F8" s="478">
        <f>industrie!F18</f>
        <v>10669.132636657634</v>
      </c>
      <c r="G8" s="478">
        <f>industrie!G18</f>
        <v>0</v>
      </c>
      <c r="H8" s="478">
        <f>industrie!H18</f>
        <v>0</v>
      </c>
      <c r="I8" s="478">
        <f>industrie!I18</f>
        <v>0</v>
      </c>
      <c r="J8" s="478">
        <f>industrie!J18</f>
        <v>14.276031396458304</v>
      </c>
      <c r="K8" s="478">
        <f>industrie!K18</f>
        <v>0</v>
      </c>
      <c r="L8" s="478">
        <f>industrie!L18</f>
        <v>0</v>
      </c>
      <c r="M8" s="478">
        <f>industrie!M18</f>
        <v>0</v>
      </c>
      <c r="N8" s="478">
        <f>industrie!N18</f>
        <v>4251.0979414318535</v>
      </c>
      <c r="O8" s="478">
        <f>industrie!O18</f>
        <v>0</v>
      </c>
      <c r="P8" s="479">
        <f>industrie!P18</f>
        <v>0</v>
      </c>
      <c r="Q8" s="477">
        <f t="shared" si="0"/>
        <v>51126.885418346312</v>
      </c>
    </row>
    <row r="9" spans="1:17" s="483" customFormat="1">
      <c r="A9" s="481" t="s">
        <v>571</v>
      </c>
      <c r="B9" s="482">
        <f>transport!B14</f>
        <v>18.219106351408275</v>
      </c>
      <c r="C9" s="482">
        <f>transport!C14</f>
        <v>0</v>
      </c>
      <c r="D9" s="482">
        <f>transport!D14</f>
        <v>50.610950726495048</v>
      </c>
      <c r="E9" s="482">
        <f>transport!E14</f>
        <v>366.57732142434475</v>
      </c>
      <c r="F9" s="482">
        <f>transport!F14</f>
        <v>0</v>
      </c>
      <c r="G9" s="482">
        <f>transport!G14</f>
        <v>100885.63896717725</v>
      </c>
      <c r="H9" s="482">
        <f>transport!H14</f>
        <v>19551.373234708964</v>
      </c>
      <c r="I9" s="482">
        <f>transport!I14</f>
        <v>0</v>
      </c>
      <c r="J9" s="482">
        <f>transport!J14</f>
        <v>0</v>
      </c>
      <c r="K9" s="482">
        <f>transport!K14</f>
        <v>0</v>
      </c>
      <c r="L9" s="482">
        <f>transport!L14</f>
        <v>0</v>
      </c>
      <c r="M9" s="482">
        <f>transport!M14</f>
        <v>6437.6396682400064</v>
      </c>
      <c r="N9" s="482">
        <f>transport!N14</f>
        <v>0</v>
      </c>
      <c r="O9" s="482">
        <f>transport!O14</f>
        <v>0</v>
      </c>
      <c r="P9" s="482">
        <f>transport!P14</f>
        <v>0</v>
      </c>
      <c r="Q9" s="481">
        <f>SUM(B9:P9)</f>
        <v>127310.05924862847</v>
      </c>
    </row>
    <row r="10" spans="1:17">
      <c r="A10" s="477" t="s">
        <v>561</v>
      </c>
      <c r="B10" s="478">
        <f>transport!B54</f>
        <v>0</v>
      </c>
      <c r="C10" s="478">
        <f>transport!C54</f>
        <v>0</v>
      </c>
      <c r="D10" s="478">
        <f>transport!D54</f>
        <v>0</v>
      </c>
      <c r="E10" s="478">
        <f>transport!E54</f>
        <v>0</v>
      </c>
      <c r="F10" s="478">
        <f>transport!F54</f>
        <v>0</v>
      </c>
      <c r="G10" s="478">
        <f>transport!G54</f>
        <v>1295.6890098842323</v>
      </c>
      <c r="H10" s="478">
        <f>transport!H54</f>
        <v>0</v>
      </c>
      <c r="I10" s="478">
        <f>transport!I54</f>
        <v>0</v>
      </c>
      <c r="J10" s="478">
        <f>transport!J54</f>
        <v>0</v>
      </c>
      <c r="K10" s="478">
        <f>transport!K54</f>
        <v>0</v>
      </c>
      <c r="L10" s="478">
        <f>transport!L54</f>
        <v>0</v>
      </c>
      <c r="M10" s="478">
        <f>transport!M54</f>
        <v>73.889367096193951</v>
      </c>
      <c r="N10" s="478">
        <f>transport!N54</f>
        <v>0</v>
      </c>
      <c r="O10" s="478">
        <f>transport!O54</f>
        <v>0</v>
      </c>
      <c r="P10" s="479">
        <f>transport!P54</f>
        <v>0</v>
      </c>
      <c r="Q10" s="477">
        <f t="shared" si="0"/>
        <v>1369.5783769804261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465.34800000000001</v>
      </c>
      <c r="C14" s="485"/>
      <c r="D14" s="485">
        <f>'SEAP template'!E25</f>
        <v>586.30700000000002</v>
      </c>
      <c r="E14" s="485"/>
      <c r="F14" s="485"/>
      <c r="G14" s="485"/>
      <c r="H14" s="485"/>
      <c r="I14" s="485"/>
      <c r="J14" s="485"/>
      <c r="K14" s="485"/>
      <c r="L14" s="485"/>
      <c r="M14" s="485"/>
      <c r="N14" s="485"/>
      <c r="O14" s="485"/>
      <c r="P14" s="486"/>
      <c r="Q14" s="477">
        <f t="shared" si="0"/>
        <v>1051.655</v>
      </c>
    </row>
    <row r="15" spans="1:17" s="487" customFormat="1">
      <c r="A15" s="1051" t="s">
        <v>565</v>
      </c>
      <c r="B15" s="991">
        <f ca="1">SUM(B4:B14)</f>
        <v>46599.739127544388</v>
      </c>
      <c r="C15" s="991">
        <f t="shared" ref="C15:Q15" ca="1" si="1">SUM(C4:C14)</f>
        <v>0</v>
      </c>
      <c r="D15" s="991">
        <f t="shared" ca="1" si="1"/>
        <v>46448.68885672649</v>
      </c>
      <c r="E15" s="991">
        <f t="shared" si="1"/>
        <v>5462.4162725735687</v>
      </c>
      <c r="F15" s="991">
        <f t="shared" ca="1" si="1"/>
        <v>50125.050477255747</v>
      </c>
      <c r="G15" s="991">
        <f t="shared" si="1"/>
        <v>102181.32797706148</v>
      </c>
      <c r="H15" s="991">
        <f t="shared" si="1"/>
        <v>19551.373234708964</v>
      </c>
      <c r="I15" s="991">
        <f t="shared" si="1"/>
        <v>0</v>
      </c>
      <c r="J15" s="991">
        <f t="shared" si="1"/>
        <v>223.26213919485832</v>
      </c>
      <c r="K15" s="991">
        <f t="shared" si="1"/>
        <v>0</v>
      </c>
      <c r="L15" s="991">
        <f t="shared" ca="1" si="1"/>
        <v>0</v>
      </c>
      <c r="M15" s="991">
        <f t="shared" si="1"/>
        <v>6511.5290353362006</v>
      </c>
      <c r="N15" s="991">
        <f t="shared" ca="1" si="1"/>
        <v>14680.374553152926</v>
      </c>
      <c r="O15" s="991">
        <f t="shared" si="1"/>
        <v>120.37666666666667</v>
      </c>
      <c r="P15" s="991">
        <f t="shared" si="1"/>
        <v>457.6</v>
      </c>
      <c r="Q15" s="991">
        <f t="shared" ca="1" si="1"/>
        <v>292361.73834022135</v>
      </c>
    </row>
    <row r="17" spans="1:17">
      <c r="A17" s="488" t="s">
        <v>566</v>
      </c>
      <c r="B17" s="787">
        <f ca="1">huishoudens!B10</f>
        <v>0.123201093837352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2129.4768243094322</v>
      </c>
      <c r="C22" s="478">
        <f t="shared" ref="C22:C32" ca="1" si="3">C4*$C$17</f>
        <v>0</v>
      </c>
      <c r="D22" s="478">
        <f t="shared" ref="D22:D32" si="4">D4*$D$17</f>
        <v>4309.0110869080008</v>
      </c>
      <c r="E22" s="478">
        <f t="shared" ref="E22:E32" si="5">E4*$E$17</f>
        <v>377.31685816267549</v>
      </c>
      <c r="F22" s="478">
        <f t="shared" ref="F22:F32" si="6">F4*$F$17</f>
        <v>9131.3156094751084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15947.120378855216</v>
      </c>
    </row>
    <row r="23" spans="1:17">
      <c r="A23" s="477" t="s">
        <v>156</v>
      </c>
      <c r="B23" s="478">
        <f t="shared" ca="1" si="2"/>
        <v>1517.4755112624828</v>
      </c>
      <c r="C23" s="478">
        <f t="shared" ca="1" si="3"/>
        <v>0</v>
      </c>
      <c r="D23" s="478">
        <f t="shared" ca="1" si="4"/>
        <v>1203.006829508</v>
      </c>
      <c r="E23" s="478">
        <f t="shared" si="5"/>
        <v>25.119236058483306</v>
      </c>
      <c r="F23" s="478">
        <f t="shared" ca="1" si="6"/>
        <v>479.97593560571585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3225.5775124346815</v>
      </c>
    </row>
    <row r="24" spans="1:17">
      <c r="A24" s="477" t="s">
        <v>194</v>
      </c>
      <c r="B24" s="478">
        <f t="shared" ca="1" si="2"/>
        <v>75.225232685054934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75.225232685054934</v>
      </c>
    </row>
    <row r="25" spans="1:17">
      <c r="A25" s="477" t="s">
        <v>112</v>
      </c>
      <c r="B25" s="478">
        <f t="shared" ca="1" si="2"/>
        <v>167.94157106438641</v>
      </c>
      <c r="C25" s="478">
        <f t="shared" ca="1" si="3"/>
        <v>0</v>
      </c>
      <c r="D25" s="478">
        <f t="shared" si="4"/>
        <v>37.036971487999999</v>
      </c>
      <c r="E25" s="478">
        <f t="shared" si="5"/>
        <v>2.8661170364123256</v>
      </c>
      <c r="F25" s="478">
        <f t="shared" si="6"/>
        <v>923.43851835887256</v>
      </c>
      <c r="G25" s="478">
        <f t="shared" si="7"/>
        <v>0</v>
      </c>
      <c r="H25" s="478">
        <f t="shared" si="8"/>
        <v>0</v>
      </c>
      <c r="I25" s="478">
        <f t="shared" si="9"/>
        <v>0</v>
      </c>
      <c r="J25" s="478">
        <f t="shared" si="10"/>
        <v>73.981082160633605</v>
      </c>
      <c r="K25" s="478">
        <f t="shared" si="11"/>
        <v>0</v>
      </c>
      <c r="L25" s="478">
        <f t="shared" si="12"/>
        <v>0</v>
      </c>
      <c r="M25" s="478">
        <f t="shared" si="13"/>
        <v>0</v>
      </c>
      <c r="N25" s="478">
        <f t="shared" si="14"/>
        <v>0</v>
      </c>
      <c r="O25" s="478">
        <f t="shared" si="15"/>
        <v>0</v>
      </c>
      <c r="P25" s="479">
        <f t="shared" si="16"/>
        <v>0</v>
      </c>
      <c r="Q25" s="477">
        <f t="shared" ca="1" si="17"/>
        <v>1205.2642601083048</v>
      </c>
    </row>
    <row r="26" spans="1:17">
      <c r="A26" s="477" t="s">
        <v>650</v>
      </c>
      <c r="B26" s="478">
        <f t="shared" ca="1" si="2"/>
        <v>1791.4436972811063</v>
      </c>
      <c r="C26" s="478">
        <f t="shared" ca="1" si="3"/>
        <v>0</v>
      </c>
      <c r="D26" s="478">
        <f t="shared" si="4"/>
        <v>3704.9228351080001</v>
      </c>
      <c r="E26" s="478">
        <f t="shared" si="5"/>
        <v>751.45323065330274</v>
      </c>
      <c r="F26" s="478">
        <f t="shared" si="6"/>
        <v>2848.6584139875886</v>
      </c>
      <c r="G26" s="478">
        <f t="shared" si="7"/>
        <v>0</v>
      </c>
      <c r="H26" s="478">
        <f t="shared" si="8"/>
        <v>0</v>
      </c>
      <c r="I26" s="478">
        <f t="shared" si="9"/>
        <v>0</v>
      </c>
      <c r="J26" s="478">
        <f t="shared" si="10"/>
        <v>5.0537151143462395</v>
      </c>
      <c r="K26" s="478">
        <f t="shared" si="11"/>
        <v>0</v>
      </c>
      <c r="L26" s="478">
        <f t="shared" si="12"/>
        <v>0</v>
      </c>
      <c r="M26" s="478">
        <f t="shared" si="13"/>
        <v>0</v>
      </c>
      <c r="N26" s="478">
        <f t="shared" si="14"/>
        <v>0</v>
      </c>
      <c r="O26" s="478">
        <f t="shared" si="15"/>
        <v>0</v>
      </c>
      <c r="P26" s="479">
        <f t="shared" si="16"/>
        <v>0</v>
      </c>
      <c r="Q26" s="477">
        <f t="shared" ca="1" si="17"/>
        <v>9101.531892144345</v>
      </c>
    </row>
    <row r="27" spans="1:17" s="483" customFormat="1">
      <c r="A27" s="481" t="s">
        <v>571</v>
      </c>
      <c r="B27" s="781">
        <f t="shared" ca="1" si="2"/>
        <v>2.244613831232547</v>
      </c>
      <c r="C27" s="482">
        <f t="shared" ca="1" si="3"/>
        <v>0</v>
      </c>
      <c r="D27" s="482">
        <f t="shared" si="4"/>
        <v>10.223412046752001</v>
      </c>
      <c r="E27" s="482">
        <f t="shared" si="5"/>
        <v>83.213051963326265</v>
      </c>
      <c r="F27" s="482">
        <f t="shared" si="6"/>
        <v>0</v>
      </c>
      <c r="G27" s="482">
        <f t="shared" si="7"/>
        <v>26936.465604236328</v>
      </c>
      <c r="H27" s="482">
        <f t="shared" si="8"/>
        <v>4868.2919354425321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31900.438617520169</v>
      </c>
    </row>
    <row r="28" spans="1:17">
      <c r="A28" s="477" t="s">
        <v>561</v>
      </c>
      <c r="B28" s="478">
        <f t="shared" ca="1" si="2"/>
        <v>0</v>
      </c>
      <c r="C28" s="478">
        <f t="shared" ca="1" si="3"/>
        <v>0</v>
      </c>
      <c r="D28" s="478">
        <f t="shared" si="4"/>
        <v>0</v>
      </c>
      <c r="E28" s="478">
        <f t="shared" si="5"/>
        <v>0</v>
      </c>
      <c r="F28" s="478">
        <f t="shared" si="6"/>
        <v>0</v>
      </c>
      <c r="G28" s="478">
        <f t="shared" si="7"/>
        <v>345.94896563909003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345.94896563909003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57.331382615024083</v>
      </c>
      <c r="C32" s="478">
        <f t="shared" ca="1" si="3"/>
        <v>0</v>
      </c>
      <c r="D32" s="478">
        <f t="shared" si="4"/>
        <v>118.434014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175.76539661502409</v>
      </c>
    </row>
    <row r="33" spans="1:17" s="487" customFormat="1">
      <c r="A33" s="1051" t="s">
        <v>565</v>
      </c>
      <c r="B33" s="991">
        <f ca="1">SUM(B22:B32)</f>
        <v>5741.1388330487198</v>
      </c>
      <c r="C33" s="991">
        <f t="shared" ref="C33:Q33" ca="1" si="18">SUM(C22:C32)</f>
        <v>0</v>
      </c>
      <c r="D33" s="991">
        <f t="shared" ca="1" si="18"/>
        <v>9382.6351490587549</v>
      </c>
      <c r="E33" s="991">
        <f t="shared" si="18"/>
        <v>1239.9684938742</v>
      </c>
      <c r="F33" s="991">
        <f t="shared" ca="1" si="18"/>
        <v>13383.388477427286</v>
      </c>
      <c r="G33" s="991">
        <f t="shared" si="18"/>
        <v>27282.414569875418</v>
      </c>
      <c r="H33" s="991">
        <f t="shared" si="18"/>
        <v>4868.2919354425321</v>
      </c>
      <c r="I33" s="991">
        <f t="shared" si="18"/>
        <v>0</v>
      </c>
      <c r="J33" s="991">
        <f t="shared" si="18"/>
        <v>79.034797274979837</v>
      </c>
      <c r="K33" s="991">
        <f t="shared" si="18"/>
        <v>0</v>
      </c>
      <c r="L33" s="991">
        <f t="shared" ca="1" si="18"/>
        <v>0</v>
      </c>
      <c r="M33" s="991">
        <f t="shared" si="18"/>
        <v>0</v>
      </c>
      <c r="N33" s="991">
        <f t="shared" ca="1" si="18"/>
        <v>0</v>
      </c>
      <c r="O33" s="991">
        <f t="shared" si="18"/>
        <v>0</v>
      </c>
      <c r="P33" s="991">
        <f t="shared" si="18"/>
        <v>0</v>
      </c>
      <c r="Q33" s="991">
        <f t="shared" ca="1" si="18"/>
        <v>61976.872256001887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16117.853777307973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4503.8815807851952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20621.735358093167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0.123201093837352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0.123201093837352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2019-06-29T16:48:41Z</dcterms:modified>
</cp:coreProperties>
</file>