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F19"/>
  <c r="E19"/>
  <c r="F89" i="14" s="1"/>
  <c r="F19" i="59" s="1"/>
  <c r="D19" i="18"/>
  <c r="C19"/>
  <c r="B19"/>
  <c r="N18"/>
  <c r="L88" i="14" s="1"/>
  <c r="M18" i="18"/>
  <c r="K88" i="14" s="1"/>
  <c r="K18" i="59" s="1"/>
  <c r="L18" i="18"/>
  <c r="L20" s="1"/>
  <c r="K18"/>
  <c r="K20" s="1"/>
  <c r="J18"/>
  <c r="J88" i="14" s="1"/>
  <c r="J18" i="59" s="1"/>
  <c r="I18" i="18"/>
  <c r="H18"/>
  <c r="G18"/>
  <c r="H88" i="14" s="1"/>
  <c r="F18" i="18"/>
  <c r="F20" s="1"/>
  <c r="E18"/>
  <c r="D18"/>
  <c r="C18"/>
  <c r="B18"/>
  <c r="L9"/>
  <c r="K9"/>
  <c r="I9"/>
  <c r="G9"/>
  <c r="F9"/>
  <c r="F10" s="1"/>
  <c r="E9"/>
  <c r="D9"/>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N90"/>
  <c r="B16" i="16" s="1"/>
  <c r="M90" i="18"/>
  <c r="W89"/>
  <c r="V89"/>
  <c r="U89"/>
  <c r="T89"/>
  <c r="S89"/>
  <c r="R89"/>
  <c r="Q89"/>
  <c r="J9" s="1"/>
  <c r="J77" i="14" s="1"/>
  <c r="J9" i="59" s="1"/>
  <c r="P89" i="18"/>
  <c r="C9" s="1"/>
  <c r="O89"/>
  <c r="N89"/>
  <c r="M89"/>
  <c r="W61"/>
  <c r="V61"/>
  <c r="U61"/>
  <c r="T61"/>
  <c r="L6" i="17" s="1"/>
  <c r="S61" i="18"/>
  <c r="F6" i="17" s="1"/>
  <c r="R61" i="18"/>
  <c r="Q61"/>
  <c r="P61"/>
  <c r="O61"/>
  <c r="N61"/>
  <c r="M61"/>
  <c r="W60"/>
  <c r="V60"/>
  <c r="U60"/>
  <c r="T60"/>
  <c r="S60"/>
  <c r="R60"/>
  <c r="Q60"/>
  <c r="P60"/>
  <c r="O60"/>
  <c r="C13" i="15" s="1"/>
  <c r="N60" i="18"/>
  <c r="M60"/>
  <c r="W59"/>
  <c r="V59"/>
  <c r="U59"/>
  <c r="T59"/>
  <c r="S59"/>
  <c r="R59"/>
  <c r="Q59"/>
  <c r="P59"/>
  <c r="O59"/>
  <c r="N59"/>
  <c r="M59"/>
  <c r="W58"/>
  <c r="V58"/>
  <c r="U58"/>
  <c r="T58"/>
  <c r="S58"/>
  <c r="R58"/>
  <c r="Q58"/>
  <c r="P58"/>
  <c r="O58"/>
  <c r="B98" s="1"/>
  <c r="N58"/>
  <c r="C98" s="1"/>
  <c r="M58"/>
  <c r="G22"/>
  <c r="F22"/>
  <c r="E22"/>
  <c r="D22"/>
  <c r="C22"/>
  <c r="D20"/>
  <c r="D88" i="14"/>
  <c r="D18" i="59" s="1"/>
  <c r="B17" i="18"/>
  <c r="G12"/>
  <c r="F12"/>
  <c r="E12"/>
  <c r="D12"/>
  <c r="C12"/>
  <c r="L10"/>
  <c r="K10"/>
  <c r="G10"/>
  <c r="E77" i="14"/>
  <c r="E9" i="59" s="1"/>
  <c r="B8" i="18"/>
  <c r="B6"/>
  <c r="B74" i="14" s="1"/>
  <c r="B6" i="59" s="1"/>
  <c r="B5" i="18"/>
  <c r="B4"/>
  <c r="N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H89" i="14"/>
  <c r="H19" i="59" s="1"/>
  <c r="E89" i="14"/>
  <c r="E19" i="59" s="1"/>
  <c r="D89" i="14"/>
  <c r="D19" i="59" s="1"/>
  <c r="M88" i="14"/>
  <c r="M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N77" i="14"/>
  <c r="L77"/>
  <c r="L9" i="59" s="1"/>
  <c r="K77" i="14"/>
  <c r="K9" i="59" s="1"/>
  <c r="O76" i="14"/>
  <c r="O8" i="59" s="1"/>
  <c r="N76" i="14"/>
  <c r="N8" i="59" s="1"/>
  <c r="L76" i="14"/>
  <c r="L8" i="59" s="1"/>
  <c r="K76" i="14"/>
  <c r="K8" i="59" s="1"/>
  <c r="K10" s="1"/>
  <c r="H76" i="14"/>
  <c r="H8" i="59" s="1"/>
  <c r="G76" i="14"/>
  <c r="G8" i="59" s="1"/>
  <c r="E76" i="14"/>
  <c r="E8" i="59" s="1"/>
  <c r="B75" i="14"/>
  <c r="B7" i="59" s="1"/>
  <c r="B73" i="14"/>
  <c r="B5" i="59" s="1"/>
  <c r="B72" i="14"/>
  <c r="B4" i="59" s="1"/>
  <c r="Q54" i="14"/>
  <c r="Q56" s="1"/>
  <c r="P54"/>
  <c r="P56" s="1"/>
  <c r="L54"/>
  <c r="L56" s="1"/>
  <c r="J54"/>
  <c r="I54"/>
  <c r="I56" s="1"/>
  <c r="H54"/>
  <c r="H56" s="1"/>
  <c r="Q24"/>
  <c r="Q26" s="1"/>
  <c r="P24"/>
  <c r="P26" s="1"/>
  <c r="N24"/>
  <c r="N26" s="1"/>
  <c r="L24"/>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L26" i="14"/>
  <c r="J26"/>
  <c r="I26"/>
  <c r="H26"/>
  <c r="J22"/>
  <c r="G22"/>
  <c r="L90" l="1"/>
  <c r="L18" i="59"/>
  <c r="Q14" i="48"/>
  <c r="H90" i="14"/>
  <c r="H18" i="59"/>
  <c r="K20"/>
  <c r="P22" i="14"/>
  <c r="D14" i="48"/>
  <c r="D22" i="14"/>
  <c r="L20" i="59"/>
  <c r="G77" i="14"/>
  <c r="G9" i="59" s="1"/>
  <c r="G10" s="1"/>
  <c r="P28" i="48"/>
  <c r="N78" i="14"/>
  <c r="N9" i="59"/>
  <c r="N10" s="1"/>
  <c r="G20"/>
  <c r="L78" i="14"/>
  <c r="B20" i="18"/>
  <c r="M77" i="14"/>
  <c r="M9" i="59" s="1"/>
  <c r="H9" i="18"/>
  <c r="K78" i="14"/>
  <c r="Q22"/>
  <c r="L10" i="59"/>
  <c r="L22" i="14"/>
  <c r="E10" i="59"/>
  <c r="I77" i="14"/>
  <c r="I9" i="59" s="1"/>
  <c r="O10"/>
  <c r="H20"/>
  <c r="D13" i="15"/>
  <c r="C16" i="16"/>
  <c r="B13" i="15"/>
  <c r="B10" i="18"/>
  <c r="N13" i="15"/>
  <c r="L13"/>
  <c r="F77" i="14"/>
  <c r="F9" i="59" s="1"/>
  <c r="I101" i="18"/>
  <c r="H8" s="1"/>
  <c r="E101"/>
  <c r="E8" s="1"/>
  <c r="F101"/>
  <c r="H101"/>
  <c r="D101"/>
  <c r="G101"/>
  <c r="I8" s="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H78" i="14"/>
  <c r="H9" i="59"/>
  <c r="H10" s="1"/>
  <c r="O90" i="14"/>
  <c r="O18" i="59"/>
  <c r="O20" s="1"/>
  <c r="D10"/>
  <c r="Q77" i="14"/>
  <c r="P9" i="59" s="1"/>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J90" i="14"/>
  <c r="J17" i="59"/>
  <c r="J20" s="1"/>
  <c r="H10" i="14"/>
  <c r="H16" s="1"/>
  <c r="G5" i="48"/>
  <c r="Q76" i="14"/>
  <c r="D78"/>
  <c r="I78"/>
  <c r="B76"/>
  <c r="J10" i="18"/>
  <c r="J76" i="14"/>
  <c r="I87"/>
  <c r="I17" i="59" s="1"/>
  <c r="I20" s="1"/>
  <c r="I20" i="18"/>
  <c r="Q87" i="14"/>
  <c r="D90"/>
  <c r="A31" i="23"/>
  <c r="A32"/>
  <c r="A33"/>
  <c r="B78" i="14" l="1"/>
  <c r="B4" i="6" s="1"/>
  <c r="B8" i="59"/>
  <c r="B10" s="1"/>
  <c r="J78" i="14"/>
  <c r="J8" i="59"/>
  <c r="J10" s="1"/>
  <c r="Q78" i="14"/>
  <c r="B9" i="6" s="1"/>
  <c r="P8" i="59"/>
  <c r="P10" s="1"/>
  <c r="Q90" i="14"/>
  <c r="B17" i="6" s="1"/>
  <c r="P17" i="59"/>
  <c r="P20" s="1"/>
  <c r="C87" i="14"/>
  <c r="B87"/>
  <c r="I90"/>
  <c r="C76"/>
  <c r="B11" i="44"/>
  <c r="B25"/>
  <c r="B24"/>
  <c r="C90" i="14" l="1"/>
  <c r="C17" i="59"/>
  <c r="C20" s="1"/>
  <c r="B90" i="14"/>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9" i="48" l="1"/>
  <c r="G32"/>
  <c r="G25"/>
  <c r="G24"/>
  <c r="G22"/>
  <c r="G26"/>
  <c r="G30"/>
  <c r="G23"/>
  <c r="C11" i="14"/>
  <c r="B4" i="48"/>
  <c r="E32"/>
  <c r="E31"/>
  <c r="E29"/>
  <c r="E24"/>
  <c r="E28"/>
  <c r="E30"/>
  <c r="M25"/>
  <c r="M32"/>
  <c r="M26"/>
  <c r="M22"/>
  <c r="M30"/>
  <c r="M24"/>
  <c r="M29"/>
  <c r="M23"/>
  <c r="L32"/>
  <c r="L29"/>
  <c r="L28"/>
  <c r="L30"/>
  <c r="L27"/>
  <c r="L22"/>
  <c r="L31"/>
  <c r="L24"/>
  <c r="K28"/>
  <c r="K32"/>
  <c r="K24"/>
  <c r="K22"/>
  <c r="K26"/>
  <c r="K31"/>
  <c r="K29"/>
  <c r="K25"/>
  <c r="K27"/>
  <c r="K30"/>
  <c r="B7"/>
  <c r="C24" i="14"/>
  <c r="C26" s="1"/>
  <c r="J15" i="16"/>
  <c r="O4" i="48"/>
  <c r="P11" i="14"/>
  <c r="I32" i="48"/>
  <c r="I28"/>
  <c r="I22"/>
  <c r="I27"/>
  <c r="I25"/>
  <c r="I24"/>
  <c r="I30"/>
  <c r="I26"/>
  <c r="I31"/>
  <c r="I29"/>
  <c r="E11" i="14"/>
  <c r="D4" i="48"/>
  <c r="D22" s="1"/>
  <c r="H32"/>
  <c r="H26"/>
  <c r="H29"/>
  <c r="H28"/>
  <c r="H30"/>
  <c r="H25"/>
  <c r="H24"/>
  <c r="H22"/>
  <c r="H23"/>
  <c r="C4"/>
  <c r="D11" i="14"/>
  <c r="F31" i="48"/>
  <c r="F32"/>
  <c r="F29"/>
  <c r="F30"/>
  <c r="F27"/>
  <c r="F24"/>
  <c r="F28"/>
  <c r="N31"/>
  <c r="N24"/>
  <c r="N27"/>
  <c r="N32"/>
  <c r="N30"/>
  <c r="N29"/>
  <c r="N28"/>
  <c r="C19" i="14"/>
  <c r="B10" i="48"/>
  <c r="K5"/>
  <c r="L10" i="14"/>
  <c r="L16" s="1"/>
  <c r="L27" s="1"/>
  <c r="D30" i="48"/>
  <c r="D29"/>
  <c r="D31"/>
  <c r="D28"/>
  <c r="D24"/>
  <c r="D32"/>
  <c r="Q10" i="14"/>
  <c r="P5" i="48"/>
  <c r="P23" s="1"/>
  <c r="J24"/>
  <c r="J32"/>
  <c r="J30"/>
  <c r="J27"/>
  <c r="J31"/>
  <c r="J28"/>
  <c r="J29"/>
  <c r="Q11" i="14"/>
  <c r="P4" i="48"/>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I5"/>
  <c r="J10" i="14"/>
  <c r="J16" s="1"/>
  <c r="J27" s="1"/>
  <c r="F20"/>
  <c r="F22" s="1"/>
  <c r="E9" i="48"/>
  <c r="E27" s="1"/>
  <c r="K24" i="14"/>
  <c r="K26" s="1"/>
  <c r="J7" i="48"/>
  <c r="J25" s="1"/>
  <c r="B9"/>
  <c r="C20" i="14"/>
  <c r="O22" i="48"/>
  <c r="M12" i="22"/>
  <c r="M13" i="48"/>
  <c r="M31" s="1"/>
  <c r="N18" i="14"/>
  <c r="K15" i="48"/>
  <c r="K23"/>
  <c r="J63" i="14"/>
  <c r="J12" i="17"/>
  <c r="K54" i="14" s="1"/>
  <c r="K56" s="1"/>
  <c r="L46"/>
  <c r="L61" s="1"/>
  <c r="Q16"/>
  <c r="Q27" s="1"/>
  <c r="Q63" s="1"/>
  <c r="E20"/>
  <c r="E22" s="1"/>
  <c r="D9" i="48"/>
  <c r="D27" s="1"/>
  <c r="O5"/>
  <c r="O23" s="1"/>
  <c r="P10" i="14"/>
  <c r="C22"/>
  <c r="G11"/>
  <c r="F4" i="48"/>
  <c r="F22" s="1"/>
  <c r="H18" i="14"/>
  <c r="R18" s="1"/>
  <c r="G13" i="48"/>
  <c r="H13"/>
  <c r="H31" s="1"/>
  <c r="I18" i="14"/>
  <c r="P22" i="16"/>
  <c r="Q43" i="14" s="1"/>
  <c r="Q13"/>
  <c r="P8" i="48"/>
  <c r="P26" s="1"/>
  <c r="K33"/>
  <c r="L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I23"/>
  <c r="I33" s="1"/>
  <c r="I15"/>
  <c r="G31"/>
  <c r="Q13"/>
  <c r="M14" i="22"/>
  <c r="G14"/>
  <c r="P33" i="48"/>
  <c r="G10"/>
  <c r="H19" i="14"/>
  <c r="R19" s="1"/>
  <c r="E12" i="13"/>
  <c r="F41" i="14" s="1"/>
  <c r="E4" i="48"/>
  <c r="F11" i="14"/>
  <c r="R11" s="1"/>
  <c r="K11"/>
  <c r="J4" i="48"/>
  <c r="E7"/>
  <c r="E25" s="1"/>
  <c r="F24" i="14"/>
  <c r="F26" s="1"/>
  <c r="M10" i="48"/>
  <c r="M28" s="1"/>
  <c r="N19" i="14"/>
  <c r="O22" i="16"/>
  <c r="P43" i="14" s="1"/>
  <c r="P13"/>
  <c r="P16" s="1"/>
  <c r="P27" s="1"/>
  <c r="P63" s="1"/>
  <c r="O8" i="48"/>
  <c r="P46" i="14"/>
  <c r="P61" s="1"/>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J22" i="48" l="1"/>
  <c r="G28"/>
  <c r="Q10"/>
  <c r="F10" i="14"/>
  <c r="E5" i="48"/>
  <c r="E23" s="1"/>
  <c r="H9"/>
  <c r="I20" i="14"/>
  <c r="I22" s="1"/>
  <c r="I27" s="1"/>
  <c r="E22" i="48"/>
  <c r="Q4"/>
  <c r="K10" i="14"/>
  <c r="J5" i="48"/>
  <c r="J23" s="1"/>
  <c r="N20" i="14"/>
  <c r="N22" s="1"/>
  <c r="N27" s="1"/>
  <c r="N63" s="1"/>
  <c r="M9" i="48"/>
  <c r="O26"/>
  <c r="O33" s="1"/>
  <c r="O15"/>
  <c r="H20" i="14"/>
  <c r="G9" i="48"/>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E8" i="48"/>
  <c r="G27"/>
  <c r="G33" s="1"/>
  <c r="G15"/>
  <c r="Q9"/>
  <c r="M27"/>
  <c r="M33" s="1"/>
  <c r="M15"/>
  <c r="H27"/>
  <c r="H33" s="1"/>
  <c r="H15"/>
  <c r="K46" i="14"/>
  <c r="K61" s="1"/>
  <c r="K63" s="1"/>
  <c r="K16"/>
  <c r="K27" s="1"/>
  <c r="E22" i="16"/>
  <c r="F43" i="14" s="1"/>
  <c r="J22" i="16"/>
  <c r="K43" i="14" s="1"/>
  <c r="J8" i="48"/>
  <c r="K13" i="14"/>
  <c r="H22"/>
  <c r="H27" s="1"/>
  <c r="H63" s="1"/>
  <c r="R20"/>
  <c r="R22" s="1"/>
  <c r="F16"/>
  <c r="F27" s="1"/>
  <c r="F46"/>
  <c r="F61" s="1"/>
  <c r="I63"/>
  <c r="O13"/>
  <c r="N8" i="48"/>
  <c r="N26" s="1"/>
  <c r="F8"/>
  <c r="G13" i="14"/>
  <c r="J26" i="48" l="1"/>
  <c r="J33" s="1"/>
  <c r="J15"/>
  <c r="E26"/>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<sst xmlns="http://schemas.openxmlformats.org/spreadsheetml/2006/main" count="2416" uniqueCount="904">
  <si>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</si>
  <si>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</si>
  <si>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</si>
  <si>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</si>
  <si>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</si>
  <si>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</si>
  <si>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</si>
  <si>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</si>
  <si>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</si>
  <si>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</si>
  <si>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</si>
  <si>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</si>
  <si>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</si>
  <si>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</si>
  <si>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</si>
  <si>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</si>
  <si>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</si>
  <si>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</si>
  <si>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</si>
  <si>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</si>
  <si>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</si>
  <si>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</si>
  <si>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</si>
  <si>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</si>
  <si>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</si>
  <si>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</si>
  <si>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</si>
  <si>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</si>
  <si>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</si>
  <si>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</si>
  <si>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</si>
  <si>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</si>
  <si>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</si>
  <si>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</si>
  <si>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</si>
  <si>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</si>
  <si>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</si>
  <si>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</si>
  <si>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</si>
  <si>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</si>
  <si>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</si>
  <si>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</si>
  <si>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</si>
  <si>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</si>
  <si>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</si>
  <si>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</si>
  <si>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</si>
  <si>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</si>
  <si>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</si>
  <si>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</si>
  <si>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</si>
  <si>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</si>
  <si>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</si>
  <si>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</si>
  <si>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</si>
  <si>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</si>
  <si>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</si>
  <si>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</si>
  <si>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</si>
  <si>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</si>
  <si>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</si>
  <si>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</si>
  <si>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</si>
  <si>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</si>
  <si>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</si>
  <si>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</si>
  <si>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</si>
  <si>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</si>
  <si>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</si>
  <si>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</si>
  <si>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</si>
  <si>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</si>
  <si>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</si>
  <si>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</si>
  <si>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</si>
  <si>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</si>
  <si>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</si>
  <si>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</si>
  <si>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</si>
  <si>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</si>
  <si>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</si>
  <si>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</si>
  <si>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</si>
  <si>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</si>
  <si>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</si>
  <si>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</si>
  <si>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</si>
  <si>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</si>
  <si>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</si>
  <si>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</si>
  <si>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</si>
  <si>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</si>
  <si>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</si>
  <si>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</si>
  <si>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</si>
  <si>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</si>
  <si>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</si>
  <si>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</si>
  <si>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</si>
  <si>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</si>
  <si>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</si>
  <si>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</si>
  <si>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</si>
  <si>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</si>
  <si>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</si>
  <si>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</si>
  <si>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</si>
  <si>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</si>
  <si>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</si>
  <si>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</si>
  <si>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</si>
  <si>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</si>
  <si>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</si>
  <si>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</si>
  <si>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</si>
  <si>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</si>
  <si>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</si>
  <si>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</si>
  <si>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</si>
  <si>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</si>
  <si>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</si>
  <si>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</si>
  <si>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</si>
  <si>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</si>
  <si>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</si>
  <si>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</si>
  <si>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</si>
  <si>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</si>
  <si>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</si>
  <si>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</si>
  <si>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</si>
  <si>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</si>
  <si>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</si>
  <si>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</si>
  <si>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</si>
  <si>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</si>
  <si>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</si>
  <si>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</si>
  <si>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</si>
  <si>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</si>
  <si>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</si>
  <si>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</si>
  <si>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</si>
  <si>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</si>
  <si>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</si>
  <si>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</si>
  <si>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</si>
  <si>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</si>
  <si>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</si>
  <si>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</si>
  <si>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</si>
  <si>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</si>
  <si>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</si>
  <si>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</si>
  <si>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</si>
  <si>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</si>
  <si>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</si>
  <si>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</si>
  <si>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</si>
  <si>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</si>
  <si>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</si>
  <si>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</si>
  <si>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</si>
  <si>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</si>
  <si>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</si>
  <si>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</si>
  <si>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</si>
  <si>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</si>
  <si>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</si>
  <si>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</si>
  <si>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</si>
  <si>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</si>
  <si>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</si>
  <si>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</si>
  <si>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</si>
  <si>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</si>
  <si>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</si>
  <si>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</si>
  <si>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</si>
  <si>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</si>
  <si>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</si>
  <si>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</si>
  <si>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</si>
  <si>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</si>
  <si>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</si>
  <si>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</si>
  <si>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</si>
  <si>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</si>
  <si>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</si>
  <si>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</si>
  <si>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</si>
  <si>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</si>
  <si>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</si>
  <si>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</si>
  <si>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</si>
  <si>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</si>
  <si>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</si>
  <si>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</si>
  <si>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</si>
  <si>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</si>
  <si>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</si>
  <si>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</si>
  <si>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</si>
  <si>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</si>
  <si>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</si>
  <si>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</si>
  <si>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</si>
  <si>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</si>
  <si>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</si>
  <si>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</si>
  <si>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</si>
  <si>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</si>
  <si>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</si>
  <si>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</si>
  <si>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</si>
  <si>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</si>
  <si>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</si>
  <si>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</si>
  <si>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</si>
  <si>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</si>
  <si>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</si>
  <si>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</si>
  <si>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</si>
  <si>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</si>
  <si>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</si>
  <si>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</si>
  <si>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</si>
  <si>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</si>
  <si>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</si>
  <si>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</si>
  <si>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</si>
  <si>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</si>
  <si>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</si>
  <si>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</si>
  <si>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</si>
  <si>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</si>
  <si>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</si>
  <si>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</si>
  <si>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</si>
  <si>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</si>
  <si>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</si>
  <si>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</si>
  <si>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</si>
  <si>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</si>
  <si>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</si>
  <si>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</si>
  <si>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</si>
  <si>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</si>
  <si>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</si>
  <si>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</si>
  <si>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</si>
  <si>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</si>
  <si>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</si>
  <si>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</si>
  <si>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</si>
  <si>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</si>
  <si>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</si>
  <si>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</si>
  <si>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</si>
  <si>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</si>
  <si>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</si>
  <si>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</si>
  <si>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</si>
  <si>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</si>
  <si>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</si>
  <si>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</si>
  <si>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</si>
  <si>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</si>
  <si>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</si>
  <si>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</si>
  <si>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</si>
  <si>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</si>
  <si>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</si>
  <si>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</si>
  <si>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</si>
  <si>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</si>
  <si>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</si>
  <si>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</si>
  <si>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</si>
  <si>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</si>
  <si>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</si>
  <si>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</si>
  <si>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</si>
  <si>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</si>
  <si>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</si>
  <si>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</si>
  <si>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</si>
  <si>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</si>
  <si>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</si>
  <si>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</si>
  <si>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</si>
  <si>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</si>
  <si>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</si>
  <si>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</si>
  <si>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</si>
  <si>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</si>
  <si>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</si>
  <si>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</si>
  <si>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</si>
  <si>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</si>
  <si>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</si>
  <si>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</si>
  <si>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</si>
  <si>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</si>
  <si>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</si>
  <si>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</si>
  <si>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</si>
  <si>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</si>
  <si>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</si>
  <si>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</si>
  <si>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</si>
  <si>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</si>
  <si>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</si>
  <si>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</si>
  <si>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</si>
  <si>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</si>
  <si>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</si>
  <si>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</si>
  <si>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</si>
  <si>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</si>
  <si>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</si>
  <si>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</si>
  <si>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</si>
  <si>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</si>
  <si>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</si>
  <si>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</si>
  <si>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</si>
  <si>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</si>
  <si>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</si>
  <si>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</si>
  <si>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</si>
  <si>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</si>
  <si>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</si>
  <si>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</si>
  <si>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</si>
  <si>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</si>
  <si>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</si>
  <si>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</si>
  <si>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</si>
  <si>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</si>
  <si>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</si>
  <si>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</si>
  <si>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</si>
  <si>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</si>
  <si>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</si>
  <si>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</si>
  <si>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</si>
  <si>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</si>
  <si>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</si>
  <si>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</si>
  <si>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</si>
  <si>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</si>
  <si>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</si>
  <si>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</si>
  <si>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</si>
  <si>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</si>
  <si>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</si>
  <si>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</si>
  <si>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</si>
  <si>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</si>
  <si>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</si>
  <si>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</si>
  <si>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</si>
  <si>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</si>
  <si>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</si>
  <si>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</si>
  <si>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</si>
  <si>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</si>
  <si>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</si>
  <si>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</si>
  <si>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</si>
  <si>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</si>
  <si>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</si>
  <si>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</si>
  <si>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</si>
  <si>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</si>
  <si>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</si>
  <si>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</si>
  <si>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</si>
  <si>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</si>
  <si>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</si>
  <si>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</si>
  <si>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</si>
  <si>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</si>
  <si>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</si>
  <si>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</si>
  <si>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</si>
  <si>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</si>
  <si>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</si>
  <si>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</si>
  <si>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</si>
  <si>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</si>
  <si>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</si>
  <si>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</si>
  <si>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</si>
  <si>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</si>
  <si>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</si>
  <si>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</si>
  <si>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</si>
  <si>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</si>
  <si>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</si>
  <si>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</si>
  <si>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</si>
  <si>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</si>
  <si>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</si>
  <si>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</si>
  <si>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</si>
  <si>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</si>
  <si>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</si>
  <si>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</si>
  <si>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</si>
  <si>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</si>
  <si>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</si>
  <si>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</si>
  <si>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</si>
  <si>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</si>
  <si>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</si>
  <si>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</si>
  <si>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</si>
  <si>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</si>
  <si>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</si>
  <si>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</si>
  <si>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</si>
  <si>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</si>
  <si>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</si>
  <si>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</si>
  <si>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</si>
  <si>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</si>
  <si>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</si>
  <si>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</si>
  <si>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</si>
  <si>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</si>
  <si>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</si>
  <si>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</si>
  <si>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</si>
  <si>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</si>
  <si>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</si>
  <si>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</si>
  <si>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</si>
  <si>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</si>
  <si>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</si>
  <si>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</si>
  <si>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</si>
  <si>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</si>
  <si>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</si>
  <si>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</si>
  <si>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</si>
  <si>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</si>
  <si>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</si>
  <si>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</si>
  <si>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</si>
  <si>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</si>
  <si>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</si>
  <si>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</si>
  <si>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</si>
  <si>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</si>
  <si>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</si>
  <si>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</si>
  <si>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</si>
  <si>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</si>
  <si>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</si>
  <si>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</si>
  <si>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</si>
  <si>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</si>
  <si>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</si>
  <si>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</si>
  <si>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</si>
  <si>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</si>
  <si>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</si>
  <si>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</si>
  <si>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</si>
  <si>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</si>
  <si>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</si>
  <si>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</si>
  <si>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</si>
  <si>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</si>
  <si>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</si>
  <si>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</si>
  <si>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</si>
  <si>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</si>
  <si>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</si>
  <si>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</si>
  <si>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</si>
  <si>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</si>
  <si>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</si>
  <si>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</si>
  <si>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</si>
  <si>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</si>
  <si>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</si>
  <si>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</si>
  <si>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</si>
  <si>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</si>
  <si>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</si>
  <si>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</si>
  <si>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</si>
  <si>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</si>
  <si>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</si>
  <si>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</si>
  <si>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</si>
  <si>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</si>
  <si>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</si>
  <si>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</si>
  <si>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</si>
  <si>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</si>
  <si>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</si>
  <si>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</si>
  <si>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</si>
  <si>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</si>
  <si>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</si>
  <si>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</si>
  <si>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</si>
  <si>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</si>
  <si>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</si>
  <si>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</si>
  <si>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</si>
  <si>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</si>
  <si>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</si>
  <si>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</si>
  <si>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</si>
  <si>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</si>
  <si>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</si>
  <si>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</si>
  <si>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</si>
  <si>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</si>
  <si>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</si>
  <si>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</si>
  <si>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</si>
  <si>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</si>
  <si>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</si>
  <si>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</si>
  <si>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</si>
  <si>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</si>
  <si>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</si>
  <si>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</si>
  <si>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</si>
  <si>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</si>
  <si>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</si>
  <si>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</si>
  <si>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</si>
  <si>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</si>
  <si>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</si>
  <si>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</si>
  <si>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</si>
  <si>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</si>
  <si>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</si>
  <si>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</si>
  <si>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</si>
  <si>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</si>
  <si>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</si>
  <si>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</si>
  <si>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</si>
  <si>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</si>
  <si>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</si>
  <si>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</si>
  <si>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</si>
  <si>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</si>
  <si>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</si>
  <si>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</si>
  <si>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</si>
  <si>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</si>
  <si>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</si>
  <si>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</si>
  <si>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</si>
  <si>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</si>
  <si>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</si>
  <si>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</si>
  <si>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</si>
  <si>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</si>
  <si>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</si>
  <si>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</si>
  <si>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</si>
  <si>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</si>
  <si>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</si>
  <si>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</si>
  <si>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</si>
  <si>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</si>
  <si>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</si>
  <si>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</si>
  <si>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</si>
  <si>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</si>
  <si>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</si>
  <si>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</si>
  <si>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</si>
  <si>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</si>
  <si>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</si>
  <si>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</si>
  <si>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</si>
  <si>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</si>
  <si>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</si>
  <si>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</si>
  <si>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</si>
  <si>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</si>
  <si>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</si>
  <si>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</si>
  <si>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</si>
  <si>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</si>
  <si>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</si>
  <si>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</si>
  <si>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</si>
  <si>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</si>
  <si>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</si>
  <si>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</si>
  <si>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</si>
  <si>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</si>
  <si>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</si>
  <si>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</si>
  <si>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</si>
  <si>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</si>
  <si>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</si>
  <si>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</si>
  <si>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</si>
  <si>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</si>
  <si>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</si>
  <si>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</si>
  <si>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</si>
  <si>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</si>
  <si>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</si>
  <si>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</si>
  <si>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</si>
  <si>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</si>
  <si>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</si>
  <si>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</si>
  <si>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</si>
  <si>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</si>
  <si>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</si>
  <si>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</si>
  <si>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</si>
  <si>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</si>
  <si>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</si>
  <si>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</si>
  <si>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</si>
  <si>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</si>
  <si>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</si>
  <si>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</si>
  <si>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</si>
  <si>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</si>
  <si>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</si>
  <si>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</si>
  <si>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</si>
  <si>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</si>
  <si>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</si>
  <si>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</si>
  <si>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</si>
  <si>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</si>
  <si>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</si>
  <si>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</si>
  <si>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</si>
  <si>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</si>
  <si>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</si>
  <si>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</si>
  <si>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</si>
  <si>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</si>
  <si>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</si>
  <si>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</si>
  <si>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</si>
  <si>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</si>
  <si>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</si>
  <si>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</si>
  <si>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</si>
  <si>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</si>
  <si>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</si>
  <si>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</si>
  <si>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</si>
  <si>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</si>
  <si>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</si>
  <si>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</si>
  <si>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</si>
  <si>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</si>
  <si>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</si>
  <si>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</si>
  <si>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</si>
  <si>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</si>
  <si>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</si>
  <si>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</si>
  <si>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</si>
  <si>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</si>
  <si>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</si>
  <si>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</si>
  <si>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</si>
  <si>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</si>
  <si>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</si>
  <si>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</si>
  <si>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</si>
  <si>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</si>
  <si>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</si>
  <si>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</si>
  <si>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</si>
  <si>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</si>
  <si>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</si>
  <si>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</si>
  <si>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</si>
  <si>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</si>
  <si>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</si>
  <si>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</si>
  <si>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</si>
  <si>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</si>
  <si>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</si>
  <si>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</si>
  <si>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</si>
  <si>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</si>
  <si>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</si>
  <si>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</si>
  <si>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</si>
  <si>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</si>
  <si>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</si>
  <si>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</si>
  <si>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</si>
  <si>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</si>
  <si>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</si>
  <si>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</si>
  <si>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</si>
  <si>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</si>
  <si>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</si>
  <si>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</si>
  <si>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</si>
  <si>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</si>
  <si>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</si>
  <si>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</si>
  <si>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</si>
  <si>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</si>
  <si>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</si>
  <si>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</si>
  <si>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</si>
  <si>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</si>
  <si>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</si>
  <si>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</si>
  <si>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</si>
  <si>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</si>
  <si>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</si>
  <si>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</si>
  <si>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</si>
  <si>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</si>
  <si>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</si>
  <si>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</si>
  <si>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</si>
  <si>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</si>
  <si>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</si>
  <si>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</si>
  <si>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</si>
  <si>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</si>
  <si>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</si>
  <si>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</si>
  <si>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</si>
  <si>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</si>
  <si>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</si>
  <si>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</si>
  <si>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</si>
  <si>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</si>
  <si>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</si>
  <si>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</si>
  <si>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</si>
  <si>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</si>
  <si>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</si>
  <si>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</si>
  <si>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</si>
  <si>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</si>
  <si>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</si>
  <si>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</si>
  <si>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</si>
  <si>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</si>
  <si>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</si>
  <si>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</si>
  <si>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</si>
  <si>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</si>
  <si>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</si>
  <si>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</si>
  <si>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</si>
  <si>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</si>
  <si>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</si>
  <si>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</si>
  <si>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</si>
  <si>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</si>
  <si>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</si>
  <si>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</si>
  <si>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</si>
  <si>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</si>
  <si>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</si>
  <si>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</si>
  <si>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</si>
  <si>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</si>
  <si>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</si>
  <si>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</si>
  <si>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</si>
  <si>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</si>
  <si>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</si>
  <si>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</si>
  <si>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</si>
  <si>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</si>
  <si>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</si>
  <si>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</si>
  <si>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</si>
  <si>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</si>
  <si>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</si>
  <si>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</si>
  <si>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</si>
  <si>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</si>
  <si>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</si>
  <si>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</si>
  <si>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</si>
  <si>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</si>
  <si>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</si>
  <si>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</si>
  <si>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</si>
  <si>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</si>
  <si>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</si>
  <si>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</si>
  <si>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</si>
  <si>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</si>
  <si>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</si>
  <si>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</si>
  <si>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</si>
  <si>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</si>
  <si>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</si>
  <si>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</si>
  <si>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</si>
  <si>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</si>
  <si>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</si>
  <si>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</si>
  <si>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</si>
  <si>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</si>
  <si>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</si>
  <si>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</si>
  <si>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</si>
  <si>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</si>
  <si>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</si>
  <si>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</si>
  <si>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</si>
  <si>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</si>
  <si>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</si>
  <si>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</si>
  <si>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</si>
  <si>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</si>
  <si>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</si>
  <si>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</si>
  <si>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</si>
  <si>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</si>
  <si>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</si>
  <si>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</si>
  <si>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</si>
  <si>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</si>
  <si>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</si>
  <si>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</si>
  <si>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</si>
  <si>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</si>
  <si>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</si>
  <si>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</si>
  <si>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</si>
  <si>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</si>
  <si>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</si>
  <si>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</si>
  <si>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</si>
  <si>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</si>
  <si>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</si>
  <si>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</si>
  <si>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</si>
  <si>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</si>
  <si>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</si>
  <si>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</si>
  <si>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</si>
  <si>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</si>
  <si>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</si>
  <si>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</si>
  <si>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</si>
  <si>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</si>
  <si>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</si>
  <si>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</si>
  <si>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</si>
  <si>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</si>
  <si>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</si>
  <si>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</si>
  <si>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</si>
  <si>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</si>
  <si>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</si>
  <si>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</si>
  <si>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</si>
  <si>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</si>
  <si>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</si>
  <si>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</si>
  <si>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</si>
  <si>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</si>
  <si>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</si>
  <si>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</si>
  <si>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</si>
  <si>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</si>
  <si>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</si>
  <si>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</si>
  <si>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</si>
  <si>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</si>
  <si>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</si>
  <si>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</si>
  <si>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</si>
  <si>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</si>
  <si>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</si>
  <si>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</si>
  <si>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</si>
  <si>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</si>
  <si>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32010</t>
  </si>
  <si>
    <t>KOEKELARE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</si>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</sst>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71987.973524226603</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00352"/>
        <c:axId val="182101888"/>
      </c:barChart>
      <c:catAx>
        <c:axId val="182100352"/>
        <c:scaling>
          <c:orientation val="minMax"/>
        </c:scaling>
        <c:axPos val="b"/>
        <c:numFmt formatCode="General" sourceLinked="0"/>
        <c:tickLblPos val="nextTo"/>
        <c:crossAx val="182101888"/>
        <c:crosses val="autoZero"/>
        <c:auto val="1"/>
        <c:lblAlgn val="ctr"/>
        <c:lblOffset val="100"/>
      </c:catAx>
      <c:valAx>
        <c:axId val="182101888"/>
        <c:scaling>
          <c:orientation val="minMax"/>
        </c:scaling>
        <c:axPos val="l"/>
        <c:majorGridlines/>
        <c:numFmt formatCode="#,##0" sourceLinked="1"/>
        <c:tickLblPos val="nextTo"/>
        <c:crossAx val="182100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71987.973524226603</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13594.450283716369</c:v>
                </c:pt>
                <c:pt idx="2">
                  <c:v>4084.7474790303386</c:v>
                </c:pt>
                <c:pt idx="3">
                  <c:v>155.21676085357123</c:v>
                </c:pt>
                <c:pt idx="4">
                  <c:v>3016.3471390331429</c:v>
                </c:pt>
                <c:pt idx="5">
                  <c:v>1636.1631508306709</c:v>
                </c:pt>
                <c:pt idx="6">
                  <c:v>7711.1152305058204</c:v>
                </c:pt>
                <c:pt idx="7">
                  <c:v>56.343628603527634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96256"/>
        <c:axId val="182530816"/>
      </c:barChart>
      <c:catAx>
        <c:axId val="182496256"/>
        <c:scaling>
          <c:orientation val="minMax"/>
        </c:scaling>
        <c:axPos val="b"/>
        <c:numFmt formatCode="General" sourceLinked="0"/>
        <c:tickLblPos val="nextTo"/>
        <c:crossAx val="182530816"/>
        <c:crosses val="autoZero"/>
        <c:auto val="1"/>
        <c:lblAlgn val="ctr"/>
        <c:lblOffset val="100"/>
      </c:catAx>
      <c:valAx>
        <c:axId val="182530816"/>
        <c:scaling>
          <c:orientation val="minMax"/>
        </c:scaling>
        <c:axPos val="l"/>
        <c:majorGridlines/>
        <c:numFmt formatCode="#,##0" sourceLinked="1"/>
        <c:tickLblPos val="nextTo"/>
        <c:crossAx val="182496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13594.450283716369</c:v>
                </c:pt>
                <c:pt idx="2">
                  <c:v>4084.7474790303386</c:v>
                </c:pt>
                <c:pt idx="3">
                  <c:v>155.21676085357123</c:v>
                </c:pt>
                <c:pt idx="4">
                  <c:v>3016.3471390331429</c:v>
                </c:pt>
                <c:pt idx="5">
                  <c:v>1636.1631508306709</c:v>
                </c:pt>
                <c:pt idx="6">
                  <c:v>7711.1152305058204</c:v>
                </c:pt>
                <c:pt idx="7">
                  <c:v>56.343628603527634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32010</v>
      </c>
      <c r="B6" s="416"/>
      <c r="C6" s="417"/>
    </row>
    <row r="7" spans="1:7" s="414" customFormat="1" ht="15.75" customHeight="1">
      <c r="A7" s="418" t="str">
        <f>txtMunicipality</f>
        <v>KOEKELARE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0.2015011785683683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0.2015011785683683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3623</v>
      </c>
      <c r="C9" s="342">
        <v>3612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3031</v>
      </c>
    </row>
    <row r="15" spans="1:6">
      <c r="A15" s="348" t="s">
        <v>184</v>
      </c>
      <c r="B15" s="334">
        <v>52</v>
      </c>
    </row>
    <row r="16" spans="1:6">
      <c r="A16" s="348" t="s">
        <v>6</v>
      </c>
      <c r="B16" s="334">
        <v>1595</v>
      </c>
    </row>
    <row r="17" spans="1:6">
      <c r="A17" s="348" t="s">
        <v>7</v>
      </c>
      <c r="B17" s="334">
        <v>1244</v>
      </c>
    </row>
    <row r="18" spans="1:6">
      <c r="A18" s="348" t="s">
        <v>8</v>
      </c>
      <c r="B18" s="334">
        <v>1648</v>
      </c>
    </row>
    <row r="19" spans="1:6">
      <c r="A19" s="348" t="s">
        <v>9</v>
      </c>
      <c r="B19" s="334">
        <v>1446</v>
      </c>
    </row>
    <row r="20" spans="1:6">
      <c r="A20" s="348" t="s">
        <v>10</v>
      </c>
      <c r="B20" s="334">
        <v>1295</v>
      </c>
    </row>
    <row r="21" spans="1:6">
      <c r="A21" s="348" t="s">
        <v>11</v>
      </c>
      <c r="B21" s="334">
        <v>24096</v>
      </c>
    </row>
    <row r="22" spans="1:6">
      <c r="A22" s="348" t="s">
        <v>12</v>
      </c>
      <c r="B22" s="334">
        <v>64185</v>
      </c>
    </row>
    <row r="23" spans="1:6">
      <c r="A23" s="348" t="s">
        <v>13</v>
      </c>
      <c r="B23" s="334">
        <v>803</v>
      </c>
    </row>
    <row r="24" spans="1:6">
      <c r="A24" s="348" t="s">
        <v>14</v>
      </c>
      <c r="B24" s="334">
        <v>50</v>
      </c>
    </row>
    <row r="25" spans="1:6">
      <c r="A25" s="348" t="s">
        <v>15</v>
      </c>
      <c r="B25" s="334">
        <v>6550</v>
      </c>
    </row>
    <row r="26" spans="1:6">
      <c r="A26" s="348" t="s">
        <v>16</v>
      </c>
      <c r="B26" s="334">
        <v>112</v>
      </c>
    </row>
    <row r="27" spans="1:6">
      <c r="A27" s="348" t="s">
        <v>17</v>
      </c>
      <c r="B27" s="334">
        <v>2</v>
      </c>
    </row>
    <row r="28" spans="1:6" s="356" customFormat="1">
      <c r="A28" s="355" t="s">
        <v>18</v>
      </c>
      <c r="B28" s="355">
        <v>99102</v>
      </c>
    </row>
    <row r="29" spans="1:6">
      <c r="A29" s="355" t="s">
        <v>898</v>
      </c>
      <c r="B29" s="355">
        <v>117</v>
      </c>
      <c r="C29" s="356"/>
      <c r="D29" s="356"/>
      <c r="E29" s="356"/>
      <c r="F29" s="356"/>
    </row>
    <row r="30" spans="1:6">
      <c r="A30" s="341" t="s">
        <v>899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648</v>
      </c>
    </row>
    <row r="39" spans="1:6">
      <c r="A39" s="348" t="s">
        <v>30</v>
      </c>
      <c r="B39" s="348" t="s">
        <v>31</v>
      </c>
      <c r="C39" s="334">
        <v>1987</v>
      </c>
      <c r="D39" s="334">
        <v>32579452</v>
      </c>
      <c r="E39" s="334">
        <v>3550</v>
      </c>
      <c r="F39" s="334">
        <v>15588283.805500001</v>
      </c>
    </row>
    <row r="40" spans="1:6">
      <c r="A40" s="348" t="s">
        <v>30</v>
      </c>
      <c r="B40" s="348" t="s">
        <v>29</v>
      </c>
      <c r="C40" s="334">
        <v>0</v>
      </c>
      <c r="D40" s="334">
        <v>0</v>
      </c>
      <c r="E40" s="334">
        <v>0</v>
      </c>
      <c r="F40" s="334">
        <v>0</v>
      </c>
    </row>
    <row r="41" spans="1:6">
      <c r="A41" s="348" t="s">
        <v>32</v>
      </c>
      <c r="B41" s="348" t="s">
        <v>33</v>
      </c>
      <c r="C41" s="334">
        <v>34</v>
      </c>
      <c r="D41" s="334">
        <v>779965</v>
      </c>
      <c r="E41" s="334">
        <v>94</v>
      </c>
      <c r="F41" s="334">
        <v>869411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72637</v>
      </c>
      <c r="E44" s="334">
        <v>12</v>
      </c>
      <c r="F44" s="334">
        <v>934650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104179</v>
      </c>
      <c r="E47" s="334">
        <v>3</v>
      </c>
      <c r="F47" s="334">
        <v>39131</v>
      </c>
    </row>
    <row r="48" spans="1:6">
      <c r="A48" s="348" t="s">
        <v>32</v>
      </c>
      <c r="B48" s="348" t="s">
        <v>29</v>
      </c>
      <c r="C48" s="334">
        <v>1</v>
      </c>
      <c r="D48" s="334">
        <v>27444</v>
      </c>
      <c r="E48" s="334">
        <v>4</v>
      </c>
      <c r="F48" s="334">
        <v>38617</v>
      </c>
    </row>
    <row r="49" spans="1:6">
      <c r="A49" s="348" t="s">
        <v>32</v>
      </c>
      <c r="B49" s="348" t="s">
        <v>40</v>
      </c>
      <c r="C49" s="334">
        <v>0</v>
      </c>
      <c r="D49" s="334">
        <v>0</v>
      </c>
      <c r="E49" s="334">
        <v>0</v>
      </c>
      <c r="F49" s="334">
        <v>0</v>
      </c>
    </row>
    <row r="50" spans="1:6">
      <c r="A50" s="348" t="s">
        <v>32</v>
      </c>
      <c r="B50" s="348" t="s">
        <v>41</v>
      </c>
      <c r="C50" s="334">
        <v>10</v>
      </c>
      <c r="D50" s="334">
        <v>536348</v>
      </c>
      <c r="E50" s="334">
        <v>15</v>
      </c>
      <c r="F50" s="334">
        <v>915506</v>
      </c>
    </row>
    <row r="51" spans="1:6">
      <c r="A51" s="348" t="s">
        <v>42</v>
      </c>
      <c r="B51" s="348" t="s">
        <v>43</v>
      </c>
      <c r="C51" s="334">
        <v>8</v>
      </c>
      <c r="D51" s="334">
        <v>124339</v>
      </c>
      <c r="E51" s="334">
        <v>122</v>
      </c>
      <c r="F51" s="334">
        <v>3200763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31</v>
      </c>
      <c r="D56" s="334">
        <v>504827</v>
      </c>
      <c r="E56" s="334">
        <v>72</v>
      </c>
      <c r="F56" s="334">
        <v>261578</v>
      </c>
    </row>
    <row r="57" spans="1:6">
      <c r="A57" s="348" t="s">
        <v>49</v>
      </c>
      <c r="B57" s="348" t="s">
        <v>50</v>
      </c>
      <c r="C57" s="334">
        <v>32</v>
      </c>
      <c r="D57" s="334">
        <v>1999019</v>
      </c>
      <c r="E57" s="334">
        <v>84</v>
      </c>
      <c r="F57" s="334">
        <v>1033522</v>
      </c>
    </row>
    <row r="58" spans="1:6">
      <c r="A58" s="348" t="s">
        <v>49</v>
      </c>
      <c r="B58" s="348" t="s">
        <v>51</v>
      </c>
      <c r="C58" s="334">
        <v>6</v>
      </c>
      <c r="D58" s="334">
        <v>1391455</v>
      </c>
      <c r="E58" s="334">
        <v>27</v>
      </c>
      <c r="F58" s="334">
        <v>546033</v>
      </c>
    </row>
    <row r="59" spans="1:6">
      <c r="A59" s="348" t="s">
        <v>49</v>
      </c>
      <c r="B59" s="348" t="s">
        <v>52</v>
      </c>
      <c r="C59" s="334">
        <v>49</v>
      </c>
      <c r="D59" s="334">
        <v>2325167</v>
      </c>
      <c r="E59" s="334">
        <v>112</v>
      </c>
      <c r="F59" s="334">
        <v>4808941</v>
      </c>
    </row>
    <row r="60" spans="1:6">
      <c r="A60" s="348" t="s">
        <v>49</v>
      </c>
      <c r="B60" s="348" t="s">
        <v>53</v>
      </c>
      <c r="C60" s="334">
        <v>30</v>
      </c>
      <c r="D60" s="334">
        <v>1459082</v>
      </c>
      <c r="E60" s="334">
        <v>34</v>
      </c>
      <c r="F60" s="334">
        <v>674011</v>
      </c>
    </row>
    <row r="61" spans="1:6">
      <c r="A61" s="348" t="s">
        <v>49</v>
      </c>
      <c r="B61" s="348" t="s">
        <v>54</v>
      </c>
      <c r="C61" s="334">
        <v>44</v>
      </c>
      <c r="D61" s="334">
        <v>1199253</v>
      </c>
      <c r="E61" s="334">
        <v>119</v>
      </c>
      <c r="F61" s="334">
        <v>1487592</v>
      </c>
    </row>
    <row r="62" spans="1:6">
      <c r="A62" s="348" t="s">
        <v>49</v>
      </c>
      <c r="B62" s="348" t="s">
        <v>55</v>
      </c>
      <c r="C62" s="334">
        <v>10</v>
      </c>
      <c r="D62" s="334">
        <v>2295569</v>
      </c>
      <c r="E62" s="334">
        <v>11</v>
      </c>
      <c r="F62" s="334">
        <v>252723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12547</v>
      </c>
      <c r="E65" s="334">
        <v>2</v>
      </c>
      <c r="F65" s="334">
        <v>24242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56408</v>
      </c>
      <c r="E68" s="334">
        <v>10</v>
      </c>
      <c r="F68" s="334">
        <v>89205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9218884</v>
      </c>
      <c r="E73" s="476">
        <v>7184933.6854246361</v>
      </c>
    </row>
    <row r="74" spans="1:6">
      <c r="A74" s="348" t="s">
        <v>64</v>
      </c>
      <c r="B74" s="348" t="s">
        <v>714</v>
      </c>
      <c r="C74" s="1311" t="s">
        <v>716</v>
      </c>
      <c r="D74" s="476">
        <v>946760.66064235789</v>
      </c>
      <c r="E74" s="476">
        <v>745804.35322031635</v>
      </c>
    </row>
    <row r="75" spans="1:6">
      <c r="A75" s="348" t="s">
        <v>65</v>
      </c>
      <c r="B75" s="348" t="s">
        <v>713</v>
      </c>
      <c r="C75" s="1311" t="s">
        <v>717</v>
      </c>
      <c r="D75" s="476">
        <v>22588542</v>
      </c>
      <c r="E75" s="476">
        <v>17712048.994672764</v>
      </c>
    </row>
    <row r="76" spans="1:6">
      <c r="A76" s="348" t="s">
        <v>65</v>
      </c>
      <c r="B76" s="348" t="s">
        <v>714</v>
      </c>
      <c r="C76" s="1311" t="s">
        <v>718</v>
      </c>
      <c r="D76" s="476">
        <v>665880.66064235789</v>
      </c>
      <c r="E76" s="476">
        <v>491069.4102412932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59606.678715284193</v>
      </c>
      <c r="C83" s="476">
        <v>60115.509665783466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1674.1318288133946</v>
      </c>
    </row>
    <row r="92" spans="1:6">
      <c r="A92" s="341" t="s">
        <v>69</v>
      </c>
      <c r="B92" s="342">
        <v>1246.2406214824323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33099.55495404367</v>
      </c>
      <c r="C3" s="43" t="s">
        <v>170</v>
      </c>
      <c r="D3" s="43"/>
      <c r="E3" s="154"/>
      <c r="F3" s="43"/>
      <c r="G3" s="43"/>
      <c r="H3" s="43"/>
      <c r="I3" s="43"/>
      <c r="J3" s="43"/>
      <c r="K3" s="96"/>
    </row>
    <row r="4" spans="1:11">
      <c r="A4" s="384" t="s">
        <v>171</v>
      </c>
      <c r="B4" s="49">
        <f>IF(ISERROR('SEAP template'!B78),0,'SEAP template'!B78)</f>
        <v>2920.3724502958266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0.2015011785683683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0.2015011785683683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155.21676085357123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15588.283805500001</v>
      </c>
      <c r="C5" s="17">
        <f>IF(ISERROR('Eigen informatie GS &amp; warmtenet'!B57),0,'Eigen informatie GS &amp; warmtenet'!B57)</f>
        <v>0</v>
      </c>
      <c r="D5" s="30">
        <f>(SUM(HH_hh_gas_kWh,HH_rest_gas_kWh)/1000)*0.902</f>
        <v>29386.665704000003</v>
      </c>
      <c r="E5" s="17">
        <f>B46*B57</f>
        <v>4112.7728553100123</v>
      </c>
      <c r="F5" s="17">
        <f>B51*B62</f>
        <v>9295.1850947970215</v>
      </c>
      <c r="G5" s="18"/>
      <c r="H5" s="17"/>
      <c r="I5" s="17"/>
      <c r="J5" s="17">
        <f>B50*B61+C50*C61</f>
        <v>2159.6973383926911</v>
      </c>
      <c r="K5" s="17"/>
      <c r="L5" s="17"/>
      <c r="M5" s="17"/>
      <c r="N5" s="17">
        <f>B48*B59+C48*C59</f>
        <v>9455.5035640801525</v>
      </c>
      <c r="O5" s="17">
        <f>B69*B70*B71</f>
        <v>125.06666666666666</v>
      </c>
      <c r="P5" s="17">
        <f>B77*B78*B79/1000-B77*B78*B79/1000/B80</f>
        <v>190.66666666666669</v>
      </c>
    </row>
    <row r="6" spans="1:16">
      <c r="A6" s="16" t="s">
        <v>631</v>
      </c>
      <c r="B6" s="789">
        <f>kWh_PV_kleiner_dan_10kW</f>
        <v>1674.1318288133946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17262.415634313395</v>
      </c>
      <c r="C8" s="21">
        <f>C5</f>
        <v>0</v>
      </c>
      <c r="D8" s="21">
        <f>D5</f>
        <v>29386.665704000003</v>
      </c>
      <c r="E8" s="21">
        <f>E5</f>
        <v>4112.7728553100123</v>
      </c>
      <c r="F8" s="21">
        <f>F5</f>
        <v>9295.1850947970215</v>
      </c>
      <c r="G8" s="21"/>
      <c r="H8" s="21"/>
      <c r="I8" s="21"/>
      <c r="J8" s="21">
        <f>J5</f>
        <v>2159.6973383926911</v>
      </c>
      <c r="K8" s="21"/>
      <c r="L8" s="21">
        <f>L5</f>
        <v>0</v>
      </c>
      <c r="M8" s="21">
        <f>M5</f>
        <v>0</v>
      </c>
      <c r="N8" s="21">
        <f>N5</f>
        <v>9455.5035640801525</v>
      </c>
      <c r="O8" s="21">
        <f>O5</f>
        <v>125.06666666666666</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0.2015011785683683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3478.3970952511759</v>
      </c>
      <c r="C12" s="23">
        <f ca="1">C10*C8</f>
        <v>0</v>
      </c>
      <c r="D12" s="23">
        <f>D8*D10</f>
        <v>5936.1064722080009</v>
      </c>
      <c r="E12" s="23">
        <f>E10*E8</f>
        <v>933.59943815537281</v>
      </c>
      <c r="F12" s="23">
        <f>F10*F8</f>
        <v>2481.814420310805</v>
      </c>
      <c r="G12" s="23"/>
      <c r="H12" s="23"/>
      <c r="I12" s="23"/>
      <c r="J12" s="23">
        <f>J10*J8</f>
        <v>764.53285779101259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3623</v>
      </c>
      <c r="C28" s="36"/>
      <c r="D28" s="228"/>
    </row>
    <row r="29" spans="1:7" s="15" customFormat="1">
      <c r="A29" s="230" t="s">
        <v>741</v>
      </c>
      <c r="B29" s="37">
        <f>SUM(HH_hh_gas_aantal,HH_rest_gas_aantal)</f>
        <v>1987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1987</v>
      </c>
      <c r="C32" s="167">
        <f>IF(ISERROR(B32/SUM($B$32,$B$34,$B$35,$B$36,$B$38,$B$39)*100),0,B32/SUM($B$32,$B$34,$B$35,$B$36,$B$38,$B$39)*100)</f>
        <v>54.995848325491281</v>
      </c>
      <c r="D32" s="233"/>
      <c r="G32" s="15"/>
    </row>
    <row r="33" spans="1:7">
      <c r="A33" s="171" t="s">
        <v>72</v>
      </c>
      <c r="B33" s="34" t="s">
        <v>111</v>
      </c>
      <c r="C33" s="167"/>
      <c r="D33" s="233"/>
      <c r="G33" s="15"/>
    </row>
    <row r="34" spans="1:7">
      <c r="A34" s="171" t="s">
        <v>73</v>
      </c>
      <c r="B34" s="33">
        <f>IF((($B$28-$B$32-$B$39-$B$77-$B$38)*C20/100)&lt;0,0,($B$28-$B$32-$B$39-$B$77-$B$38)*C20/100)</f>
        <v>275.64586357039184</v>
      </c>
      <c r="C34" s="167">
        <f>IF(ISERROR(B34/SUM($B$32,$B$34,$B$35,$B$36,$B$38,$B$39)*100),0,B34/SUM($B$32,$B$34,$B$35,$B$36,$B$38,$B$39)*100)</f>
        <v>7.6292793681259852</v>
      </c>
      <c r="D34" s="233"/>
      <c r="G34" s="15"/>
    </row>
    <row r="35" spans="1:7">
      <c r="A35" s="171" t="s">
        <v>74</v>
      </c>
      <c r="B35" s="33">
        <f>IF((($B$28-$B$32-$B$39-$B$77-$B$38)*C21/100)&lt;0,0,($B$28-$B$32-$B$39-$B$77-$B$38)*C21/100)</f>
        <v>744.24383164005803</v>
      </c>
      <c r="C35" s="167">
        <f>IF(ISERROR(B35/SUM($B$32,$B$34,$B$35,$B$36,$B$38,$B$39)*100),0,B35/SUM($B$32,$B$34,$B$35,$B$36,$B$38,$B$39)*100)</f>
        <v>20.59905429394016</v>
      </c>
      <c r="D35" s="233"/>
      <c r="G35" s="15"/>
    </row>
    <row r="36" spans="1:7">
      <c r="A36" s="171" t="s">
        <v>75</v>
      </c>
      <c r="B36" s="33">
        <f>IF((($B$28-$B$32-$B$39-$B$77-$B$38)*C22/100)&lt;0,0,($B$28-$B$32-$B$39-$B$77-$B$38)*C22/100)</f>
        <v>167.1103047895501</v>
      </c>
      <c r="C36" s="167">
        <f>IF(ISERROR(B36/SUM($B$32,$B$34,$B$35,$B$36,$B$38,$B$39)*100),0,B36/SUM($B$32,$B$34,$B$35,$B$36,$B$38,$B$39)*100)</f>
        <v>4.6252506169263796</v>
      </c>
      <c r="D36" s="233"/>
      <c r="G36" s="15"/>
    </row>
    <row r="37" spans="1:7">
      <c r="A37" s="171" t="s">
        <v>76</v>
      </c>
      <c r="B37" s="34" t="s">
        <v>111</v>
      </c>
      <c r="C37" s="167"/>
      <c r="D37" s="173"/>
      <c r="G37" s="15"/>
    </row>
    <row r="38" spans="1:7">
      <c r="A38" s="171" t="s">
        <v>77</v>
      </c>
      <c r="B38" s="33">
        <f>IF((B24-(B29-B18)*0.1)&lt;0,0,B24-(B29-B18)*0.1)</f>
        <v>61.399999999999991</v>
      </c>
      <c r="C38" s="167">
        <f>IF(ISERROR(B38/SUM($B$32,$B$34,$B$35,$B$36,$B$38,$B$39)*100),0,B38/SUM($B$32,$B$34,$B$35,$B$36,$B$38,$B$39)*100)</f>
        <v>1.6994187655687794</v>
      </c>
      <c r="D38" s="234"/>
      <c r="G38" s="15"/>
    </row>
    <row r="39" spans="1:7">
      <c r="A39" s="171" t="s">
        <v>78</v>
      </c>
      <c r="B39" s="33">
        <f>IF((B25-(B29-B18))&lt;0,0,B25-(B29-B18)*0.9)</f>
        <v>377.6</v>
      </c>
      <c r="C39" s="167">
        <f>IF(ISERROR(B39/SUM($B$32,$B$34,$B$35,$B$36,$B$38,$B$39)*100),0,B39/SUM($B$32,$B$34,$B$35,$B$36,$B$38,$B$39)*100)</f>
        <v>10.451148629947413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1987</v>
      </c>
      <c r="C44" s="34" t="s">
        <v>111</v>
      </c>
      <c r="D44" s="174"/>
    </row>
    <row r="45" spans="1:7">
      <c r="A45" s="171" t="s">
        <v>72</v>
      </c>
      <c r="B45" s="33" t="str">
        <f t="shared" si="0"/>
        <v>-</v>
      </c>
      <c r="C45" s="34" t="s">
        <v>111</v>
      </c>
      <c r="D45" s="174"/>
    </row>
    <row r="46" spans="1:7">
      <c r="A46" s="171" t="s">
        <v>73</v>
      </c>
      <c r="B46" s="33">
        <f t="shared" si="0"/>
        <v>275.64586357039184</v>
      </c>
      <c r="C46" s="34" t="s">
        <v>111</v>
      </c>
      <c r="D46" s="174"/>
    </row>
    <row r="47" spans="1:7">
      <c r="A47" s="171" t="s">
        <v>74</v>
      </c>
      <c r="B47" s="33">
        <f t="shared" si="0"/>
        <v>744.24383164005803</v>
      </c>
      <c r="C47" s="34" t="s">
        <v>111</v>
      </c>
      <c r="D47" s="174"/>
    </row>
    <row r="48" spans="1:7">
      <c r="A48" s="171" t="s">
        <v>75</v>
      </c>
      <c r="B48" s="33">
        <f t="shared" si="0"/>
        <v>167.1103047895501</v>
      </c>
      <c r="C48" s="33">
        <f>B48*10</f>
        <v>1671.103047895501</v>
      </c>
      <c r="D48" s="234"/>
    </row>
    <row r="49" spans="1:6">
      <c r="A49" s="171" t="s">
        <v>76</v>
      </c>
      <c r="B49" s="33" t="str">
        <f t="shared" si="0"/>
        <v>-</v>
      </c>
      <c r="C49" s="34" t="s">
        <v>111</v>
      </c>
      <c r="D49" s="234"/>
    </row>
    <row r="50" spans="1:6">
      <c r="A50" s="171" t="s">
        <v>77</v>
      </c>
      <c r="B50" s="33">
        <f t="shared" si="0"/>
        <v>61.399999999999991</v>
      </c>
      <c r="C50" s="33">
        <f>B50*2</f>
        <v>122.79999999999998</v>
      </c>
      <c r="D50" s="234"/>
    </row>
    <row r="51" spans="1:6">
      <c r="A51" s="171" t="s">
        <v>78</v>
      </c>
      <c r="B51" s="33">
        <f t="shared" si="0"/>
        <v>377.6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8802.8220000000001</v>
      </c>
      <c r="C5" s="17">
        <f>IF(ISERROR('Eigen informatie GS &amp; warmtenet'!B58),0,'Eigen informatie GS &amp; warmtenet'!B58)</f>
        <v>0</v>
      </c>
      <c r="D5" s="30">
        <f>SUM(D6:D12)</f>
        <v>9623.9295900000016</v>
      </c>
      <c r="E5" s="17">
        <f>SUM(E6:E12)</f>
        <v>88.406211022397613</v>
      </c>
      <c r="F5" s="17">
        <f>SUM(F6:F12)</f>
        <v>1299.1254090662642</v>
      </c>
      <c r="G5" s="18"/>
      <c r="H5" s="17"/>
      <c r="I5" s="17"/>
      <c r="J5" s="17">
        <f>SUM(J6:J12)</f>
        <v>0</v>
      </c>
      <c r="K5" s="17"/>
      <c r="L5" s="17"/>
      <c r="M5" s="17"/>
      <c r="N5" s="17">
        <f>SUM(N6:N12)</f>
        <v>786.75459547874698</v>
      </c>
      <c r="O5" s="17">
        <f>B38*B39*B40</f>
        <v>3.1266666666666669</v>
      </c>
      <c r="P5" s="17">
        <f>B46*B47*B48/1000-B46*B47*B48/1000/B49</f>
        <v>19.066666666666666</v>
      </c>
      <c r="R5" s="32"/>
    </row>
    <row r="6" spans="1:18">
      <c r="A6" s="32" t="s">
        <v>54</v>
      </c>
      <c r="B6" s="37">
        <f>B26</f>
        <v>1487.5920000000001</v>
      </c>
      <c r="C6" s="33"/>
      <c r="D6" s="37">
        <f>IF(ISERROR(TER_kantoor_gas_kWh/1000),0,TER_kantoor_gas_kWh/1000)*0.902</f>
        <v>1081.726206</v>
      </c>
      <c r="E6" s="33">
        <f>$C$26*'E Balans VL '!I12/100/3.6*1000000</f>
        <v>4.3097722846941515</v>
      </c>
      <c r="F6" s="33">
        <f>$C$26*('E Balans VL '!L12+'E Balans VL '!N12)/100/3.6*1000000</f>
        <v>168.36264020717999</v>
      </c>
      <c r="G6" s="34"/>
      <c r="H6" s="33"/>
      <c r="I6" s="33"/>
      <c r="J6" s="33">
        <f>$C$26*('E Balans VL '!D12+'E Balans VL '!E12)/100/3.6*1000000</f>
        <v>0</v>
      </c>
      <c r="K6" s="33"/>
      <c r="L6" s="33"/>
      <c r="M6" s="33"/>
      <c r="N6" s="33">
        <f>$C$26*'E Balans VL '!Y12/100/3.6*1000000</f>
        <v>14.889699813274586</v>
      </c>
      <c r="O6" s="33"/>
      <c r="P6" s="33"/>
      <c r="R6" s="32"/>
    </row>
    <row r="7" spans="1:18">
      <c r="A7" s="32" t="s">
        <v>53</v>
      </c>
      <c r="B7" s="37">
        <f t="shared" ref="B7:B12" si="0">B27</f>
        <v>674.01099999999997</v>
      </c>
      <c r="C7" s="33"/>
      <c r="D7" s="37">
        <f>IF(ISERROR(TER_horeca_gas_kWh/1000),0,TER_horeca_gas_kWh/1000)*0.902</f>
        <v>1316.0919640000002</v>
      </c>
      <c r="E7" s="33">
        <f>$C$27*'E Balans VL '!I9/100/3.6*1000000</f>
        <v>28.293098630484256</v>
      </c>
      <c r="F7" s="33">
        <f>$C$27*('E Balans VL '!L9+'E Balans VL '!N9)/100/3.6*1000000</f>
        <v>144.82508524734203</v>
      </c>
      <c r="G7" s="34"/>
      <c r="H7" s="33"/>
      <c r="I7" s="33"/>
      <c r="J7" s="33">
        <f>$C$27*('E Balans VL '!D9+'E Balans VL '!E9)/100/3.6*1000000</f>
        <v>0</v>
      </c>
      <c r="K7" s="33"/>
      <c r="L7" s="33"/>
      <c r="M7" s="33"/>
      <c r="N7" s="33">
        <f>$C$27*'E Balans VL '!Y9/100/3.6*1000000</f>
        <v>0.17368674025997058</v>
      </c>
      <c r="O7" s="33"/>
      <c r="P7" s="33"/>
      <c r="R7" s="32"/>
    </row>
    <row r="8" spans="1:18">
      <c r="A8" s="6" t="s">
        <v>52</v>
      </c>
      <c r="B8" s="37">
        <f t="shared" si="0"/>
        <v>4808.9409999999998</v>
      </c>
      <c r="C8" s="33"/>
      <c r="D8" s="37">
        <f>IF(ISERROR(TER_handel_gas_kWh/1000),0,TER_handel_gas_kWh/1000)*0.902</f>
        <v>2097.3006340000002</v>
      </c>
      <c r="E8" s="33">
        <f>$C$28*'E Balans VL '!I13/100/3.6*1000000</f>
        <v>51.652028707820641</v>
      </c>
      <c r="F8" s="33">
        <f>$C$28*('E Balans VL '!L13+'E Balans VL '!N13)/100/3.6*1000000</f>
        <v>622.5571238661355</v>
      </c>
      <c r="G8" s="34"/>
      <c r="H8" s="33"/>
      <c r="I8" s="33"/>
      <c r="J8" s="33">
        <f>$C$28*('E Balans VL '!D13+'E Balans VL '!E13)/100/3.6*1000000</f>
        <v>0</v>
      </c>
      <c r="K8" s="33"/>
      <c r="L8" s="33"/>
      <c r="M8" s="33"/>
      <c r="N8" s="33">
        <f>$C$28*'E Balans VL '!Y13/100/3.6*1000000</f>
        <v>39.010391971595439</v>
      </c>
      <c r="O8" s="33"/>
      <c r="P8" s="33"/>
      <c r="R8" s="32"/>
    </row>
    <row r="9" spans="1:18">
      <c r="A9" s="32" t="s">
        <v>51</v>
      </c>
      <c r="B9" s="37">
        <f t="shared" si="0"/>
        <v>546.03300000000002</v>
      </c>
      <c r="C9" s="33"/>
      <c r="D9" s="37">
        <f>IF(ISERROR(TER_gezond_gas_kWh/1000),0,TER_gezond_gas_kWh/1000)*0.902</f>
        <v>1255.09241</v>
      </c>
      <c r="E9" s="33">
        <f>$C$29*'E Balans VL '!I10/100/3.6*1000000</f>
        <v>0.43467758446828386</v>
      </c>
      <c r="F9" s="33">
        <f>$C$29*('E Balans VL '!L10+'E Balans VL '!N10)/100/3.6*1000000</f>
        <v>66.378202037585439</v>
      </c>
      <c r="G9" s="34"/>
      <c r="H9" s="33"/>
      <c r="I9" s="33"/>
      <c r="J9" s="33">
        <f>$C$29*('E Balans VL '!D10+'E Balans VL '!E10)/100/3.6*1000000</f>
        <v>0</v>
      </c>
      <c r="K9" s="33"/>
      <c r="L9" s="33"/>
      <c r="M9" s="33"/>
      <c r="N9" s="33">
        <f>$C$29*'E Balans VL '!Y10/100/3.6*1000000</f>
        <v>4.4107099120614759</v>
      </c>
      <c r="O9" s="33"/>
      <c r="P9" s="33"/>
      <c r="R9" s="32"/>
    </row>
    <row r="10" spans="1:18">
      <c r="A10" s="32" t="s">
        <v>50</v>
      </c>
      <c r="B10" s="37">
        <f t="shared" si="0"/>
        <v>1033.5219999999999</v>
      </c>
      <c r="C10" s="33"/>
      <c r="D10" s="37">
        <f>IF(ISERROR(TER_ander_gas_kWh/1000),0,TER_ander_gas_kWh/1000)*0.902</f>
        <v>1803.1151380000001</v>
      </c>
      <c r="E10" s="33">
        <f>$C$30*'E Balans VL '!I14/100/3.6*1000000</f>
        <v>3.5419341882861151</v>
      </c>
      <c r="F10" s="33">
        <f>$C$30*('E Balans VL '!L14+'E Balans VL '!N14)/100/3.6*1000000</f>
        <v>230.84681741306525</v>
      </c>
      <c r="G10" s="34"/>
      <c r="H10" s="33"/>
      <c r="I10" s="33"/>
      <c r="J10" s="33">
        <f>$C$30*('E Balans VL '!D14+'E Balans VL '!E14)/100/3.6*1000000</f>
        <v>0</v>
      </c>
      <c r="K10" s="33"/>
      <c r="L10" s="33"/>
      <c r="M10" s="33"/>
      <c r="N10" s="33">
        <f>$C$30*'E Balans VL '!Y14/100/3.6*1000000</f>
        <v>728.0185428203215</v>
      </c>
      <c r="O10" s="33"/>
      <c r="P10" s="33"/>
      <c r="R10" s="32"/>
    </row>
    <row r="11" spans="1:18">
      <c r="A11" s="32" t="s">
        <v>55</v>
      </c>
      <c r="B11" s="37">
        <f t="shared" si="0"/>
        <v>252.72300000000001</v>
      </c>
      <c r="C11" s="33"/>
      <c r="D11" s="37">
        <f>IF(ISERROR(TER_onderwijs_gas_kWh/1000),0,TER_onderwijs_gas_kWh/1000)*0.902</f>
        <v>2070.6032380000001</v>
      </c>
      <c r="E11" s="33">
        <f>$C$31*'E Balans VL '!I11/100/3.6*1000000</f>
        <v>0.17469962664415192</v>
      </c>
      <c r="F11" s="33">
        <f>$C$31*('E Balans VL '!L11+'E Balans VL '!N11)/100/3.6*1000000</f>
        <v>66.155540294955941</v>
      </c>
      <c r="G11" s="34"/>
      <c r="H11" s="33"/>
      <c r="I11" s="33"/>
      <c r="J11" s="33">
        <f>$C$31*('E Balans VL '!D11+'E Balans VL '!E11)/100/3.6*1000000</f>
        <v>0</v>
      </c>
      <c r="K11" s="33"/>
      <c r="L11" s="33"/>
      <c r="M11" s="33"/>
      <c r="N11" s="33">
        <f>$C$31*'E Balans VL '!Y11/100/3.6*1000000</f>
        <v>0.25156422123400857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8802.8220000000001</v>
      </c>
      <c r="C16" s="21">
        <f t="shared" ca="1" si="1"/>
        <v>0</v>
      </c>
      <c r="D16" s="21">
        <f t="shared" ca="1" si="1"/>
        <v>9623.9295900000016</v>
      </c>
      <c r="E16" s="21">
        <f t="shared" si="1"/>
        <v>88.406211022397613</v>
      </c>
      <c r="F16" s="21">
        <f t="shared" ca="1" si="1"/>
        <v>1299.1254090662642</v>
      </c>
      <c r="G16" s="21">
        <f t="shared" si="1"/>
        <v>0</v>
      </c>
      <c r="H16" s="21">
        <f t="shared" si="1"/>
        <v>0</v>
      </c>
      <c r="I16" s="21">
        <f t="shared" si="1"/>
        <v>0</v>
      </c>
      <c r="J16" s="21">
        <f t="shared" si="1"/>
        <v>0</v>
      </c>
      <c r="K16" s="21">
        <f t="shared" si="1"/>
        <v>0</v>
      </c>
      <c r="L16" s="21">
        <f t="shared" ca="1" si="1"/>
        <v>0</v>
      </c>
      <c r="M16" s="21">
        <f t="shared" si="1"/>
        <v>0</v>
      </c>
      <c r="N16" s="21">
        <f t="shared" ca="1" si="1"/>
        <v>786.75459547874698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0.2015011785683683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1773.7790077275611</v>
      </c>
      <c r="C20" s="23">
        <f t="shared" ref="C20:P20" ca="1" si="2">C16*C18</f>
        <v>0</v>
      </c>
      <c r="D20" s="23">
        <f t="shared" ca="1" si="2"/>
        <v>1944.0337771800005</v>
      </c>
      <c r="E20" s="23">
        <f t="shared" si="2"/>
        <v>20.068209902084259</v>
      </c>
      <c r="F20" s="23">
        <f t="shared" ca="1" si="2"/>
        <v>346.86648422069254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1487.5920000000001</v>
      </c>
      <c r="C26" s="39">
        <f>IF(ISERROR(B26*3.6/1000000/'E Balans VL '!Z12*100),0,B26*3.6/1000000/'E Balans VL '!Z12*100)</f>
        <v>3.2676678108570896E-2</v>
      </c>
      <c r="D26" s="237" t="s">
        <v>692</v>
      </c>
      <c r="F26" s="6"/>
    </row>
    <row r="27" spans="1:18">
      <c r="A27" s="231" t="s">
        <v>53</v>
      </c>
      <c r="B27" s="33">
        <f>IF(ISERROR(TER_horeca_ele_kWh/1000),0,TER_horeca_ele_kWh/1000)</f>
        <v>674.01099999999997</v>
      </c>
      <c r="C27" s="39">
        <f>IF(ISERROR(B27*3.6/1000000/'E Balans VL '!Z9*100),0,B27*3.6/1000000/'E Balans VL '!Z9*100)</f>
        <v>5.416350247100217E-2</v>
      </c>
      <c r="D27" s="237" t="s">
        <v>692</v>
      </c>
      <c r="F27" s="6"/>
    </row>
    <row r="28" spans="1:18">
      <c r="A28" s="171" t="s">
        <v>52</v>
      </c>
      <c r="B28" s="33">
        <f>IF(ISERROR(TER_handel_ele_kWh/1000),0,TER_handel_ele_kWh/1000)</f>
        <v>4808.9409999999998</v>
      </c>
      <c r="C28" s="39">
        <f>IF(ISERROR(B28*3.6/1000000/'E Balans VL '!Z13*100),0,B28*3.6/1000000/'E Balans VL '!Z13*100)</f>
        <v>0.14219702577327739</v>
      </c>
      <c r="D28" s="237" t="s">
        <v>692</v>
      </c>
      <c r="F28" s="6"/>
    </row>
    <row r="29" spans="1:18">
      <c r="A29" s="231" t="s">
        <v>51</v>
      </c>
      <c r="B29" s="33">
        <f>IF(ISERROR(TER_gezond_ele_kWh/1000),0,TER_gezond_ele_kWh/1000)</f>
        <v>546.03300000000002</v>
      </c>
      <c r="C29" s="39">
        <f>IF(ISERROR(B29*3.6/1000000/'E Balans VL '!Z10*100),0,B29*3.6/1000000/'E Balans VL '!Z10*100)</f>
        <v>6.1523821770622732E-2</v>
      </c>
      <c r="D29" s="237" t="s">
        <v>692</v>
      </c>
      <c r="F29" s="6"/>
    </row>
    <row r="30" spans="1:18">
      <c r="A30" s="231" t="s">
        <v>50</v>
      </c>
      <c r="B30" s="33">
        <f>IF(ISERROR(TER_ander_ele_kWh/1000),0,TER_ander_ele_kWh/1000)</f>
        <v>1033.5219999999999</v>
      </c>
      <c r="C30" s="39">
        <f>IF(ISERROR(B30*3.6/1000000/'E Balans VL '!Z14*100),0,B30*3.6/1000000/'E Balans VL '!Z14*100)</f>
        <v>7.8163502133944129E-2</v>
      </c>
      <c r="D30" s="237" t="s">
        <v>692</v>
      </c>
      <c r="F30" s="6"/>
    </row>
    <row r="31" spans="1:18">
      <c r="A31" s="231" t="s">
        <v>55</v>
      </c>
      <c r="B31" s="33">
        <f>IF(ISERROR(TER_onderwijs_ele_kWh/1000),0,TER_onderwijs_ele_kWh/1000)</f>
        <v>252.72300000000001</v>
      </c>
      <c r="C31" s="39">
        <f>IF(ISERROR(B31*3.6/1000000/'E Balans VL '!Z11*100),0,B31*3.6/1000000/'E Balans VL '!Z11*100)</f>
        <v>5.2459428087415466E-2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2797.3150000000001</v>
      </c>
      <c r="C5" s="17">
        <f>IF(ISERROR('Eigen informatie GS &amp; warmtenet'!B59),0,'Eigen informatie GS &amp; warmtenet'!B59)</f>
        <v>0</v>
      </c>
      <c r="D5" s="30">
        <f>SUM(D6:D15)</f>
        <v>1371.556846</v>
      </c>
      <c r="E5" s="17">
        <f>SUM(E6:E15)</f>
        <v>273.82207351405822</v>
      </c>
      <c r="F5" s="17">
        <f>SUM(F6:F15)</f>
        <v>2717.1345424816059</v>
      </c>
      <c r="G5" s="18"/>
      <c r="H5" s="17"/>
      <c r="I5" s="17"/>
      <c r="J5" s="17">
        <f>SUM(J6:J15)</f>
        <v>22.07306520173935</v>
      </c>
      <c r="K5" s="17"/>
      <c r="L5" s="17"/>
      <c r="M5" s="17"/>
      <c r="N5" s="17">
        <f>SUM(N6:N15)</f>
        <v>811.2877314548648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934.65</v>
      </c>
      <c r="C8" s="33"/>
      <c r="D8" s="37">
        <f>IF( ISERROR(IND_metaal_Gas_kWH/1000),0,IND_metaal_Gas_kWH/1000)*0.902</f>
        <v>65.518574000000001</v>
      </c>
      <c r="E8" s="33">
        <f>C30*'E Balans VL '!I18/100/3.6*1000000</f>
        <v>23.391018295080997</v>
      </c>
      <c r="F8" s="33">
        <f>C30*'E Balans VL '!L18/100/3.6*1000000+C30*'E Balans VL '!N18/100/3.6*1000000</f>
        <v>292.9239591881983</v>
      </c>
      <c r="G8" s="34"/>
      <c r="H8" s="33"/>
      <c r="I8" s="33"/>
      <c r="J8" s="40">
        <f>C30*'E Balans VL '!D18/100/3.6*1000000+C30*'E Balans VL '!E18/100/3.6*1000000</f>
        <v>0</v>
      </c>
      <c r="K8" s="33"/>
      <c r="L8" s="33"/>
      <c r="M8" s="33"/>
      <c r="N8" s="33">
        <f>C30*'E Balans VL '!Y18/100/3.6*1000000</f>
        <v>23.480833628266414</v>
      </c>
      <c r="O8" s="33"/>
      <c r="P8" s="33"/>
      <c r="R8" s="32"/>
    </row>
    <row r="9" spans="1:18">
      <c r="A9" s="6" t="s">
        <v>33</v>
      </c>
      <c r="B9" s="37">
        <f t="shared" si="0"/>
        <v>869.41099999999994</v>
      </c>
      <c r="C9" s="33"/>
      <c r="D9" s="37">
        <f>IF( ISERROR(IND_andere_gas_kWh/1000),0,IND_andere_gas_kWh/1000)*0.902</f>
        <v>703.52843000000007</v>
      </c>
      <c r="E9" s="33">
        <f>C31*'E Balans VL '!I19/100/3.6*1000000</f>
        <v>239.05236605950074</v>
      </c>
      <c r="F9" s="33">
        <f>C31*'E Balans VL '!L19/100/3.6*1000000+C31*'E Balans VL '!N19/100/3.6*1000000</f>
        <v>685.2471563761967</v>
      </c>
      <c r="G9" s="34"/>
      <c r="H9" s="33"/>
      <c r="I9" s="33"/>
      <c r="J9" s="40">
        <f>C31*'E Balans VL '!D19/100/3.6*1000000+C31*'E Balans VL '!E19/100/3.6*1000000</f>
        <v>0</v>
      </c>
      <c r="K9" s="33"/>
      <c r="L9" s="33"/>
      <c r="M9" s="33"/>
      <c r="N9" s="33">
        <f>C31*'E Balans VL '!Y19/100/3.6*1000000</f>
        <v>281.45128931019912</v>
      </c>
      <c r="O9" s="33"/>
      <c r="P9" s="33"/>
      <c r="R9" s="32"/>
    </row>
    <row r="10" spans="1:18">
      <c r="A10" s="6" t="s">
        <v>41</v>
      </c>
      <c r="B10" s="37">
        <f t="shared" si="0"/>
        <v>915.50599999999997</v>
      </c>
      <c r="C10" s="33"/>
      <c r="D10" s="37">
        <f>IF( ISERROR(IND_voed_gas_kWh/1000),0,IND_voed_gas_kWh/1000)*0.902</f>
        <v>483.78589599999998</v>
      </c>
      <c r="E10" s="33">
        <f>C32*'E Balans VL '!I20/100/3.6*1000000</f>
        <v>9.333079314866735</v>
      </c>
      <c r="F10" s="33">
        <f>C32*'E Balans VL '!L20/100/3.6*1000000+C32*'E Balans VL '!N20/100/3.6*1000000</f>
        <v>1729.3851080627003</v>
      </c>
      <c r="G10" s="34"/>
      <c r="H10" s="33"/>
      <c r="I10" s="33"/>
      <c r="J10" s="40">
        <f>C32*'E Balans VL '!D20/100/3.6*1000000+C32*'E Balans VL '!E20/100/3.6*1000000</f>
        <v>21.911054129194042</v>
      </c>
      <c r="K10" s="33"/>
      <c r="L10" s="33"/>
      <c r="M10" s="33"/>
      <c r="N10" s="33">
        <f>C32*'E Balans VL '!Y20/100/3.6*1000000</f>
        <v>482.57711536013289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39.131</v>
      </c>
      <c r="C13" s="33"/>
      <c r="D13" s="37">
        <f>IF( ISERROR(IND_papier_gas_kWh/1000),0,IND_papier_gas_kWh/1000)*0.902</f>
        <v>93.969458000000003</v>
      </c>
      <c r="E13" s="33">
        <f>C35*'E Balans VL '!I23/100/3.6*1000000</f>
        <v>8.1042942278899119E-2</v>
      </c>
      <c r="F13" s="33">
        <f>C35*'E Balans VL '!L23/100/3.6*1000000+C35*'E Balans VL '!N23/100/3.6*1000000</f>
        <v>0.77605162019634166</v>
      </c>
      <c r="G13" s="34"/>
      <c r="H13" s="33"/>
      <c r="I13" s="33"/>
      <c r="J13" s="40">
        <f>C35*'E Balans VL '!D23/100/3.6*1000000+C35*'E Balans VL '!E23/100/3.6*1000000</f>
        <v>0</v>
      </c>
      <c r="K13" s="33"/>
      <c r="L13" s="33"/>
      <c r="M13" s="33"/>
      <c r="N13" s="33">
        <f>C35*'E Balans VL '!Y23/100/3.6*1000000</f>
        <v>16.522981353240134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38.616999999999997</v>
      </c>
      <c r="C15" s="33"/>
      <c r="D15" s="37">
        <f>IF( ISERROR(IND_rest_gas_kWh/1000),0,IND_rest_gas_kWh/1000)*0.902</f>
        <v>24.754487999999998</v>
      </c>
      <c r="E15" s="33">
        <f>C37*'E Balans VL '!I15/100/3.6*1000000</f>
        <v>1.9645669023309014</v>
      </c>
      <c r="F15" s="33">
        <f>C37*'E Balans VL '!L15/100/3.6*1000000+C37*'E Balans VL '!N15/100/3.6*1000000</f>
        <v>8.8022672343138755</v>
      </c>
      <c r="G15" s="34"/>
      <c r="H15" s="33"/>
      <c r="I15" s="33"/>
      <c r="J15" s="40">
        <f>C37*'E Balans VL '!D15/100/3.6*1000000+C37*'E Balans VL '!E15/100/3.6*1000000</f>
        <v>0.16201107254530867</v>
      </c>
      <c r="K15" s="33"/>
      <c r="L15" s="33"/>
      <c r="M15" s="33"/>
      <c r="N15" s="33">
        <f>C37*'E Balans VL '!Y15/100/3.6*1000000</f>
        <v>7.2555118030264154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2797.3150000000001</v>
      </c>
      <c r="C18" s="21">
        <f>C5+C16</f>
        <v>0</v>
      </c>
      <c r="D18" s="21">
        <f>MAX((D5+D16),0)</f>
        <v>1371.556846</v>
      </c>
      <c r="E18" s="21">
        <f>MAX((E5+E16),0)</f>
        <v>273.82207351405822</v>
      </c>
      <c r="F18" s="21">
        <f>MAX((F5+F16),0)</f>
        <v>2717.1345424816059</v>
      </c>
      <c r="G18" s="21"/>
      <c r="H18" s="21"/>
      <c r="I18" s="21"/>
      <c r="J18" s="21">
        <f>MAX((J5+J16),0)</f>
        <v>22.07306520173935</v>
      </c>
      <c r="K18" s="21"/>
      <c r="L18" s="21">
        <f>MAX((L5+L16),0)</f>
        <v>0</v>
      </c>
      <c r="M18" s="21"/>
      <c r="N18" s="21">
        <f>MAX((N5+N16),0)</f>
        <v>811.2877314548648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0.2015011785683683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563.66226932697521</v>
      </c>
      <c r="C22" s="23">
        <f ca="1">C18*C20</f>
        <v>0</v>
      </c>
      <c r="D22" s="23">
        <f>D18*D20</f>
        <v>277.05448289200001</v>
      </c>
      <c r="E22" s="23">
        <f>E18*E20</f>
        <v>62.157610687691218</v>
      </c>
      <c r="F22" s="23">
        <f>F18*F20</f>
        <v>725.47492284258885</v>
      </c>
      <c r="G22" s="23"/>
      <c r="H22" s="23"/>
      <c r="I22" s="23"/>
      <c r="J22" s="23">
        <f>J18*J20</f>
        <v>7.81386508141573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934.65</v>
      </c>
      <c r="C30" s="39">
        <f>IF(ISERROR(B30*3.6/1000000/'E Balans VL '!Z18*100),0,B30*3.6/1000000/'E Balans VL '!Z18*100)</f>
        <v>0.13081985244465344</v>
      </c>
      <c r="D30" s="237" t="s">
        <v>692</v>
      </c>
    </row>
    <row r="31" spans="1:18">
      <c r="A31" s="6" t="s">
        <v>33</v>
      </c>
      <c r="B31" s="37">
        <f>IF( ISERROR(IND_ander_ele_kWh/1000),0,IND_ander_ele_kWh/1000)</f>
        <v>869.41099999999994</v>
      </c>
      <c r="C31" s="39">
        <f>IF(ISERROR(B31*3.6/1000000/'E Balans VL '!Z19*100),0,B31*3.6/1000000/'E Balans VL '!Z19*100)</f>
        <v>3.805397843149784E-2</v>
      </c>
      <c r="D31" s="237" t="s">
        <v>692</v>
      </c>
    </row>
    <row r="32" spans="1:18">
      <c r="A32" s="171" t="s">
        <v>41</v>
      </c>
      <c r="B32" s="37">
        <f>IF( ISERROR(IND_voed_ele_kWh/1000),0,IND_voed_ele_kWh/1000)</f>
        <v>915.50599999999997</v>
      </c>
      <c r="C32" s="39">
        <f>IF(ISERROR(B32*3.6/1000000/'E Balans VL '!Z20*100),0,B32*3.6/1000000/'E Balans VL '!Z20*100)</f>
        <v>0.22664888314535567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39.131</v>
      </c>
      <c r="C35" s="39">
        <f>IF(ISERROR(B35*3.6/1000000/'E Balans VL '!Z22*100),0,B35*3.6/1000000/'E Balans VL '!Z22*100)</f>
        <v>1.1103781341000819E-3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38.616999999999997</v>
      </c>
      <c r="C37" s="39">
        <f>IF(ISERROR(B37*3.6/1000000/'E Balans VL '!Z15*100),0,B37*3.6/1000000/'E Balans VL '!Z15*100)</f>
        <v>2.8633844348982437E-4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3200.7629999999999</v>
      </c>
      <c r="C5" s="17">
        <f>'Eigen informatie GS &amp; warmtenet'!B60</f>
        <v>0</v>
      </c>
      <c r="D5" s="30">
        <f>IF(ISERROR(SUM(LB_lb_gas_kWh,LB_rest_gas_kWh)/1000),0,SUM(LB_lb_gas_kWh,LB_rest_gas_kWh)/1000)*0.902</f>
        <v>112.153778</v>
      </c>
      <c r="E5" s="17">
        <f>B17*'E Balans VL '!I25/3.6*1000000/100</f>
        <v>29.646807508775186</v>
      </c>
      <c r="F5" s="17">
        <f>B17*('E Balans VL '!L25/3.6*1000000+'E Balans VL '!N25/3.6*1000000)/100</f>
        <v>8120.945475725769</v>
      </c>
      <c r="G5" s="18"/>
      <c r="H5" s="17"/>
      <c r="I5" s="17"/>
      <c r="J5" s="17">
        <f>('E Balans VL '!D25+'E Balans VL '!E25)/3.6*1000000*landbouw!B17/100</f>
        <v>490.71268851933411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3200.7629999999999</v>
      </c>
      <c r="C8" s="21">
        <f>C5+C6</f>
        <v>0</v>
      </c>
      <c r="D8" s="21">
        <f>MAX((D5+D6),0)</f>
        <v>112.153778</v>
      </c>
      <c r="E8" s="21">
        <f>MAX((E5+E6),0)</f>
        <v>29.646807508775186</v>
      </c>
      <c r="F8" s="21">
        <f>MAX((F5+F6),0)</f>
        <v>8120.945475725769</v>
      </c>
      <c r="G8" s="21"/>
      <c r="H8" s="21"/>
      <c r="I8" s="21"/>
      <c r="J8" s="21">
        <f>MAX((J5+J6),0)</f>
        <v>490.71268851933411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0.2015011785683683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644.95751681802619</v>
      </c>
      <c r="C12" s="23">
        <f ca="1">C8*C10</f>
        <v>0</v>
      </c>
      <c r="D12" s="23">
        <f>D8*D10</f>
        <v>22.655063156000001</v>
      </c>
      <c r="E12" s="23">
        <f>E8*E10</f>
        <v>6.7298253044919676</v>
      </c>
      <c r="F12" s="23">
        <f>F8*F10</f>
        <v>2168.2924420187805</v>
      </c>
      <c r="G12" s="23"/>
      <c r="H12" s="23"/>
      <c r="I12" s="23"/>
      <c r="J12" s="23">
        <f>J8*J10</f>
        <v>173.71229173584427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0.45508063069349552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674.21545333624135</v>
      </c>
      <c r="C26" s="247">
        <f>B26*'GWP N2O_CH4'!B5</f>
        <v>14158.524520061068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519.70666274559665</v>
      </c>
      <c r="C27" s="247">
        <f>B27*'GWP N2O_CH4'!B5</f>
        <v>10913.839917657529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9.7055977368089987</v>
      </c>
      <c r="C28" s="247">
        <f>B28*'GWP N2O_CH4'!B4</f>
        <v>3008.7352984107897</v>
      </c>
      <c r="D28" s="50"/>
    </row>
    <row r="29" spans="1:4">
      <c r="A29" s="41" t="s">
        <v>277</v>
      </c>
      <c r="B29" s="247">
        <f>B34*'ha_N2O bodem landbouw'!B4</f>
        <v>20.064574844343404</v>
      </c>
      <c r="C29" s="247">
        <f>B29*'GWP N2O_CH4'!B4</f>
        <v>6220.0182017464558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4.5001306537438236E-3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1.5693551029012692E-5</v>
      </c>
      <c r="C5" s="464" t="s">
        <v>211</v>
      </c>
      <c r="D5" s="449">
        <f>SUM(D6:D11)</f>
        <v>5.6117936687173956E-5</v>
      </c>
      <c r="E5" s="449">
        <f>SUM(E6:E11)</f>
        <v>3.42514073697825E-4</v>
      </c>
      <c r="F5" s="462" t="s">
        <v>211</v>
      </c>
      <c r="G5" s="449">
        <f>SUM(G6:G11)</f>
        <v>8.4200538166625927E-2</v>
      </c>
      <c r="H5" s="449">
        <f>SUM(H6:H11)</f>
        <v>2.0828202218326677E-2</v>
      </c>
      <c r="I5" s="464" t="s">
        <v>211</v>
      </c>
      <c r="J5" s="464" t="s">
        <v>211</v>
      </c>
      <c r="K5" s="464" t="s">
        <v>211</v>
      </c>
      <c r="L5" s="464" t="s">
        <v>211</v>
      </c>
      <c r="M5" s="449">
        <f>SUM(M6:M11)</f>
        <v>5.5117952911686802E-3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4.5485298459720901E-6</v>
      </c>
      <c r="C6" s="450"/>
      <c r="D6" s="893">
        <f>vkm_2011_GW_PW*SUMIFS(TableVerdeelsleutelVkm[CNG],TableVerdeelsleutelVkm[Voertuigtype],"Lichte voertuigen")*SUMIFS(TableECFTransport[EnergieConsumptieFactor (PJ per km)],TableECFTransport[Index],CONCATENATE($A6,"_CNG_CNG"))</f>
        <v>1.0521250306125144E-5</v>
      </c>
      <c r="E6" s="893">
        <f>vkm_2011_GW_PW*SUMIFS(TableVerdeelsleutelVkm[LPG],TableVerdeelsleutelVkm[Voertuigtype],"Lichte voertuigen")*SUMIFS(TableECFTransport[EnergieConsumptieFactor (PJ per km)],TableECFTransport[Index],CONCATENATE($A6,"_LPG_LPG"))</f>
        <v>6.8508028388395938E-5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1.4232036056804119E-2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4.0117168506006379E-3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9.4675620152339735E-4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8.8321829532390598E-3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3.0204461700935322E-6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5.1099184692978826E-4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1.1145021183040603E-5</v>
      </c>
      <c r="C8" s="450"/>
      <c r="D8" s="452">
        <f>vkm_2011_NGW_PW*SUMIFS(TableVerdeelsleutelVkm[CNG],TableVerdeelsleutelVkm[Voertuigtype],"Lichte voertuigen")*SUMIFS(TableECFTransport[EnergieConsumptieFactor (PJ per km)],TableECFTransport[Index],CONCATENATE($A8,"_CNG_CNG"))</f>
        <v>4.5596686381048808E-5</v>
      </c>
      <c r="E8" s="452">
        <f>vkm_2011_NGW_PW*SUMIFS(TableVerdeelsleutelVkm[LPG],TableVerdeelsleutelVkm[Voertuigtype],"Lichte voertuigen")*SUMIFS(TableECFTransport[EnergieConsumptieFactor (PJ per km)],TableECFTransport[Index],CONCATENATE($A8,"_LPG_LPG"))</f>
        <v>2.7400604530942904E-4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5.3211571466530591E-2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1.6810900565516332E-2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3.5955601567246405E-3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7.9247476900521675E-3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2.5643560396135181E-6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4.5848708599085435E-4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4.3593197302813032</v>
      </c>
      <c r="C14" s="21"/>
      <c r="D14" s="21">
        <f t="shared" ref="D14:M14" si="0">((D5)*10^9/3600)+D12</f>
        <v>15.58831574643721</v>
      </c>
      <c r="E14" s="21">
        <f t="shared" si="0"/>
        <v>95.142798249395838</v>
      </c>
      <c r="F14" s="21"/>
      <c r="G14" s="21">
        <f t="shared" si="0"/>
        <v>23389.038379618316</v>
      </c>
      <c r="H14" s="21">
        <f t="shared" si="0"/>
        <v>5785.6117273129657</v>
      </c>
      <c r="I14" s="21"/>
      <c r="J14" s="21"/>
      <c r="K14" s="21"/>
      <c r="L14" s="21"/>
      <c r="M14" s="21">
        <f t="shared" si="0"/>
        <v>1531.0542475468558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0.2015011785683683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0.87840806340802402</v>
      </c>
      <c r="C18" s="23"/>
      <c r="D18" s="23">
        <f t="shared" ref="D18:M18" si="1">D14*D16</f>
        <v>3.1488397807803166</v>
      </c>
      <c r="E18" s="23">
        <f t="shared" si="1"/>
        <v>21.597415202612854</v>
      </c>
      <c r="F18" s="23"/>
      <c r="G18" s="23">
        <f t="shared" si="1"/>
        <v>6244.8732473580903</v>
      </c>
      <c r="H18" s="23">
        <f t="shared" si="1"/>
        <v>1440.6173201009285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7.5968937442958599E-4</v>
      </c>
      <c r="H50" s="321">
        <f t="shared" si="2"/>
        <v>0</v>
      </c>
      <c r="I50" s="321">
        <f t="shared" si="2"/>
        <v>0</v>
      </c>
      <c r="J50" s="321">
        <f t="shared" si="2"/>
        <v>0</v>
      </c>
      <c r="K50" s="321">
        <f t="shared" si="2"/>
        <v>0</v>
      </c>
      <c r="L50" s="321">
        <f t="shared" si="2"/>
        <v>0</v>
      </c>
      <c r="M50" s="321">
        <f t="shared" si="2"/>
        <v>4.3322870409559928E-5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7.5968937442958599E-4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4.3322870409559928E-5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211.02482623044057</v>
      </c>
      <c r="H54" s="21">
        <f t="shared" si="3"/>
        <v>0</v>
      </c>
      <c r="I54" s="21">
        <f t="shared" si="3"/>
        <v>0</v>
      </c>
      <c r="J54" s="21">
        <f t="shared" si="3"/>
        <v>0</v>
      </c>
      <c r="K54" s="21">
        <f t="shared" si="3"/>
        <v>0</v>
      </c>
      <c r="L54" s="21">
        <f t="shared" si="3"/>
        <v>0</v>
      </c>
      <c r="M54" s="21">
        <f t="shared" si="3"/>
        <v>12.034130669322202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0.2015011785683683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56.343628603527634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9573.1239999999998</v>
      </c>
      <c r="D10" s="1025">
        <f ca="1">tertiair!C16</f>
        <v>0</v>
      </c>
      <c r="E10" s="1025">
        <f ca="1">tertiair!D16</f>
        <v>9623.9295900000016</v>
      </c>
      <c r="F10" s="1025">
        <f>tertiair!E16</f>
        <v>88.406211022397613</v>
      </c>
      <c r="G10" s="1025">
        <f ca="1">tertiair!F16</f>
        <v>1299.1254090662642</v>
      </c>
      <c r="H10" s="1025">
        <f>tertiair!G16</f>
        <v>0</v>
      </c>
      <c r="I10" s="1025">
        <f>tertiair!H16</f>
        <v>0</v>
      </c>
      <c r="J10" s="1025">
        <f>tertiair!I16</f>
        <v>0</v>
      </c>
      <c r="K10" s="1025">
        <f>tertiair!J16</f>
        <v>0</v>
      </c>
      <c r="L10" s="1025">
        <f>tertiair!K16</f>
        <v>0</v>
      </c>
      <c r="M10" s="1025">
        <f ca="1">tertiair!L16</f>
        <v>0</v>
      </c>
      <c r="N10" s="1025">
        <f>tertiair!M16</f>
        <v>0</v>
      </c>
      <c r="O10" s="1025">
        <f ca="1">tertiair!N16</f>
        <v>786.75459547874698</v>
      </c>
      <c r="P10" s="1025">
        <f>tertiair!O16</f>
        <v>3.1266666666666669</v>
      </c>
      <c r="Q10" s="1026">
        <f>tertiair!P16</f>
        <v>19.066666666666666</v>
      </c>
      <c r="R10" s="701">
        <f ca="1">SUM(C10:Q10)</f>
        <v>21393.533138900741</v>
      </c>
      <c r="S10" s="67"/>
    </row>
    <row r="11" spans="1:19" s="474" customFormat="1">
      <c r="A11" s="810" t="s">
        <v>225</v>
      </c>
      <c r="B11" s="815"/>
      <c r="C11" s="1025">
        <f>huishoudens!B8</f>
        <v>17262.415634313395</v>
      </c>
      <c r="D11" s="1025">
        <f>huishoudens!C8</f>
        <v>0</v>
      </c>
      <c r="E11" s="1025">
        <f>huishoudens!D8</f>
        <v>29386.665704000003</v>
      </c>
      <c r="F11" s="1025">
        <f>huishoudens!E8</f>
        <v>4112.7728553100123</v>
      </c>
      <c r="G11" s="1025">
        <f>huishoudens!F8</f>
        <v>9295.1850947970215</v>
      </c>
      <c r="H11" s="1025">
        <f>huishoudens!G8</f>
        <v>0</v>
      </c>
      <c r="I11" s="1025">
        <f>huishoudens!H8</f>
        <v>0</v>
      </c>
      <c r="J11" s="1025">
        <f>huishoudens!I8</f>
        <v>0</v>
      </c>
      <c r="K11" s="1025">
        <f>huishoudens!J8</f>
        <v>2159.6973383926911</v>
      </c>
      <c r="L11" s="1025">
        <f>huishoudens!K8</f>
        <v>0</v>
      </c>
      <c r="M11" s="1025">
        <f>huishoudens!L8</f>
        <v>0</v>
      </c>
      <c r="N11" s="1025">
        <f>huishoudens!M8</f>
        <v>0</v>
      </c>
      <c r="O11" s="1025">
        <f>huishoudens!N8</f>
        <v>9455.5035640801525</v>
      </c>
      <c r="P11" s="1025">
        <f>huishoudens!O8</f>
        <v>125.06666666666666</v>
      </c>
      <c r="Q11" s="1026">
        <f>huishoudens!P8</f>
        <v>190.66666666666669</v>
      </c>
      <c r="R11" s="701">
        <f>SUM(C11:Q11)</f>
        <v>71987.973524226603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2797.3150000000001</v>
      </c>
      <c r="D13" s="1025">
        <f>industrie!C18</f>
        <v>0</v>
      </c>
      <c r="E13" s="1025">
        <f>industrie!D18</f>
        <v>1371.556846</v>
      </c>
      <c r="F13" s="1025">
        <f>industrie!E18</f>
        <v>273.82207351405822</v>
      </c>
      <c r="G13" s="1025">
        <f>industrie!F18</f>
        <v>2717.1345424816059</v>
      </c>
      <c r="H13" s="1025">
        <f>industrie!G18</f>
        <v>0</v>
      </c>
      <c r="I13" s="1025">
        <f>industrie!H18</f>
        <v>0</v>
      </c>
      <c r="J13" s="1025">
        <f>industrie!I18</f>
        <v>0</v>
      </c>
      <c r="K13" s="1025">
        <f>industrie!J18</f>
        <v>22.07306520173935</v>
      </c>
      <c r="L13" s="1025">
        <f>industrie!K18</f>
        <v>0</v>
      </c>
      <c r="M13" s="1025">
        <f>industrie!L18</f>
        <v>0</v>
      </c>
      <c r="N13" s="1025">
        <f>industrie!M18</f>
        <v>0</v>
      </c>
      <c r="O13" s="1025">
        <f>industrie!N18</f>
        <v>811.2877314548648</v>
      </c>
      <c r="P13" s="1025">
        <f>industrie!O18</f>
        <v>0</v>
      </c>
      <c r="Q13" s="1026">
        <f>industrie!P18</f>
        <v>0</v>
      </c>
      <c r="R13" s="701">
        <f>SUM(C13:Q13)</f>
        <v>7993.189258652269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29632.854634313393</v>
      </c>
      <c r="D16" s="733">
        <f t="shared" ref="D16:R16" ca="1" si="0">SUM(D9:D15)</f>
        <v>0</v>
      </c>
      <c r="E16" s="733">
        <f t="shared" ca="1" si="0"/>
        <v>40382.152140000006</v>
      </c>
      <c r="F16" s="733">
        <f t="shared" si="0"/>
        <v>4475.0011398464685</v>
      </c>
      <c r="G16" s="733">
        <f t="shared" ca="1" si="0"/>
        <v>13311.445046344892</v>
      </c>
      <c r="H16" s="733">
        <f t="shared" si="0"/>
        <v>0</v>
      </c>
      <c r="I16" s="733">
        <f t="shared" si="0"/>
        <v>0</v>
      </c>
      <c r="J16" s="733">
        <f t="shared" si="0"/>
        <v>0</v>
      </c>
      <c r="K16" s="733">
        <f t="shared" si="0"/>
        <v>2181.7704035944303</v>
      </c>
      <c r="L16" s="733">
        <f t="shared" si="0"/>
        <v>0</v>
      </c>
      <c r="M16" s="733">
        <f t="shared" ca="1" si="0"/>
        <v>0</v>
      </c>
      <c r="N16" s="733">
        <f t="shared" si="0"/>
        <v>0</v>
      </c>
      <c r="O16" s="733">
        <f t="shared" ca="1" si="0"/>
        <v>11053.545891013764</v>
      </c>
      <c r="P16" s="733">
        <f t="shared" si="0"/>
        <v>128.19333333333333</v>
      </c>
      <c r="Q16" s="733">
        <f t="shared" si="0"/>
        <v>209.73333333333335</v>
      </c>
      <c r="R16" s="733">
        <f t="shared" ca="1" si="0"/>
        <v>101374.69592177961</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211.02482623044057</v>
      </c>
      <c r="I19" s="1025">
        <f>transport!H54</f>
        <v>0</v>
      </c>
      <c r="J19" s="1025">
        <f>transport!I54</f>
        <v>0</v>
      </c>
      <c r="K19" s="1025">
        <f>transport!J54</f>
        <v>0</v>
      </c>
      <c r="L19" s="1025">
        <f>transport!K54</f>
        <v>0</v>
      </c>
      <c r="M19" s="1025">
        <f>transport!L54</f>
        <v>0</v>
      </c>
      <c r="N19" s="1025">
        <f>transport!M54</f>
        <v>12.034130669322202</v>
      </c>
      <c r="O19" s="1025">
        <f>transport!N54</f>
        <v>0</v>
      </c>
      <c r="P19" s="1025">
        <f>transport!O54</f>
        <v>0</v>
      </c>
      <c r="Q19" s="1026">
        <f>transport!P54</f>
        <v>0</v>
      </c>
      <c r="R19" s="701">
        <f>SUM(C19:Q19)</f>
        <v>223.05895689976276</v>
      </c>
      <c r="S19" s="67"/>
    </row>
    <row r="20" spans="1:19" s="474" customFormat="1">
      <c r="A20" s="810" t="s">
        <v>307</v>
      </c>
      <c r="B20" s="815"/>
      <c r="C20" s="1025">
        <f>transport!B14</f>
        <v>4.3593197302813032</v>
      </c>
      <c r="D20" s="1025">
        <f>transport!C14</f>
        <v>0</v>
      </c>
      <c r="E20" s="1025">
        <f>transport!D14</f>
        <v>15.58831574643721</v>
      </c>
      <c r="F20" s="1025">
        <f>transport!E14</f>
        <v>95.142798249395838</v>
      </c>
      <c r="G20" s="1025">
        <f>transport!F14</f>
        <v>0</v>
      </c>
      <c r="H20" s="1025">
        <f>transport!G14</f>
        <v>23389.038379618316</v>
      </c>
      <c r="I20" s="1025">
        <f>transport!H14</f>
        <v>5785.6117273129657</v>
      </c>
      <c r="J20" s="1025">
        <f>transport!I14</f>
        <v>0</v>
      </c>
      <c r="K20" s="1025">
        <f>transport!J14</f>
        <v>0</v>
      </c>
      <c r="L20" s="1025">
        <f>transport!K14</f>
        <v>0</v>
      </c>
      <c r="M20" s="1025">
        <f>transport!L14</f>
        <v>0</v>
      </c>
      <c r="N20" s="1025">
        <f>transport!M14</f>
        <v>1531.0542475468558</v>
      </c>
      <c r="O20" s="1025">
        <f>transport!N14</f>
        <v>0</v>
      </c>
      <c r="P20" s="1025">
        <f>transport!O14</f>
        <v>0</v>
      </c>
      <c r="Q20" s="1026">
        <f>transport!P14</f>
        <v>0</v>
      </c>
      <c r="R20" s="701">
        <f>SUM(C20:Q20)</f>
        <v>30820.794788204254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4.3593197302813032</v>
      </c>
      <c r="D22" s="813">
        <f t="shared" ref="D22:R22" si="1">SUM(D18:D21)</f>
        <v>0</v>
      </c>
      <c r="E22" s="813">
        <f t="shared" si="1"/>
        <v>15.58831574643721</v>
      </c>
      <c r="F22" s="813">
        <f t="shared" si="1"/>
        <v>95.142798249395838</v>
      </c>
      <c r="G22" s="813">
        <f t="shared" si="1"/>
        <v>0</v>
      </c>
      <c r="H22" s="813">
        <f t="shared" si="1"/>
        <v>23600.063205848757</v>
      </c>
      <c r="I22" s="813">
        <f t="shared" si="1"/>
        <v>5785.6117273129657</v>
      </c>
      <c r="J22" s="813">
        <f t="shared" si="1"/>
        <v>0</v>
      </c>
      <c r="K22" s="813">
        <f t="shared" si="1"/>
        <v>0</v>
      </c>
      <c r="L22" s="813">
        <f t="shared" si="1"/>
        <v>0</v>
      </c>
      <c r="M22" s="813">
        <f t="shared" si="1"/>
        <v>0</v>
      </c>
      <c r="N22" s="813">
        <f t="shared" si="1"/>
        <v>1543.0883782161779</v>
      </c>
      <c r="O22" s="813">
        <f t="shared" si="1"/>
        <v>0</v>
      </c>
      <c r="P22" s="813">
        <f t="shared" si="1"/>
        <v>0</v>
      </c>
      <c r="Q22" s="813">
        <f t="shared" si="1"/>
        <v>0</v>
      </c>
      <c r="R22" s="813">
        <f t="shared" si="1"/>
        <v>31043.853745104017</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3200.7629999999999</v>
      </c>
      <c r="D24" s="1025">
        <f>+landbouw!C8</f>
        <v>0</v>
      </c>
      <c r="E24" s="1025">
        <f>+landbouw!D8</f>
        <v>112.153778</v>
      </c>
      <c r="F24" s="1025">
        <f>+landbouw!E8</f>
        <v>29.646807508775186</v>
      </c>
      <c r="G24" s="1025">
        <f>+landbouw!F8</f>
        <v>8120.945475725769</v>
      </c>
      <c r="H24" s="1025">
        <f>+landbouw!G8</f>
        <v>0</v>
      </c>
      <c r="I24" s="1025">
        <f>+landbouw!H8</f>
        <v>0</v>
      </c>
      <c r="J24" s="1025">
        <f>+landbouw!I8</f>
        <v>0</v>
      </c>
      <c r="K24" s="1025">
        <f>+landbouw!J8</f>
        <v>490.71268851933411</v>
      </c>
      <c r="L24" s="1025">
        <f>+landbouw!K8</f>
        <v>0</v>
      </c>
      <c r="M24" s="1025">
        <f>+landbouw!L8</f>
        <v>0</v>
      </c>
      <c r="N24" s="1025">
        <f>+landbouw!M8</f>
        <v>0</v>
      </c>
      <c r="O24" s="1025">
        <f>+landbouw!N8</f>
        <v>0</v>
      </c>
      <c r="P24" s="1025">
        <f>+landbouw!O8</f>
        <v>0</v>
      </c>
      <c r="Q24" s="1026">
        <f>+landbouw!P8</f>
        <v>0</v>
      </c>
      <c r="R24" s="701">
        <f>SUM(C24:Q24)</f>
        <v>11954.221749753879</v>
      </c>
      <c r="S24" s="67"/>
    </row>
    <row r="25" spans="1:19" s="474" customFormat="1" ht="15" thickBot="1">
      <c r="A25" s="832" t="s">
        <v>864</v>
      </c>
      <c r="B25" s="1028"/>
      <c r="C25" s="1029">
        <f>IF(Onbekend_ele_kWh="---",0,Onbekend_ele_kWh)/1000+IF(REST_rest_ele_kWh="---",0,REST_rest_ele_kWh)/1000</f>
        <v>261.57799999999997</v>
      </c>
      <c r="D25" s="1029"/>
      <c r="E25" s="1029">
        <f>IF(onbekend_gas_kWh="---",0,onbekend_gas_kWh)/1000+IF(REST_rest_gas_kWh="---",0,REST_rest_gas_kWh)/1000</f>
        <v>504.827</v>
      </c>
      <c r="F25" s="1029"/>
      <c r="G25" s="1029"/>
      <c r="H25" s="1029"/>
      <c r="I25" s="1029"/>
      <c r="J25" s="1029"/>
      <c r="K25" s="1029"/>
      <c r="L25" s="1029"/>
      <c r="M25" s="1029"/>
      <c r="N25" s="1029"/>
      <c r="O25" s="1029"/>
      <c r="P25" s="1029"/>
      <c r="Q25" s="1030"/>
      <c r="R25" s="701">
        <f>SUM(C25:Q25)</f>
        <v>766.40499999999997</v>
      </c>
      <c r="S25" s="67"/>
    </row>
    <row r="26" spans="1:19" s="474" customFormat="1" ht="15.75" thickBot="1">
      <c r="A26" s="706" t="s">
        <v>865</v>
      </c>
      <c r="B26" s="818"/>
      <c r="C26" s="813">
        <f>SUM(C24:C25)</f>
        <v>3462.3409999999999</v>
      </c>
      <c r="D26" s="813">
        <f t="shared" ref="D26:R26" si="2">SUM(D24:D25)</f>
        <v>0</v>
      </c>
      <c r="E26" s="813">
        <f t="shared" si="2"/>
        <v>616.98077799999999</v>
      </c>
      <c r="F26" s="813">
        <f t="shared" si="2"/>
        <v>29.646807508775186</v>
      </c>
      <c r="G26" s="813">
        <f t="shared" si="2"/>
        <v>8120.945475725769</v>
      </c>
      <c r="H26" s="813">
        <f t="shared" si="2"/>
        <v>0</v>
      </c>
      <c r="I26" s="813">
        <f t="shared" si="2"/>
        <v>0</v>
      </c>
      <c r="J26" s="813">
        <f t="shared" si="2"/>
        <v>0</v>
      </c>
      <c r="K26" s="813">
        <f t="shared" si="2"/>
        <v>490.71268851933411</v>
      </c>
      <c r="L26" s="813">
        <f t="shared" si="2"/>
        <v>0</v>
      </c>
      <c r="M26" s="813">
        <f t="shared" si="2"/>
        <v>0</v>
      </c>
      <c r="N26" s="813">
        <f t="shared" si="2"/>
        <v>0</v>
      </c>
      <c r="O26" s="813">
        <f t="shared" si="2"/>
        <v>0</v>
      </c>
      <c r="P26" s="813">
        <f t="shared" si="2"/>
        <v>0</v>
      </c>
      <c r="Q26" s="813">
        <f t="shared" si="2"/>
        <v>0</v>
      </c>
      <c r="R26" s="813">
        <f t="shared" si="2"/>
        <v>12720.626749753879</v>
      </c>
      <c r="S26" s="67"/>
    </row>
    <row r="27" spans="1:19" s="474" customFormat="1" ht="17.25" thickTop="1" thickBot="1">
      <c r="A27" s="707" t="s">
        <v>116</v>
      </c>
      <c r="B27" s="806"/>
      <c r="C27" s="708">
        <f ca="1">C22+C16+C26</f>
        <v>33099.55495404367</v>
      </c>
      <c r="D27" s="708">
        <f t="shared" ref="D27:R27" ca="1" si="3">D22+D16+D26</f>
        <v>0</v>
      </c>
      <c r="E27" s="708">
        <f t="shared" ca="1" si="3"/>
        <v>41014.721233746437</v>
      </c>
      <c r="F27" s="708">
        <f t="shared" si="3"/>
        <v>4599.7907456046396</v>
      </c>
      <c r="G27" s="708">
        <f t="shared" ca="1" si="3"/>
        <v>21432.390522070662</v>
      </c>
      <c r="H27" s="708">
        <f t="shared" si="3"/>
        <v>23600.063205848757</v>
      </c>
      <c r="I27" s="708">
        <f t="shared" si="3"/>
        <v>5785.6117273129657</v>
      </c>
      <c r="J27" s="708">
        <f t="shared" si="3"/>
        <v>0</v>
      </c>
      <c r="K27" s="708">
        <f t="shared" si="3"/>
        <v>2672.4830921137645</v>
      </c>
      <c r="L27" s="708">
        <f t="shared" si="3"/>
        <v>0</v>
      </c>
      <c r="M27" s="708">
        <f t="shared" ca="1" si="3"/>
        <v>0</v>
      </c>
      <c r="N27" s="708">
        <f t="shared" si="3"/>
        <v>1543.0883782161779</v>
      </c>
      <c r="O27" s="708">
        <f t="shared" ca="1" si="3"/>
        <v>11053.545891013764</v>
      </c>
      <c r="P27" s="708">
        <f t="shared" si="3"/>
        <v>128.19333333333333</v>
      </c>
      <c r="Q27" s="708">
        <f t="shared" si="3"/>
        <v>209.73333333333335</v>
      </c>
      <c r="R27" s="708">
        <f t="shared" ca="1" si="3"/>
        <v>145139.17641663749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1928.9957685811323</v>
      </c>
      <c r="D40" s="1025">
        <f ca="1">tertiair!C20</f>
        <v>0</v>
      </c>
      <c r="E40" s="1025">
        <f ca="1">tertiair!D20</f>
        <v>1944.0337771800005</v>
      </c>
      <c r="F40" s="1025">
        <f>tertiair!E20</f>
        <v>20.068209902084259</v>
      </c>
      <c r="G40" s="1025">
        <f ca="1">tertiair!F20</f>
        <v>346.86648422069254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4239.9642398839096</v>
      </c>
    </row>
    <row r="41" spans="1:18">
      <c r="A41" s="823" t="s">
        <v>225</v>
      </c>
      <c r="B41" s="830"/>
      <c r="C41" s="1025">
        <f ca="1">huishoudens!B12</f>
        <v>3478.3970952511759</v>
      </c>
      <c r="D41" s="1025">
        <f ca="1">huishoudens!C12</f>
        <v>0</v>
      </c>
      <c r="E41" s="1025">
        <f>huishoudens!D12</f>
        <v>5936.1064722080009</v>
      </c>
      <c r="F41" s="1025">
        <f>huishoudens!E12</f>
        <v>933.59943815537281</v>
      </c>
      <c r="G41" s="1025">
        <f>huishoudens!F12</f>
        <v>2481.814420310805</v>
      </c>
      <c r="H41" s="1025">
        <f>huishoudens!G12</f>
        <v>0</v>
      </c>
      <c r="I41" s="1025">
        <f>huishoudens!H12</f>
        <v>0</v>
      </c>
      <c r="J41" s="1025">
        <f>huishoudens!I12</f>
        <v>0</v>
      </c>
      <c r="K41" s="1025">
        <f>huishoudens!J12</f>
        <v>764.53285779101259</v>
      </c>
      <c r="L41" s="1025">
        <f>huishoudens!K12</f>
        <v>0</v>
      </c>
      <c r="M41" s="1025">
        <f>huishoudens!L12</f>
        <v>0</v>
      </c>
      <c r="N41" s="1025">
        <f>huishoudens!M12</f>
        <v>0</v>
      </c>
      <c r="O41" s="1025">
        <f>huishoudens!N12</f>
        <v>0</v>
      </c>
      <c r="P41" s="1025">
        <f>huishoudens!O12</f>
        <v>0</v>
      </c>
      <c r="Q41" s="775">
        <f>huishoudens!P12</f>
        <v>0</v>
      </c>
      <c r="R41" s="851">
        <f t="shared" ca="1" si="4"/>
        <v>13594.450283716369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563.66226932697521</v>
      </c>
      <c r="D43" s="1025">
        <f ca="1">industrie!C22</f>
        <v>0</v>
      </c>
      <c r="E43" s="1025">
        <f>industrie!D22</f>
        <v>277.05448289200001</v>
      </c>
      <c r="F43" s="1025">
        <f>industrie!E22</f>
        <v>62.157610687691218</v>
      </c>
      <c r="G43" s="1025">
        <f>industrie!F22</f>
        <v>725.47492284258885</v>
      </c>
      <c r="H43" s="1025">
        <f>industrie!G22</f>
        <v>0</v>
      </c>
      <c r="I43" s="1025">
        <f>industrie!H22</f>
        <v>0</v>
      </c>
      <c r="J43" s="1025">
        <f>industrie!I22</f>
        <v>0</v>
      </c>
      <c r="K43" s="1025">
        <f>industrie!J22</f>
        <v>7.81386508141573</v>
      </c>
      <c r="L43" s="1025">
        <f>industrie!K22</f>
        <v>0</v>
      </c>
      <c r="M43" s="1025">
        <f>industrie!L22</f>
        <v>0</v>
      </c>
      <c r="N43" s="1025">
        <f>industrie!M22</f>
        <v>0</v>
      </c>
      <c r="O43" s="1025">
        <f>industrie!N22</f>
        <v>0</v>
      </c>
      <c r="P43" s="1025">
        <f>industrie!O22</f>
        <v>0</v>
      </c>
      <c r="Q43" s="775">
        <f>industrie!P22</f>
        <v>0</v>
      </c>
      <c r="R43" s="850">
        <f t="shared" ca="1" si="4"/>
        <v>1636.1631508306709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5971.0551331592842</v>
      </c>
      <c r="D46" s="733">
        <f t="shared" ref="D46:Q46" ca="1" si="5">SUM(D39:D45)</f>
        <v>0</v>
      </c>
      <c r="E46" s="733">
        <f t="shared" ca="1" si="5"/>
        <v>8157.1947322800015</v>
      </c>
      <c r="F46" s="733">
        <f t="shared" si="5"/>
        <v>1015.8252587451483</v>
      </c>
      <c r="G46" s="733">
        <f t="shared" ca="1" si="5"/>
        <v>3554.1558273740866</v>
      </c>
      <c r="H46" s="733">
        <f t="shared" si="5"/>
        <v>0</v>
      </c>
      <c r="I46" s="733">
        <f t="shared" si="5"/>
        <v>0</v>
      </c>
      <c r="J46" s="733">
        <f t="shared" si="5"/>
        <v>0</v>
      </c>
      <c r="K46" s="733">
        <f t="shared" si="5"/>
        <v>772.34672287242836</v>
      </c>
      <c r="L46" s="733">
        <f t="shared" si="5"/>
        <v>0</v>
      </c>
      <c r="M46" s="733">
        <f t="shared" ca="1" si="5"/>
        <v>0</v>
      </c>
      <c r="N46" s="733">
        <f t="shared" si="5"/>
        <v>0</v>
      </c>
      <c r="O46" s="733">
        <f t="shared" ca="1" si="5"/>
        <v>0</v>
      </c>
      <c r="P46" s="733">
        <f t="shared" si="5"/>
        <v>0</v>
      </c>
      <c r="Q46" s="733">
        <f t="shared" si="5"/>
        <v>0</v>
      </c>
      <c r="R46" s="733">
        <f ca="1">SUM(R39:R45)</f>
        <v>19470.577674430951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56.343628603527634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56.343628603527634</v>
      </c>
    </row>
    <row r="50" spans="1:18">
      <c r="A50" s="826" t="s">
        <v>307</v>
      </c>
      <c r="B50" s="836"/>
      <c r="C50" s="704">
        <f ca="1">transport!B18</f>
        <v>0.87840806340802402</v>
      </c>
      <c r="D50" s="704">
        <f>transport!C18</f>
        <v>0</v>
      </c>
      <c r="E50" s="704">
        <f>transport!D18</f>
        <v>3.1488397807803166</v>
      </c>
      <c r="F50" s="704">
        <f>transport!E18</f>
        <v>21.597415202612854</v>
      </c>
      <c r="G50" s="704">
        <f>transport!F18</f>
        <v>0</v>
      </c>
      <c r="H50" s="704">
        <f>transport!G18</f>
        <v>6244.8732473580903</v>
      </c>
      <c r="I50" s="704">
        <f>transport!H18</f>
        <v>1440.6173201009285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7711.1152305058204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0.87840806340802402</v>
      </c>
      <c r="D52" s="733">
        <f t="shared" ref="D52:Q52" ca="1" si="6">SUM(D48:D51)</f>
        <v>0</v>
      </c>
      <c r="E52" s="733">
        <f t="shared" si="6"/>
        <v>3.1488397807803166</v>
      </c>
      <c r="F52" s="733">
        <f t="shared" si="6"/>
        <v>21.597415202612854</v>
      </c>
      <c r="G52" s="733">
        <f t="shared" si="6"/>
        <v>0</v>
      </c>
      <c r="H52" s="733">
        <f t="shared" si="6"/>
        <v>6301.2168759616179</v>
      </c>
      <c r="I52" s="733">
        <f t="shared" si="6"/>
        <v>1440.6173201009285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7767.4588591093479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644.95751681802619</v>
      </c>
      <c r="D54" s="704">
        <f ca="1">+landbouw!C12</f>
        <v>0</v>
      </c>
      <c r="E54" s="704">
        <f>+landbouw!D12</f>
        <v>22.655063156000001</v>
      </c>
      <c r="F54" s="704">
        <f>+landbouw!E12</f>
        <v>6.7298253044919676</v>
      </c>
      <c r="G54" s="704">
        <f>+landbouw!F12</f>
        <v>2168.2924420187805</v>
      </c>
      <c r="H54" s="704">
        <f>+landbouw!G12</f>
        <v>0</v>
      </c>
      <c r="I54" s="704">
        <f>+landbouw!H12</f>
        <v>0</v>
      </c>
      <c r="J54" s="704">
        <f>+landbouw!I12</f>
        <v>0</v>
      </c>
      <c r="K54" s="704">
        <f>+landbouw!J12</f>
        <v>173.71229173584427</v>
      </c>
      <c r="L54" s="704">
        <f>+landbouw!K12</f>
        <v>0</v>
      </c>
      <c r="M54" s="704">
        <f>+landbouw!L12</f>
        <v>0</v>
      </c>
      <c r="N54" s="704">
        <f>+landbouw!M12</f>
        <v>0</v>
      </c>
      <c r="O54" s="704">
        <f>+landbouw!N12</f>
        <v>0</v>
      </c>
      <c r="P54" s="704">
        <f>+landbouw!O12</f>
        <v>0</v>
      </c>
      <c r="Q54" s="705">
        <f>+landbouw!P12</f>
        <v>0</v>
      </c>
      <c r="R54" s="732">
        <f ca="1">SUM(C54:Q54)</f>
        <v>3016.3471390331429</v>
      </c>
    </row>
    <row r="55" spans="1:18" ht="15" thickBot="1">
      <c r="A55" s="826" t="s">
        <v>864</v>
      </c>
      <c r="B55" s="836"/>
      <c r="C55" s="704">
        <f ca="1">C25*'EF ele_warmte'!B12</f>
        <v>52.708275287556638</v>
      </c>
      <c r="D55" s="704"/>
      <c r="E55" s="704">
        <f>E25*EF_CO2_aardgas</f>
        <v>101.975054</v>
      </c>
      <c r="F55" s="704"/>
      <c r="G55" s="704"/>
      <c r="H55" s="704"/>
      <c r="I55" s="704"/>
      <c r="J55" s="704"/>
      <c r="K55" s="704"/>
      <c r="L55" s="704"/>
      <c r="M55" s="704"/>
      <c r="N55" s="704"/>
      <c r="O55" s="704"/>
      <c r="P55" s="704"/>
      <c r="Q55" s="705"/>
      <c r="R55" s="732">
        <f ca="1">SUM(C55:Q55)</f>
        <v>154.68332928755663</v>
      </c>
    </row>
    <row r="56" spans="1:18" ht="15.75" thickBot="1">
      <c r="A56" s="824" t="s">
        <v>865</v>
      </c>
      <c r="B56" s="837"/>
      <c r="C56" s="733">
        <f ca="1">SUM(C54:C55)</f>
        <v>697.6657921055828</v>
      </c>
      <c r="D56" s="733">
        <f t="shared" ref="D56:Q56" ca="1" si="7">SUM(D54:D55)</f>
        <v>0</v>
      </c>
      <c r="E56" s="733">
        <f t="shared" si="7"/>
        <v>124.630117156</v>
      </c>
      <c r="F56" s="733">
        <f t="shared" si="7"/>
        <v>6.7298253044919676</v>
      </c>
      <c r="G56" s="733">
        <f t="shared" si="7"/>
        <v>2168.2924420187805</v>
      </c>
      <c r="H56" s="733">
        <f t="shared" si="7"/>
        <v>0</v>
      </c>
      <c r="I56" s="733">
        <f t="shared" si="7"/>
        <v>0</v>
      </c>
      <c r="J56" s="733">
        <f t="shared" si="7"/>
        <v>0</v>
      </c>
      <c r="K56" s="733">
        <f t="shared" si="7"/>
        <v>173.71229173584427</v>
      </c>
      <c r="L56" s="733">
        <f t="shared" si="7"/>
        <v>0</v>
      </c>
      <c r="M56" s="733">
        <f t="shared" si="7"/>
        <v>0</v>
      </c>
      <c r="N56" s="733">
        <f t="shared" si="7"/>
        <v>0</v>
      </c>
      <c r="O56" s="733">
        <f t="shared" si="7"/>
        <v>0</v>
      </c>
      <c r="P56" s="733">
        <f t="shared" si="7"/>
        <v>0</v>
      </c>
      <c r="Q56" s="734">
        <f t="shared" si="7"/>
        <v>0</v>
      </c>
      <c r="R56" s="735">
        <f ca="1">SUM(R54:R55)</f>
        <v>3171.0304683206996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6669.599333328275</v>
      </c>
      <c r="D61" s="741">
        <f t="shared" ref="D61:Q61" ca="1" si="8">D46+D52+D56</f>
        <v>0</v>
      </c>
      <c r="E61" s="741">
        <f t="shared" ca="1" si="8"/>
        <v>8284.9736892167821</v>
      </c>
      <c r="F61" s="741">
        <f t="shared" si="8"/>
        <v>1044.1524992522529</v>
      </c>
      <c r="G61" s="741">
        <f t="shared" ca="1" si="8"/>
        <v>5722.4482693928676</v>
      </c>
      <c r="H61" s="741">
        <f t="shared" si="8"/>
        <v>6301.2168759616179</v>
      </c>
      <c r="I61" s="741">
        <f t="shared" si="8"/>
        <v>1440.6173201009285</v>
      </c>
      <c r="J61" s="741">
        <f t="shared" si="8"/>
        <v>0</v>
      </c>
      <c r="K61" s="741">
        <f t="shared" si="8"/>
        <v>946.05901460827261</v>
      </c>
      <c r="L61" s="741">
        <f t="shared" si="8"/>
        <v>0</v>
      </c>
      <c r="M61" s="741">
        <f t="shared" ca="1" si="8"/>
        <v>0</v>
      </c>
      <c r="N61" s="741">
        <f t="shared" si="8"/>
        <v>0</v>
      </c>
      <c r="O61" s="741">
        <f t="shared" ca="1" si="8"/>
        <v>0</v>
      </c>
      <c r="P61" s="741">
        <f t="shared" si="8"/>
        <v>0</v>
      </c>
      <c r="Q61" s="741">
        <f t="shared" si="8"/>
        <v>0</v>
      </c>
      <c r="R61" s="741">
        <f ca="1">R46+R52+R56</f>
        <v>30409.067001861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0.20150117856836836</v>
      </c>
      <c r="D63" s="782">
        <f t="shared" ca="1" si="9"/>
        <v>0</v>
      </c>
      <c r="E63" s="1036">
        <f t="shared" ca="1" si="9"/>
        <v>0.20200000000000004</v>
      </c>
      <c r="F63" s="782">
        <f t="shared" si="9"/>
        <v>0.22699999999999995</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2920.3724502958266</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2920.3724502958266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2920.3724502958266</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2920.3724502958266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17262.415634313395</v>
      </c>
      <c r="C4" s="478">
        <f>huishoudens!C8</f>
        <v>0</v>
      </c>
      <c r="D4" s="478">
        <f>huishoudens!D8</f>
        <v>29386.665704000003</v>
      </c>
      <c r="E4" s="478">
        <f>huishoudens!E8</f>
        <v>4112.7728553100123</v>
      </c>
      <c r="F4" s="478">
        <f>huishoudens!F8</f>
        <v>9295.1850947970215</v>
      </c>
      <c r="G4" s="478">
        <f>huishoudens!G8</f>
        <v>0</v>
      </c>
      <c r="H4" s="478">
        <f>huishoudens!H8</f>
        <v>0</v>
      </c>
      <c r="I4" s="478">
        <f>huishoudens!I8</f>
        <v>0</v>
      </c>
      <c r="J4" s="478">
        <f>huishoudens!J8</f>
        <v>2159.6973383926911</v>
      </c>
      <c r="K4" s="478">
        <f>huishoudens!K8</f>
        <v>0</v>
      </c>
      <c r="L4" s="478">
        <f>huishoudens!L8</f>
        <v>0</v>
      </c>
      <c r="M4" s="478">
        <f>huishoudens!M8</f>
        <v>0</v>
      </c>
      <c r="N4" s="478">
        <f>huishoudens!N8</f>
        <v>9455.5035640801525</v>
      </c>
      <c r="O4" s="478">
        <f>huishoudens!O8</f>
        <v>125.06666666666666</v>
      </c>
      <c r="P4" s="479">
        <f>huishoudens!P8</f>
        <v>190.66666666666669</v>
      </c>
      <c r="Q4" s="480">
        <f>SUM(B4:P4)</f>
        <v>71987.973524226603</v>
      </c>
    </row>
    <row r="5" spans="1:17">
      <c r="A5" s="477" t="s">
        <v>156</v>
      </c>
      <c r="B5" s="478">
        <f ca="1">tertiair!B16</f>
        <v>8802.8220000000001</v>
      </c>
      <c r="C5" s="478">
        <f ca="1">tertiair!C16</f>
        <v>0</v>
      </c>
      <c r="D5" s="478">
        <f ca="1">tertiair!D16</f>
        <v>9623.9295900000016</v>
      </c>
      <c r="E5" s="478">
        <f>tertiair!E16</f>
        <v>88.406211022397613</v>
      </c>
      <c r="F5" s="478">
        <f ca="1">tertiair!F16</f>
        <v>1299.1254090662642</v>
      </c>
      <c r="G5" s="478">
        <f>tertiair!G16</f>
        <v>0</v>
      </c>
      <c r="H5" s="478">
        <f>tertiair!H16</f>
        <v>0</v>
      </c>
      <c r="I5" s="478">
        <f>tertiair!I16</f>
        <v>0</v>
      </c>
      <c r="J5" s="478">
        <f>tertiair!J16</f>
        <v>0</v>
      </c>
      <c r="K5" s="478">
        <f>tertiair!K16</f>
        <v>0</v>
      </c>
      <c r="L5" s="478">
        <f ca="1">tertiair!L16</f>
        <v>0</v>
      </c>
      <c r="M5" s="478">
        <f>tertiair!M16</f>
        <v>0</v>
      </c>
      <c r="N5" s="478">
        <f ca="1">tertiair!N16</f>
        <v>786.75459547874698</v>
      </c>
      <c r="O5" s="478">
        <f>tertiair!O16</f>
        <v>3.1266666666666669</v>
      </c>
      <c r="P5" s="479">
        <f>tertiair!P16</f>
        <v>19.066666666666666</v>
      </c>
      <c r="Q5" s="477">
        <f t="shared" ref="Q5:Q14" ca="1" si="0">SUM(B5:P5)</f>
        <v>20623.231138900737</v>
      </c>
    </row>
    <row r="6" spans="1:17">
      <c r="A6" s="477" t="s">
        <v>194</v>
      </c>
      <c r="B6" s="478">
        <f>'openbare verlichting'!B8</f>
        <v>770.30200000000002</v>
      </c>
      <c r="C6" s="478"/>
      <c r="D6" s="478"/>
      <c r="E6" s="478"/>
      <c r="F6" s="478"/>
      <c r="G6" s="478"/>
      <c r="H6" s="478"/>
      <c r="I6" s="478"/>
      <c r="J6" s="478"/>
      <c r="K6" s="478"/>
      <c r="L6" s="478"/>
      <c r="M6" s="478"/>
      <c r="N6" s="478"/>
      <c r="O6" s="478"/>
      <c r="P6" s="479"/>
      <c r="Q6" s="477">
        <f t="shared" si="0"/>
        <v>770.30200000000002</v>
      </c>
    </row>
    <row r="7" spans="1:17">
      <c r="A7" s="477" t="s">
        <v>112</v>
      </c>
      <c r="B7" s="478">
        <f>landbouw!B8</f>
        <v>3200.7629999999999</v>
      </c>
      <c r="C7" s="478">
        <f>landbouw!C8</f>
        <v>0</v>
      </c>
      <c r="D7" s="478">
        <f>landbouw!D8</f>
        <v>112.153778</v>
      </c>
      <c r="E7" s="478">
        <f>landbouw!E8</f>
        <v>29.646807508775186</v>
      </c>
      <c r="F7" s="478">
        <f>landbouw!F8</f>
        <v>8120.945475725769</v>
      </c>
      <c r="G7" s="478">
        <f>landbouw!G8</f>
        <v>0</v>
      </c>
      <c r="H7" s="478">
        <f>landbouw!H8</f>
        <v>0</v>
      </c>
      <c r="I7" s="478">
        <f>landbouw!I8</f>
        <v>0</v>
      </c>
      <c r="J7" s="478">
        <f>landbouw!J8</f>
        <v>490.71268851933411</v>
      </c>
      <c r="K7" s="478">
        <f>landbouw!K8</f>
        <v>0</v>
      </c>
      <c r="L7" s="478">
        <f>landbouw!L8</f>
        <v>0</v>
      </c>
      <c r="M7" s="478">
        <f>landbouw!M8</f>
        <v>0</v>
      </c>
      <c r="N7" s="478">
        <f>landbouw!N8</f>
        <v>0</v>
      </c>
      <c r="O7" s="478">
        <f>landbouw!O8</f>
        <v>0</v>
      </c>
      <c r="P7" s="479">
        <f>landbouw!P8</f>
        <v>0</v>
      </c>
      <c r="Q7" s="477">
        <f t="shared" si="0"/>
        <v>11954.221749753879</v>
      </c>
    </row>
    <row r="8" spans="1:17">
      <c r="A8" s="477" t="s">
        <v>650</v>
      </c>
      <c r="B8" s="478">
        <f>industrie!B18</f>
        <v>2797.3150000000001</v>
      </c>
      <c r="C8" s="478">
        <f>industrie!C18</f>
        <v>0</v>
      </c>
      <c r="D8" s="478">
        <f>industrie!D18</f>
        <v>1371.556846</v>
      </c>
      <c r="E8" s="478">
        <f>industrie!E18</f>
        <v>273.82207351405822</v>
      </c>
      <c r="F8" s="478">
        <f>industrie!F18</f>
        <v>2717.1345424816059</v>
      </c>
      <c r="G8" s="478">
        <f>industrie!G18</f>
        <v>0</v>
      </c>
      <c r="H8" s="478">
        <f>industrie!H18</f>
        <v>0</v>
      </c>
      <c r="I8" s="478">
        <f>industrie!I18</f>
        <v>0</v>
      </c>
      <c r="J8" s="478">
        <f>industrie!J18</f>
        <v>22.07306520173935</v>
      </c>
      <c r="K8" s="478">
        <f>industrie!K18</f>
        <v>0</v>
      </c>
      <c r="L8" s="478">
        <f>industrie!L18</f>
        <v>0</v>
      </c>
      <c r="M8" s="478">
        <f>industrie!M18</f>
        <v>0</v>
      </c>
      <c r="N8" s="478">
        <f>industrie!N18</f>
        <v>811.2877314548648</v>
      </c>
      <c r="O8" s="478">
        <f>industrie!O18</f>
        <v>0</v>
      </c>
      <c r="P8" s="479">
        <f>industrie!P18</f>
        <v>0</v>
      </c>
      <c r="Q8" s="477">
        <f t="shared" si="0"/>
        <v>7993.189258652269</v>
      </c>
    </row>
    <row r="9" spans="1:17" s="483" customFormat="1">
      <c r="A9" s="481" t="s">
        <v>571</v>
      </c>
      <c r="B9" s="482">
        <f>transport!B14</f>
        <v>4.3593197302813032</v>
      </c>
      <c r="C9" s="482">
        <f>transport!C14</f>
        <v>0</v>
      </c>
      <c r="D9" s="482">
        <f>transport!D14</f>
        <v>15.58831574643721</v>
      </c>
      <c r="E9" s="482">
        <f>transport!E14</f>
        <v>95.142798249395838</v>
      </c>
      <c r="F9" s="482">
        <f>transport!F14</f>
        <v>0</v>
      </c>
      <c r="G9" s="482">
        <f>transport!G14</f>
        <v>23389.038379618316</v>
      </c>
      <c r="H9" s="482">
        <f>transport!H14</f>
        <v>5785.6117273129657</v>
      </c>
      <c r="I9" s="482">
        <f>transport!I14</f>
        <v>0</v>
      </c>
      <c r="J9" s="482">
        <f>transport!J14</f>
        <v>0</v>
      </c>
      <c r="K9" s="482">
        <f>transport!K14</f>
        <v>0</v>
      </c>
      <c r="L9" s="482">
        <f>transport!L14</f>
        <v>0</v>
      </c>
      <c r="M9" s="482">
        <f>transport!M14</f>
        <v>1531.0542475468558</v>
      </c>
      <c r="N9" s="482">
        <f>transport!N14</f>
        <v>0</v>
      </c>
      <c r="O9" s="482">
        <f>transport!O14</f>
        <v>0</v>
      </c>
      <c r="P9" s="482">
        <f>transport!P14</f>
        <v>0</v>
      </c>
      <c r="Q9" s="481">
        <f>SUM(B9:P9)</f>
        <v>30820.794788204254</v>
      </c>
    </row>
    <row r="10" spans="1:17">
      <c r="A10" s="477" t="s">
        <v>561</v>
      </c>
      <c r="B10" s="478">
        <f>transport!B54</f>
        <v>0</v>
      </c>
      <c r="C10" s="478">
        <f>transport!C54</f>
        <v>0</v>
      </c>
      <c r="D10" s="478">
        <f>transport!D54</f>
        <v>0</v>
      </c>
      <c r="E10" s="478">
        <f>transport!E54</f>
        <v>0</v>
      </c>
      <c r="F10" s="478">
        <f>transport!F54</f>
        <v>0</v>
      </c>
      <c r="G10" s="478">
        <f>transport!G54</f>
        <v>211.02482623044057</v>
      </c>
      <c r="H10" s="478">
        <f>transport!H54</f>
        <v>0</v>
      </c>
      <c r="I10" s="478">
        <f>transport!I54</f>
        <v>0</v>
      </c>
      <c r="J10" s="478">
        <f>transport!J54</f>
        <v>0</v>
      </c>
      <c r="K10" s="478">
        <f>transport!K54</f>
        <v>0</v>
      </c>
      <c r="L10" s="478">
        <f>transport!L54</f>
        <v>0</v>
      </c>
      <c r="M10" s="478">
        <f>transport!M54</f>
        <v>12.034130669322202</v>
      </c>
      <c r="N10" s="478">
        <f>transport!N54</f>
        <v>0</v>
      </c>
      <c r="O10" s="478">
        <f>transport!O54</f>
        <v>0</v>
      </c>
      <c r="P10" s="479">
        <f>transport!P54</f>
        <v>0</v>
      </c>
      <c r="Q10" s="477">
        <f t="shared" si="0"/>
        <v>223.05895689976276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261.57799999999997</v>
      </c>
      <c r="C14" s="485"/>
      <c r="D14" s="485">
        <f>'SEAP template'!E25</f>
        <v>504.827</v>
      </c>
      <c r="E14" s="485"/>
      <c r="F14" s="485"/>
      <c r="G14" s="485"/>
      <c r="H14" s="485"/>
      <c r="I14" s="485"/>
      <c r="J14" s="485"/>
      <c r="K14" s="485"/>
      <c r="L14" s="485"/>
      <c r="M14" s="485"/>
      <c r="N14" s="485"/>
      <c r="O14" s="485"/>
      <c r="P14" s="486"/>
      <c r="Q14" s="477">
        <f t="shared" si="0"/>
        <v>766.40499999999997</v>
      </c>
    </row>
    <row r="15" spans="1:17" s="487" customFormat="1">
      <c r="A15" s="1051" t="s">
        <v>565</v>
      </c>
      <c r="B15" s="991">
        <f ca="1">SUM(B4:B14)</f>
        <v>33099.554954043677</v>
      </c>
      <c r="C15" s="991">
        <f t="shared" ref="C15:Q15" ca="1" si="1">SUM(C4:C14)</f>
        <v>0</v>
      </c>
      <c r="D15" s="991">
        <f t="shared" ca="1" si="1"/>
        <v>41014.721233746437</v>
      </c>
      <c r="E15" s="991">
        <f t="shared" si="1"/>
        <v>4599.7907456046396</v>
      </c>
      <c r="F15" s="991">
        <f t="shared" ca="1" si="1"/>
        <v>21432.390522070662</v>
      </c>
      <c r="G15" s="991">
        <f t="shared" si="1"/>
        <v>23600.063205848757</v>
      </c>
      <c r="H15" s="991">
        <f t="shared" si="1"/>
        <v>5785.6117273129657</v>
      </c>
      <c r="I15" s="991">
        <f t="shared" si="1"/>
        <v>0</v>
      </c>
      <c r="J15" s="991">
        <f t="shared" si="1"/>
        <v>2672.4830921137645</v>
      </c>
      <c r="K15" s="991">
        <f t="shared" si="1"/>
        <v>0</v>
      </c>
      <c r="L15" s="991">
        <f t="shared" ca="1" si="1"/>
        <v>0</v>
      </c>
      <c r="M15" s="991">
        <f t="shared" si="1"/>
        <v>1543.0883782161779</v>
      </c>
      <c r="N15" s="991">
        <f t="shared" ca="1" si="1"/>
        <v>11053.545891013764</v>
      </c>
      <c r="O15" s="991">
        <f t="shared" si="1"/>
        <v>128.19333333333333</v>
      </c>
      <c r="P15" s="991">
        <f t="shared" si="1"/>
        <v>209.73333333333335</v>
      </c>
      <c r="Q15" s="991">
        <f t="shared" ca="1" si="1"/>
        <v>145139.17641663752</v>
      </c>
    </row>
    <row r="17" spans="1:17">
      <c r="A17" s="488" t="s">
        <v>566</v>
      </c>
      <c r="B17" s="787">
        <f ca="1">huishoudens!B10</f>
        <v>0.2015011785683683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3478.3970952511759</v>
      </c>
      <c r="C22" s="478">
        <f t="shared" ref="C22:C32" ca="1" si="3">C4*$C$17</f>
        <v>0</v>
      </c>
      <c r="D22" s="478">
        <f t="shared" ref="D22:D32" si="4">D4*$D$17</f>
        <v>5936.1064722080009</v>
      </c>
      <c r="E22" s="478">
        <f t="shared" ref="E22:E32" si="5">E4*$E$17</f>
        <v>933.59943815537281</v>
      </c>
      <c r="F22" s="478">
        <f t="shared" ref="F22:F32" si="6">F4*$F$17</f>
        <v>2481.814420310805</v>
      </c>
      <c r="G22" s="478">
        <f t="shared" ref="G22:G32" si="7">G4*$G$17</f>
        <v>0</v>
      </c>
      <c r="H22" s="478">
        <f t="shared" ref="H22:H32" si="8">H4*$H$17</f>
        <v>0</v>
      </c>
      <c r="I22" s="478">
        <f t="shared" ref="I22:I32" si="9">I4*$I$17</f>
        <v>0</v>
      </c>
      <c r="J22" s="478">
        <f t="shared" ref="J22:J32" si="10">J4*$J$17</f>
        <v>764.53285779101259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13594.450283716369</v>
      </c>
    </row>
    <row r="23" spans="1:17">
      <c r="A23" s="477" t="s">
        <v>156</v>
      </c>
      <c r="B23" s="478">
        <f t="shared" ca="1" si="2"/>
        <v>1773.7790077275611</v>
      </c>
      <c r="C23" s="478">
        <f t="shared" ca="1" si="3"/>
        <v>0</v>
      </c>
      <c r="D23" s="478">
        <f t="shared" ca="1" si="4"/>
        <v>1944.0337771800005</v>
      </c>
      <c r="E23" s="478">
        <f t="shared" si="5"/>
        <v>20.068209902084259</v>
      </c>
      <c r="F23" s="478">
        <f t="shared" ca="1" si="6"/>
        <v>346.86648422069254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4084.7474790303386</v>
      </c>
    </row>
    <row r="24" spans="1:17">
      <c r="A24" s="477" t="s">
        <v>194</v>
      </c>
      <c r="B24" s="478">
        <f t="shared" ca="1" si="2"/>
        <v>155.21676085357123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155.21676085357123</v>
      </c>
    </row>
    <row r="25" spans="1:17">
      <c r="A25" s="477" t="s">
        <v>112</v>
      </c>
      <c r="B25" s="478">
        <f t="shared" ca="1" si="2"/>
        <v>644.95751681802619</v>
      </c>
      <c r="C25" s="478">
        <f t="shared" ca="1" si="3"/>
        <v>0</v>
      </c>
      <c r="D25" s="478">
        <f t="shared" si="4"/>
        <v>22.655063156000001</v>
      </c>
      <c r="E25" s="478">
        <f t="shared" si="5"/>
        <v>6.7298253044919676</v>
      </c>
      <c r="F25" s="478">
        <f t="shared" si="6"/>
        <v>2168.2924420187805</v>
      </c>
      <c r="G25" s="478">
        <f t="shared" si="7"/>
        <v>0</v>
      </c>
      <c r="H25" s="478">
        <f t="shared" si="8"/>
        <v>0</v>
      </c>
      <c r="I25" s="478">
        <f t="shared" si="9"/>
        <v>0</v>
      </c>
      <c r="J25" s="478">
        <f t="shared" si="10"/>
        <v>173.71229173584427</v>
      </c>
      <c r="K25" s="478">
        <f t="shared" si="11"/>
        <v>0</v>
      </c>
      <c r="L25" s="478">
        <f t="shared" si="12"/>
        <v>0</v>
      </c>
      <c r="M25" s="478">
        <f t="shared" si="13"/>
        <v>0</v>
      </c>
      <c r="N25" s="478">
        <f t="shared" si="14"/>
        <v>0</v>
      </c>
      <c r="O25" s="478">
        <f t="shared" si="15"/>
        <v>0</v>
      </c>
      <c r="P25" s="479">
        <f t="shared" si="16"/>
        <v>0</v>
      </c>
      <c r="Q25" s="477">
        <f t="shared" ca="1" si="17"/>
        <v>3016.3471390331429</v>
      </c>
    </row>
    <row r="26" spans="1:17">
      <c r="A26" s="477" t="s">
        <v>650</v>
      </c>
      <c r="B26" s="478">
        <f t="shared" ca="1" si="2"/>
        <v>563.66226932697521</v>
      </c>
      <c r="C26" s="478">
        <f t="shared" ca="1" si="3"/>
        <v>0</v>
      </c>
      <c r="D26" s="478">
        <f t="shared" si="4"/>
        <v>277.05448289200001</v>
      </c>
      <c r="E26" s="478">
        <f t="shared" si="5"/>
        <v>62.157610687691218</v>
      </c>
      <c r="F26" s="478">
        <f t="shared" si="6"/>
        <v>725.47492284258885</v>
      </c>
      <c r="G26" s="478">
        <f t="shared" si="7"/>
        <v>0</v>
      </c>
      <c r="H26" s="478">
        <f t="shared" si="8"/>
        <v>0</v>
      </c>
      <c r="I26" s="478">
        <f t="shared" si="9"/>
        <v>0</v>
      </c>
      <c r="J26" s="478">
        <f t="shared" si="10"/>
        <v>7.81386508141573</v>
      </c>
      <c r="K26" s="478">
        <f t="shared" si="11"/>
        <v>0</v>
      </c>
      <c r="L26" s="478">
        <f t="shared" si="12"/>
        <v>0</v>
      </c>
      <c r="M26" s="478">
        <f t="shared" si="13"/>
        <v>0</v>
      </c>
      <c r="N26" s="478">
        <f t="shared" si="14"/>
        <v>0</v>
      </c>
      <c r="O26" s="478">
        <f t="shared" si="15"/>
        <v>0</v>
      </c>
      <c r="P26" s="479">
        <f t="shared" si="16"/>
        <v>0</v>
      </c>
      <c r="Q26" s="477">
        <f t="shared" ca="1" si="17"/>
        <v>1636.1631508306709</v>
      </c>
    </row>
    <row r="27" spans="1:17" s="483" customFormat="1">
      <c r="A27" s="481" t="s">
        <v>571</v>
      </c>
      <c r="B27" s="781">
        <f t="shared" ca="1" si="2"/>
        <v>0.87840806340802402</v>
      </c>
      <c r="C27" s="482">
        <f t="shared" ca="1" si="3"/>
        <v>0</v>
      </c>
      <c r="D27" s="482">
        <f t="shared" si="4"/>
        <v>3.1488397807803166</v>
      </c>
      <c r="E27" s="482">
        <f t="shared" si="5"/>
        <v>21.597415202612854</v>
      </c>
      <c r="F27" s="482">
        <f t="shared" si="6"/>
        <v>0</v>
      </c>
      <c r="G27" s="482">
        <f t="shared" si="7"/>
        <v>6244.8732473580903</v>
      </c>
      <c r="H27" s="482">
        <f t="shared" si="8"/>
        <v>1440.6173201009285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7711.1152305058204</v>
      </c>
    </row>
    <row r="28" spans="1:17">
      <c r="A28" s="477" t="s">
        <v>561</v>
      </c>
      <c r="B28" s="478">
        <f t="shared" ca="1" si="2"/>
        <v>0</v>
      </c>
      <c r="C28" s="478">
        <f t="shared" ca="1" si="3"/>
        <v>0</v>
      </c>
      <c r="D28" s="478">
        <f t="shared" si="4"/>
        <v>0</v>
      </c>
      <c r="E28" s="478">
        <f t="shared" si="5"/>
        <v>0</v>
      </c>
      <c r="F28" s="478">
        <f t="shared" si="6"/>
        <v>0</v>
      </c>
      <c r="G28" s="478">
        <f t="shared" si="7"/>
        <v>56.343628603527634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56.343628603527634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52.708275287556638</v>
      </c>
      <c r="C32" s="478">
        <f t="shared" ca="1" si="3"/>
        <v>0</v>
      </c>
      <c r="D32" s="478">
        <f t="shared" si="4"/>
        <v>101.975054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154.68332928755663</v>
      </c>
    </row>
    <row r="33" spans="1:17" s="487" customFormat="1">
      <c r="A33" s="1051" t="s">
        <v>565</v>
      </c>
      <c r="B33" s="991">
        <f ca="1">SUM(B22:B32)</f>
        <v>6669.599333328274</v>
      </c>
      <c r="C33" s="991">
        <f t="shared" ref="C33:Q33" ca="1" si="18">SUM(C22:C32)</f>
        <v>0</v>
      </c>
      <c r="D33" s="991">
        <f t="shared" ca="1" si="18"/>
        <v>8284.9736892167821</v>
      </c>
      <c r="E33" s="991">
        <f t="shared" si="18"/>
        <v>1044.1524992522532</v>
      </c>
      <c r="F33" s="991">
        <f t="shared" ca="1" si="18"/>
        <v>5722.4482693928667</v>
      </c>
      <c r="G33" s="991">
        <f t="shared" si="18"/>
        <v>6301.2168759616179</v>
      </c>
      <c r="H33" s="991">
        <f t="shared" si="18"/>
        <v>1440.6173201009285</v>
      </c>
      <c r="I33" s="991">
        <f t="shared" si="18"/>
        <v>0</v>
      </c>
      <c r="J33" s="991">
        <f t="shared" si="18"/>
        <v>946.05901460827261</v>
      </c>
      <c r="K33" s="991">
        <f t="shared" si="18"/>
        <v>0</v>
      </c>
      <c r="L33" s="991">
        <f t="shared" ca="1" si="18"/>
        <v>0</v>
      </c>
      <c r="M33" s="991">
        <f t="shared" si="18"/>
        <v>0</v>
      </c>
      <c r="N33" s="991">
        <f t="shared" ca="1" si="18"/>
        <v>0</v>
      </c>
      <c r="O33" s="991">
        <f t="shared" si="18"/>
        <v>0</v>
      </c>
      <c r="P33" s="991">
        <f t="shared" si="18"/>
        <v>0</v>
      </c>
      <c r="Q33" s="991">
        <f t="shared" ca="1" si="18"/>
        <v>30409.067001860996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2920.3724502958266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2920.3724502958266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0.2015011785683683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0.2015011785683683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2019-06-29T16:46:40Z</dcterms:modified>
</cp:coreProperties>
</file>