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C19"/>
  <c r="D89" i="14" s="1"/>
  <c r="D19" i="59" s="1"/>
  <c r="B19" i="18"/>
  <c r="N18"/>
  <c r="L88" i="14" s="1"/>
  <c r="M18" i="18"/>
  <c r="L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F13" i="15" s="1"/>
  <c r="R91" i="18"/>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B98" i="18"/>
  <c r="B102" s="1"/>
  <c r="C17" s="1"/>
  <c r="B17"/>
  <c r="B20" s="1"/>
  <c r="O32" i="48"/>
  <c r="O31"/>
  <c r="O77" i="14"/>
  <c r="O9" i="59" s="1"/>
  <c r="O10" s="1"/>
  <c r="L10" i="18"/>
  <c r="E89" i="14"/>
  <c r="E19" i="59" s="1"/>
  <c r="D20" i="18"/>
  <c r="L90" i="14"/>
  <c r="L18" i="59"/>
  <c r="H90" i="14"/>
  <c r="H18" i="59"/>
  <c r="H20" s="1"/>
  <c r="C98" i="18"/>
  <c r="H101" s="1"/>
  <c r="N10" i="59"/>
  <c r="G20"/>
  <c r="K20"/>
  <c r="P22" i="14"/>
  <c r="E20" i="59"/>
  <c r="K10" i="18"/>
  <c r="L78" i="14"/>
  <c r="D14" i="48"/>
  <c r="M77" i="14"/>
  <c r="M9" i="59" s="1"/>
  <c r="H9" i="18"/>
  <c r="O9" s="1"/>
  <c r="K78" i="14"/>
  <c r="Q22"/>
  <c r="G10" i="59"/>
  <c r="L10"/>
  <c r="B8" i="18"/>
  <c r="D22" i="14"/>
  <c r="L22"/>
  <c r="E10" i="59"/>
  <c r="L20"/>
  <c r="I77" i="14"/>
  <c r="I9" i="59" s="1"/>
  <c r="B13" i="15"/>
  <c r="B10" i="18"/>
  <c r="N13" i="15"/>
  <c r="L13"/>
  <c r="F77" i="14"/>
  <c r="F9" i="59" s="1"/>
  <c r="D101" i="18"/>
  <c r="G101"/>
  <c r="C101"/>
  <c r="F102"/>
  <c r="C89" i="14"/>
  <c r="C19" i="59" s="1"/>
  <c r="O19" i="18"/>
  <c r="N88" i="14"/>
  <c r="D10" i="18"/>
  <c r="E78" i="14"/>
  <c r="D77"/>
  <c r="D9" i="59" s="1"/>
  <c r="H77" i="14"/>
  <c r="G90"/>
  <c r="O88"/>
  <c r="G89"/>
  <c r="G19" i="59" s="1"/>
  <c r="G20" i="18"/>
  <c r="B89" i="14"/>
  <c r="B19" i="59" s="1"/>
  <c r="O18" i="18"/>
  <c r="G78" i="14"/>
  <c r="Q89"/>
  <c r="P19" i="59" s="1"/>
  <c r="O25" i="48"/>
  <c r="O27"/>
  <c r="Q11"/>
  <c r="O29"/>
  <c r="P31"/>
  <c r="O28"/>
  <c r="Q12"/>
  <c r="O24"/>
  <c r="O30"/>
  <c r="P24"/>
  <c r="P30"/>
  <c r="R9" i="14"/>
  <c r="R25"/>
  <c r="K90"/>
  <c r="N90" l="1"/>
  <c r="N18" i="59"/>
  <c r="N20" s="1"/>
  <c r="H78" i="14"/>
  <c r="H9" i="59"/>
  <c r="H10" s="1"/>
  <c r="O90" i="14"/>
  <c r="O18" i="59"/>
  <c r="O20" s="1"/>
  <c r="H102" i="18"/>
  <c r="D102"/>
  <c r="B101"/>
  <c r="C8" s="1"/>
  <c r="C10" s="1"/>
  <c r="I101"/>
  <c r="H8" s="1"/>
  <c r="I102"/>
  <c r="H17" s="1"/>
  <c r="E101"/>
  <c r="E8" s="1"/>
  <c r="Q77" i="14"/>
  <c r="P9" i="59" s="1"/>
  <c r="E102" i="18"/>
  <c r="E17" s="1"/>
  <c r="F101"/>
  <c r="I8" s="1"/>
  <c r="E90" i="14"/>
  <c r="O78"/>
  <c r="C102" i="18"/>
  <c r="Q14" i="48"/>
  <c r="G102" i="18"/>
  <c r="C77" i="14"/>
  <c r="C9" i="59" s="1"/>
  <c r="H20" i="18"/>
  <c r="M87" i="14"/>
  <c r="F76"/>
  <c r="E10" i="18"/>
  <c r="C20"/>
  <c r="D87" i="14"/>
  <c r="D17" i="59" s="1"/>
  <c r="D20" s="1"/>
  <c r="H10" i="18"/>
  <c r="M76" i="14"/>
  <c r="B88"/>
  <c r="B18" i="59" s="1"/>
  <c r="I17" i="18"/>
  <c r="J8"/>
  <c r="C88" i="14"/>
  <c r="C18" i="59" s="1"/>
  <c r="B77" i="14"/>
  <c r="B9" i="59" s="1"/>
  <c r="Q88" i="14"/>
  <c r="P18" i="59" s="1"/>
  <c r="H14" i="15"/>
  <c r="H16" s="1"/>
  <c r="G14"/>
  <c r="G16" s="1"/>
  <c r="I76" i="14" l="1"/>
  <c r="I8" i="59" s="1"/>
  <c r="I10" s="1"/>
  <c r="I10" i="18"/>
  <c r="O17"/>
  <c r="O20" s="1"/>
  <c r="M78" i="14"/>
  <c r="M8" i="59"/>
  <c r="M10" s="1"/>
  <c r="M90" i="14"/>
  <c r="M17" i="59"/>
  <c r="M20" s="1"/>
  <c r="F78" i="14"/>
  <c r="F8" i="59"/>
  <c r="F10" s="1"/>
  <c r="I10" i="14"/>
  <c r="I16" s="1"/>
  <c r="H5" i="48"/>
  <c r="H10" i="14"/>
  <c r="H16" s="1"/>
  <c r="G5" i="48"/>
  <c r="E20" i="18"/>
  <c r="F87" i="14"/>
  <c r="D76"/>
  <c r="D8" i="59" s="1"/>
  <c r="D10" s="1"/>
  <c r="J17" i="18"/>
  <c r="O8"/>
  <c r="O10" s="1"/>
  <c r="Q76" i="14"/>
  <c r="D78"/>
  <c r="I78"/>
  <c r="B76"/>
  <c r="J10" i="18"/>
  <c r="J76" i="14"/>
  <c r="I87"/>
  <c r="I17" i="59" s="1"/>
  <c r="I20" s="1"/>
  <c r="I20" i="18"/>
  <c r="Q87" i="14"/>
  <c r="D90"/>
  <c r="A31" i="23"/>
  <c r="A32"/>
  <c r="A33"/>
  <c r="Q90" i="14" l="1"/>
  <c r="B17" i="6" s="1"/>
  <c r="P17" i="59"/>
  <c r="P20" s="1"/>
  <c r="Q78" i="14"/>
  <c r="B9" i="6" s="1"/>
  <c r="P8" i="59"/>
  <c r="P10" s="1"/>
  <c r="B78" i="14"/>
  <c r="B4" i="6" s="1"/>
  <c r="B8" i="59"/>
  <c r="B10" s="1"/>
  <c r="F90" i="14"/>
  <c r="F17" i="59"/>
  <c r="F20" s="1"/>
  <c r="J78" i="14"/>
  <c r="J8" i="59"/>
  <c r="J10" s="1"/>
  <c r="J20" i="18"/>
  <c r="J87" i="14"/>
  <c r="C87"/>
  <c r="B87"/>
  <c r="I90"/>
  <c r="C76"/>
  <c r="B11" i="44"/>
  <c r="B25"/>
  <c r="B24"/>
  <c r="B90" i="14" l="1"/>
  <c r="B17" i="59"/>
  <c r="B20" s="1"/>
  <c r="C78" i="14"/>
  <c r="C8" i="59"/>
  <c r="C10" s="1"/>
  <c r="C90" i="14"/>
  <c r="C17" i="59"/>
  <c r="C20" s="1"/>
  <c r="J90" i="14"/>
  <c r="J17" i="59"/>
  <c r="J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31"/>
  <c r="J29"/>
  <c r="J28"/>
  <c r="Q11" i="14"/>
  <c r="P4" i="48"/>
  <c r="P11" i="14"/>
  <c r="O4" i="48"/>
  <c r="I32"/>
  <c r="I28"/>
  <c r="I22"/>
  <c r="I26"/>
  <c r="I27"/>
  <c r="I30"/>
  <c r="I29"/>
  <c r="I25"/>
  <c r="I31"/>
  <c r="I24"/>
  <c r="D4"/>
  <c r="D22" s="1"/>
  <c r="E11" i="14"/>
  <c r="H32" i="48"/>
  <c r="H29"/>
  <c r="H26"/>
  <c r="H25"/>
  <c r="H28"/>
  <c r="H30"/>
  <c r="H22"/>
  <c r="H24"/>
  <c r="H23"/>
  <c r="D11" i="14"/>
  <c r="C4" i="48"/>
  <c r="G32"/>
  <c r="G25"/>
  <c r="G24"/>
  <c r="G29"/>
  <c r="G22"/>
  <c r="G30"/>
  <c r="G26"/>
  <c r="G23"/>
  <c r="C11" i="14"/>
  <c r="B4" i="48"/>
  <c r="F24"/>
  <c r="F32"/>
  <c r="F29"/>
  <c r="F30"/>
  <c r="F31"/>
  <c r="F27"/>
  <c r="F28"/>
  <c r="N24"/>
  <c r="N32"/>
  <c r="N30"/>
  <c r="N29"/>
  <c r="N27"/>
  <c r="N31"/>
  <c r="N28"/>
  <c r="C19" i="14"/>
  <c r="B10" i="48"/>
  <c r="E32"/>
  <c r="E29"/>
  <c r="E24"/>
  <c r="E31"/>
  <c r="E30"/>
  <c r="E28"/>
  <c r="M26"/>
  <c r="M32"/>
  <c r="M22"/>
  <c r="M30"/>
  <c r="M25"/>
  <c r="M29"/>
  <c r="M24"/>
  <c r="M23"/>
  <c r="K5"/>
  <c r="L10" i="14"/>
  <c r="L16" s="1"/>
  <c r="L27" s="1"/>
  <c r="D30" i="48"/>
  <c r="D31"/>
  <c r="D29"/>
  <c r="D28"/>
  <c r="D24"/>
  <c r="D32"/>
  <c r="L32"/>
  <c r="L28"/>
  <c r="L27"/>
  <c r="L24"/>
  <c r="L22"/>
  <c r="L29"/>
  <c r="L30"/>
  <c r="L31"/>
  <c r="Q10" i="14"/>
  <c r="P5" i="48"/>
  <c r="P23" s="1"/>
  <c r="K28"/>
  <c r="K32"/>
  <c r="K22"/>
  <c r="K27"/>
  <c r="K30"/>
  <c r="K24"/>
  <c r="K26"/>
  <c r="K29"/>
  <c r="K25"/>
  <c r="K31"/>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K23"/>
  <c r="K15"/>
  <c r="J10" i="14"/>
  <c r="J16" s="1"/>
  <c r="J27" s="1"/>
  <c r="I5" i="48"/>
  <c r="F20" i="14"/>
  <c r="F22" s="1"/>
  <c r="E9" i="48"/>
  <c r="E27" s="1"/>
  <c r="E20" i="14"/>
  <c r="E22" s="1"/>
  <c r="D9" i="48"/>
  <c r="D27" s="1"/>
  <c r="P10" i="14"/>
  <c r="O5" i="48"/>
  <c r="O23" s="1"/>
  <c r="J7"/>
  <c r="J25" s="1"/>
  <c r="K24" i="14"/>
  <c r="K26" s="1"/>
  <c r="B9" i="48"/>
  <c r="C20" i="14"/>
  <c r="G11"/>
  <c r="F4" i="48"/>
  <c r="F22" s="1"/>
  <c r="P22"/>
  <c r="Q16" i="14"/>
  <c r="Q27" s="1"/>
  <c r="J63"/>
  <c r="D10"/>
  <c r="J12" i="17"/>
  <c r="K54" i="14" s="1"/>
  <c r="K56" s="1"/>
  <c r="L46"/>
  <c r="L61" s="1"/>
  <c r="L63" s="1"/>
  <c r="K33" i="48"/>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20" i="14"/>
  <c r="H22" s="1"/>
  <c r="H27" s="1"/>
  <c r="G9" i="48"/>
  <c r="I23"/>
  <c r="I33" s="1"/>
  <c r="I15"/>
  <c r="N19" i="14"/>
  <c r="M10" i="48"/>
  <c r="M28" s="1"/>
  <c r="O22" i="16"/>
  <c r="P43" i="14" s="1"/>
  <c r="P13"/>
  <c r="P16" s="1"/>
  <c r="P27" s="1"/>
  <c r="P63" s="1"/>
  <c r="O8" i="48"/>
  <c r="H19" i="14"/>
  <c r="R19" s="1"/>
  <c r="G10" i="48"/>
  <c r="Q13"/>
  <c r="G31"/>
  <c r="E12" i="13"/>
  <c r="F41" i="14" s="1"/>
  <c r="E4" i="48"/>
  <c r="F11" i="14"/>
  <c r="R11" s="1"/>
  <c r="K11"/>
  <c r="J4" i="48"/>
  <c r="E7"/>
  <c r="E25" s="1"/>
  <c r="F24" i="14"/>
  <c r="F26" s="1"/>
  <c r="N20"/>
  <c r="M9" i="48"/>
  <c r="N22" i="14"/>
  <c r="N27" s="1"/>
  <c r="P46"/>
  <c r="P61" s="1"/>
  <c r="R18"/>
  <c r="Q63"/>
  <c r="P33" i="48"/>
  <c r="P15"/>
  <c r="C22"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F10" i="14"/>
  <c r="E5" i="48"/>
  <c r="E23" s="1"/>
  <c r="O26"/>
  <c r="O33" s="1"/>
  <c r="O15"/>
  <c r="H9"/>
  <c r="I20" i="14"/>
  <c r="I22" s="1"/>
  <c r="I27" s="1"/>
  <c r="J22" i="48"/>
  <c r="G27"/>
  <c r="G33" s="1"/>
  <c r="G15"/>
  <c r="G28"/>
  <c r="Q10"/>
  <c r="M27"/>
  <c r="M33" s="1"/>
  <c r="M15"/>
  <c r="E22"/>
  <c r="Q4"/>
  <c r="R20" i="14"/>
  <c r="R22" s="1"/>
  <c r="Q9" i="48"/>
  <c r="L25"/>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J22" i="16" l="1"/>
  <c r="K43" i="14" s="1"/>
  <c r="K13"/>
  <c r="K16" s="1"/>
  <c r="K27" s="1"/>
  <c r="J8" i="48"/>
  <c r="J26" s="1"/>
  <c r="J33" s="1"/>
  <c r="F13" i="14"/>
  <c r="F16" s="1"/>
  <c r="F27" s="1"/>
  <c r="E8" i="48"/>
  <c r="H27"/>
  <c r="H33" s="1"/>
  <c r="H15"/>
  <c r="F46" i="14"/>
  <c r="F61" s="1"/>
  <c r="K46"/>
  <c r="K61" s="1"/>
  <c r="I63"/>
  <c r="O13"/>
  <c r="N8" i="48"/>
  <c r="N26" s="1"/>
  <c r="F8"/>
  <c r="G13" i="14"/>
  <c r="E26" i="48" l="1"/>
  <c r="E33" s="1"/>
  <c r="E15"/>
  <c r="F63" i="14"/>
  <c r="R13"/>
  <c r="K63"/>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<sst xmlns="http://schemas.openxmlformats.org/spreadsheetml/2006/main" count="2416" uniqueCount="904">
  <si>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</si>
  <si>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</si>
  <si>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</si>
  <si>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</si>
  <si>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</si>
  <si>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</si>
  <si>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</si>
  <si>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</si>
  <si>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</si>
  <si>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</si>
  <si>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</si>
  <si>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</si>
  <si>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</si>
  <si>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</si>
  <si>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</si>
  <si>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</si>
  <si>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</si>
  <si>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</si>
  <si>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</si>
  <si>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</si>
  <si>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</si>
  <si>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</si>
  <si>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</si>
  <si>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</si>
  <si>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</si>
  <si>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</si>
  <si>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</si>
  <si>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</si>
  <si>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</si>
  <si>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</si>
  <si>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</si>
  <si>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</si>
  <si>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</si>
  <si>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</si>
  <si>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</si>
  <si>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</si>
  <si>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</si>
  <si>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</si>
  <si>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</si>
  <si>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</si>
  <si>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</si>
  <si>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</si>
  <si>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</si>
  <si>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</si>
  <si>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</si>
  <si>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</si>
  <si>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</si>
  <si>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</si>
  <si>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</si>
  <si>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</si>
  <si>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</si>
  <si>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</si>
  <si>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</si>
  <si>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</si>
  <si>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</si>
  <si>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</si>
  <si>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</si>
  <si>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</si>
  <si>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</si>
  <si>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</si>
  <si>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</si>
  <si>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</si>
  <si>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</si>
  <si>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</si>
  <si>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</si>
  <si>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</si>
  <si>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</si>
  <si>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</si>
  <si>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</si>
  <si>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</si>
  <si>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</si>
  <si>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</si>
  <si>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</si>
  <si>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</si>
  <si>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</si>
  <si>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</si>
  <si>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</si>
  <si>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</si>
  <si>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</si>
  <si>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</si>
  <si>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</si>
  <si>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</si>
  <si>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</si>
  <si>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</si>
  <si>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</si>
  <si>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</si>
  <si>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</si>
  <si>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</si>
  <si>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</si>
  <si>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</si>
  <si>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</si>
  <si>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</si>
  <si>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</si>
  <si>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</si>
  <si>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</si>
  <si>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</si>
  <si>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</si>
  <si>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</si>
  <si>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</si>
  <si>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</si>
  <si>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</si>
  <si>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</si>
  <si>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</si>
  <si>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</si>
  <si>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</si>
  <si>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</si>
  <si>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</si>
  <si>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</si>
  <si>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</si>
  <si>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</si>
  <si>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</si>
  <si>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</si>
  <si>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</si>
  <si>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</si>
  <si>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</si>
  <si>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</si>
  <si>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</si>
  <si>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</si>
  <si>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</si>
  <si>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</si>
  <si>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</si>
  <si>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</si>
  <si>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</si>
  <si>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</si>
  <si>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</si>
  <si>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</si>
  <si>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</si>
  <si>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</si>
  <si>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</si>
  <si>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</si>
  <si>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</si>
  <si>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</si>
  <si>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</si>
  <si>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</si>
  <si>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</si>
  <si>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</si>
  <si>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</si>
  <si>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</si>
  <si>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</si>
  <si>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</si>
  <si>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</si>
  <si>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</si>
  <si>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</si>
  <si>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</si>
  <si>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</si>
  <si>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</si>
  <si>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</si>
  <si>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</si>
  <si>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</si>
  <si>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</si>
  <si>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</si>
  <si>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</si>
  <si>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</si>
  <si>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</si>
  <si>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</si>
  <si>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</si>
  <si>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</si>
  <si>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</si>
  <si>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</si>
  <si>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</si>
  <si>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</si>
  <si>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</si>
  <si>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</si>
  <si>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</si>
  <si>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</si>
  <si>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</si>
  <si>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</si>
  <si>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</si>
  <si>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</si>
  <si>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</si>
  <si>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</si>
  <si>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</si>
  <si>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</si>
  <si>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</si>
  <si>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</si>
  <si>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</si>
  <si>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</si>
  <si>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</si>
  <si>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</si>
  <si>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</si>
  <si>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</si>
  <si>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</si>
  <si>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</si>
  <si>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</si>
  <si>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</si>
  <si>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</si>
  <si>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</si>
  <si>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</si>
  <si>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</si>
  <si>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</si>
  <si>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</si>
  <si>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</si>
  <si>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</si>
  <si>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</si>
  <si>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</si>
  <si>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</si>
  <si>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</si>
  <si>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</si>
  <si>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</si>
  <si>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</si>
  <si>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</si>
  <si>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</si>
  <si>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</si>
  <si>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</si>
  <si>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</si>
  <si>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</si>
  <si>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</si>
  <si>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</si>
  <si>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</si>
  <si>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</si>
  <si>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</si>
  <si>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</si>
  <si>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</si>
  <si>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</si>
  <si>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</si>
  <si>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</si>
  <si>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</si>
  <si>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</si>
  <si>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</si>
  <si>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</si>
  <si>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</si>
  <si>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</si>
  <si>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</si>
  <si>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</si>
  <si>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</si>
  <si>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</si>
  <si>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</si>
  <si>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</si>
  <si>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</si>
  <si>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</si>
  <si>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</si>
  <si>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</si>
  <si>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</si>
  <si>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</si>
  <si>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</si>
  <si>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</si>
  <si>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</si>
  <si>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</si>
  <si>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</si>
  <si>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</si>
  <si>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</si>
  <si>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</si>
  <si>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</si>
  <si>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</si>
  <si>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</si>
  <si>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</si>
  <si>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</si>
  <si>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</si>
  <si>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</si>
  <si>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</si>
  <si>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</si>
  <si>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</si>
  <si>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</si>
  <si>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</si>
  <si>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</si>
  <si>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</si>
  <si>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</si>
  <si>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</si>
  <si>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</si>
  <si>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</si>
  <si>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</si>
  <si>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</si>
  <si>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</si>
  <si>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</si>
  <si>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</si>
  <si>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</si>
  <si>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</si>
  <si>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</si>
  <si>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</si>
  <si>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</si>
  <si>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</si>
  <si>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</si>
  <si>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</si>
  <si>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</si>
  <si>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</si>
  <si>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</si>
  <si>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</si>
  <si>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</si>
  <si>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</si>
  <si>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</si>
  <si>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</si>
  <si>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</si>
  <si>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</si>
  <si>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</si>
  <si>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</si>
  <si>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</si>
  <si>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</si>
  <si>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</si>
  <si>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</si>
  <si>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</si>
  <si>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</si>
  <si>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</si>
  <si>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</si>
  <si>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</si>
  <si>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</si>
  <si>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</si>
  <si>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</si>
  <si>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</si>
  <si>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</si>
  <si>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</si>
  <si>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</si>
  <si>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</si>
  <si>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</si>
  <si>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</si>
  <si>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</si>
  <si>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</si>
  <si>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</si>
  <si>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</si>
  <si>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</si>
  <si>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</si>
  <si>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</si>
  <si>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</si>
  <si>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</si>
  <si>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</si>
  <si>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</si>
  <si>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</si>
  <si>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</si>
  <si>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</si>
  <si>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</si>
  <si>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</si>
  <si>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</si>
  <si>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</si>
  <si>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</si>
  <si>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</si>
  <si>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</si>
  <si>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</si>
  <si>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</si>
  <si>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</si>
  <si>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</si>
  <si>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</si>
  <si>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</si>
  <si>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</si>
  <si>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</si>
  <si>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</si>
  <si>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</si>
  <si>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</si>
  <si>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</si>
  <si>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</si>
  <si>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</si>
  <si>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</si>
  <si>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</si>
  <si>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</si>
  <si>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</si>
  <si>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</si>
  <si>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</si>
  <si>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</si>
  <si>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</si>
  <si>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</si>
  <si>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</si>
  <si>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</si>
  <si>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</si>
  <si>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</si>
  <si>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</si>
  <si>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</si>
  <si>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</si>
  <si>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</si>
  <si>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</si>
  <si>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</si>
  <si>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</si>
  <si>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</si>
  <si>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</si>
  <si>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</si>
  <si>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</si>
  <si>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</si>
  <si>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</si>
  <si>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</si>
  <si>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</si>
  <si>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</si>
  <si>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</si>
  <si>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</si>
  <si>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</si>
  <si>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</si>
  <si>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</si>
  <si>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</si>
  <si>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</si>
  <si>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</si>
  <si>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</si>
  <si>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</si>
  <si>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</si>
  <si>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</si>
  <si>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</si>
  <si>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</si>
  <si>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</si>
  <si>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</si>
  <si>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</si>
  <si>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</si>
  <si>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</si>
  <si>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</si>
  <si>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</si>
  <si>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</si>
  <si>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</si>
  <si>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</si>
  <si>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</si>
  <si>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</si>
  <si>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</si>
  <si>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</si>
  <si>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</si>
  <si>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</si>
  <si>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</si>
  <si>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</si>
  <si>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</si>
  <si>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</si>
  <si>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</si>
  <si>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</si>
  <si>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</si>
  <si>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</si>
  <si>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</si>
  <si>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</si>
  <si>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</si>
  <si>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</si>
  <si>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</si>
  <si>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</si>
  <si>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</si>
  <si>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</si>
  <si>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</si>
  <si>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</si>
  <si>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</si>
  <si>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</si>
  <si>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</si>
  <si>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</si>
  <si>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</si>
  <si>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</si>
  <si>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</si>
  <si>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</si>
  <si>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</si>
  <si>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</si>
  <si>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</si>
  <si>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</si>
  <si>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</si>
  <si>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</si>
  <si>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</si>
  <si>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</si>
  <si>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</si>
  <si>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</si>
  <si>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</si>
  <si>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</si>
  <si>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</si>
  <si>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</si>
  <si>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</si>
  <si>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</si>
  <si>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</si>
  <si>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</si>
  <si>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</si>
  <si>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</si>
  <si>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</si>
  <si>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</si>
  <si>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</si>
  <si>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</si>
  <si>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</si>
  <si>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</si>
  <si>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</si>
  <si>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</si>
  <si>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</si>
  <si>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</si>
  <si>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</si>
  <si>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</si>
  <si>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</si>
  <si>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</si>
  <si>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</si>
  <si>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</si>
  <si>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</si>
  <si>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</si>
  <si>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</si>
  <si>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</si>
  <si>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</si>
  <si>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</si>
  <si>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</si>
  <si>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</si>
  <si>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</si>
  <si>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</si>
  <si>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</si>
  <si>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</si>
  <si>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</si>
  <si>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</si>
  <si>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</si>
  <si>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</si>
  <si>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</si>
  <si>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</si>
  <si>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</si>
  <si>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</si>
  <si>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</si>
  <si>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</si>
  <si>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</si>
  <si>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</si>
  <si>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</si>
  <si>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</si>
  <si>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</si>
  <si>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</si>
  <si>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</si>
  <si>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</si>
  <si>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</si>
  <si>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</si>
  <si>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</si>
  <si>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</si>
  <si>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</si>
  <si>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</si>
  <si>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</si>
  <si>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</si>
  <si>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</si>
  <si>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</si>
  <si>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</si>
  <si>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</si>
  <si>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</si>
  <si>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</si>
  <si>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</si>
  <si>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</si>
  <si>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</si>
  <si>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</si>
  <si>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</si>
  <si>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</si>
  <si>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</si>
  <si>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</si>
  <si>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</si>
  <si>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</si>
  <si>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</si>
  <si>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</si>
  <si>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</si>
  <si>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</si>
  <si>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</si>
  <si>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</si>
  <si>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</si>
  <si>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</si>
  <si>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</si>
  <si>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</si>
  <si>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</si>
  <si>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</si>
  <si>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</si>
  <si>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</si>
  <si>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</si>
  <si>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</si>
  <si>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</si>
  <si>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</si>
  <si>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</si>
  <si>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</si>
  <si>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</si>
  <si>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</si>
  <si>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</si>
  <si>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</si>
  <si>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</si>
  <si>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</si>
  <si>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</si>
  <si>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</si>
  <si>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</si>
  <si>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</si>
  <si>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</si>
  <si>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</si>
  <si>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</si>
  <si>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</si>
  <si>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</si>
  <si>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</si>
  <si>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</si>
  <si>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</si>
  <si>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</si>
  <si>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</si>
  <si>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</si>
  <si>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</si>
  <si>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</si>
  <si>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</si>
  <si>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</si>
  <si>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</si>
  <si>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</si>
  <si>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</si>
  <si>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</si>
  <si>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</si>
  <si>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</si>
  <si>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</si>
  <si>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</si>
  <si>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</si>
  <si>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</si>
  <si>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</si>
  <si>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</si>
  <si>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</si>
  <si>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</si>
  <si>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</si>
  <si>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</si>
  <si>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</si>
  <si>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</si>
  <si>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</si>
  <si>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</si>
  <si>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</si>
  <si>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</si>
  <si>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</si>
  <si>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</si>
  <si>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</si>
  <si>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</si>
  <si>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</si>
  <si>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</si>
  <si>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</si>
  <si>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</si>
  <si>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</si>
  <si>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</si>
  <si>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</si>
  <si>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</si>
  <si>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</si>
  <si>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</si>
  <si>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</si>
  <si>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</si>
  <si>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</si>
  <si>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</si>
  <si>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</si>
  <si>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</si>
  <si>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</si>
  <si>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</si>
  <si>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</si>
  <si>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</si>
  <si>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</si>
  <si>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</si>
  <si>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</si>
  <si>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</si>
  <si>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</si>
  <si>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</si>
  <si>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</si>
  <si>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</si>
  <si>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</si>
  <si>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</si>
  <si>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</si>
  <si>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</si>
  <si>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</si>
  <si>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</si>
  <si>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</si>
  <si>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</si>
  <si>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</si>
  <si>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</si>
  <si>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</si>
  <si>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</si>
  <si>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</si>
  <si>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</si>
  <si>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</si>
  <si>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</si>
  <si>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</si>
  <si>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</si>
  <si>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</si>
  <si>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</si>
  <si>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</si>
  <si>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</si>
  <si>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</si>
  <si>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</si>
  <si>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</si>
  <si>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</si>
  <si>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</si>
  <si>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</si>
  <si>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</si>
  <si>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</si>
  <si>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</si>
  <si>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</si>
  <si>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</si>
  <si>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</si>
  <si>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</si>
  <si>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</si>
  <si>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</si>
  <si>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</si>
  <si>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</si>
  <si>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</si>
  <si>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</si>
  <si>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</si>
  <si>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</si>
  <si>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</si>
  <si>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</si>
  <si>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</si>
  <si>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</si>
  <si>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</si>
  <si>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</si>
  <si>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</si>
  <si>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</si>
  <si>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</si>
  <si>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</si>
  <si>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</si>
  <si>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</si>
  <si>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</si>
  <si>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</si>
  <si>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</si>
  <si>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</si>
  <si>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</si>
  <si>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</si>
  <si>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</si>
  <si>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</si>
  <si>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</si>
  <si>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</si>
  <si>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</si>
  <si>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</si>
  <si>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</si>
  <si>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</si>
  <si>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</si>
  <si>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</si>
  <si>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</si>
  <si>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</si>
  <si>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</si>
  <si>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</si>
  <si>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</si>
  <si>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</si>
  <si>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</si>
  <si>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</si>
  <si>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</si>
  <si>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</si>
  <si>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</si>
  <si>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</si>
  <si>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</si>
  <si>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</si>
  <si>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</si>
  <si>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</si>
  <si>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</si>
  <si>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</si>
  <si>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</si>
  <si>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</si>
  <si>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</si>
  <si>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</si>
  <si>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</si>
  <si>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</si>
  <si>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</si>
  <si>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</si>
  <si>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</si>
  <si>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</si>
  <si>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</si>
  <si>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</si>
  <si>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</si>
  <si>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</si>
  <si>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</si>
  <si>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</si>
  <si>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</si>
  <si>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</si>
  <si>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</si>
  <si>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</si>
  <si>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</si>
  <si>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</si>
  <si>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</si>
  <si>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</si>
  <si>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</si>
  <si>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</si>
  <si>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</si>
  <si>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</si>
  <si>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</si>
  <si>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</si>
  <si>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</si>
  <si>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</si>
  <si>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</si>
  <si>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</si>
  <si>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</si>
  <si>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</si>
  <si>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</si>
  <si>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</si>
  <si>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</si>
  <si>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</si>
  <si>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</si>
  <si>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</si>
  <si>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</si>
  <si>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</si>
  <si>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</si>
  <si>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</si>
  <si>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</si>
  <si>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</si>
  <si>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</si>
  <si>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</si>
  <si>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</si>
  <si>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</si>
  <si>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</si>
  <si>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</si>
  <si>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</si>
  <si>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</si>
  <si>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</si>
  <si>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</si>
  <si>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</si>
  <si>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</si>
  <si>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</si>
  <si>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</si>
  <si>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</si>
  <si>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</si>
  <si>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</si>
  <si>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</si>
  <si>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</si>
  <si>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</si>
  <si>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</si>
  <si>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</si>
  <si>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</si>
  <si>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</si>
  <si>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</si>
  <si>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</si>
  <si>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</si>
  <si>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</si>
  <si>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</si>
  <si>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</si>
  <si>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</si>
  <si>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</si>
  <si>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</si>
  <si>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</si>
  <si>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</si>
  <si>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</si>
  <si>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</si>
  <si>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</si>
  <si>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</si>
  <si>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</si>
  <si>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</si>
  <si>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</si>
  <si>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</si>
  <si>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</si>
  <si>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</si>
  <si>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</si>
  <si>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</si>
  <si>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</si>
  <si>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</si>
  <si>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</si>
  <si>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</si>
  <si>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</si>
  <si>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</si>
  <si>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</si>
  <si>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</si>
  <si>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</si>
  <si>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</si>
  <si>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</si>
  <si>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</si>
  <si>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</si>
  <si>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</si>
  <si>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</si>
  <si>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</si>
  <si>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</si>
  <si>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</si>
  <si>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</si>
  <si>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</si>
  <si>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</si>
  <si>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</si>
  <si>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</si>
  <si>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</si>
  <si>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</si>
  <si>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</si>
  <si>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</si>
  <si>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</si>
  <si>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</si>
  <si>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</si>
  <si>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</si>
  <si>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</si>
  <si>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</si>
  <si>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</si>
  <si>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</si>
  <si>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</si>
  <si>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</si>
  <si>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</si>
  <si>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</si>
  <si>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</si>
  <si>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</si>
  <si>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</si>
  <si>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</si>
  <si>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</si>
  <si>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</si>
  <si>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</si>
  <si>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</si>
  <si>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</si>
  <si>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</si>
  <si>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</si>
  <si>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</si>
  <si>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</si>
  <si>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</si>
  <si>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</si>
  <si>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</si>
  <si>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</si>
  <si>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</si>
  <si>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</si>
  <si>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</si>
  <si>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</si>
  <si>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</si>
  <si>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</si>
  <si>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</si>
  <si>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</si>
  <si>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</si>
  <si>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</si>
  <si>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</si>
  <si>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</si>
  <si>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</si>
  <si>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</si>
  <si>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</si>
  <si>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</si>
  <si>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</si>
  <si>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</si>
  <si>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</si>
  <si>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</si>
  <si>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</si>
  <si>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versie: 2014_06</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</si>
  <si>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</si>
  <si>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</si>
  <si>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</si>
  <si>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</si>
  <si>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</si>
  <si>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</si>
  <si>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</si>
  <si>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</si>
  <si>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</si>
  <si>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</si>
  <si>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</si>
  <si>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</si>
  <si>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</si>
  <si>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</si>
  <si>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</si>
  <si>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</si>
  <si>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</si>
  <si>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</si>
  <si>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</si>
  <si>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</si>
  <si>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</si>
  <si>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11030</t>
  </si>
  <si>
    <t>NIEL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</si>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</sst>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63089.620437680453</c:v>
                </c:pt>
                <c:pt idx="1">
                  <c:v>24017.276545628883</c:v>
                </c:pt>
                <c:pt idx="2">
                  <c:v>576.33900000000006</c:v>
                </c:pt>
                <c:pt idx="3">
                  <c:v>70.781882539657047</c:v>
                </c:pt>
                <c:pt idx="4">
                  <c:v>8960.882809006458</c:v>
                </c:pt>
                <c:pt idx="5">
                  <c:v>22501.880170108878</c:v>
                </c:pt>
                <c:pt idx="6">
                  <c:v>694.29354067889801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165888"/>
        <c:axId val="182167424"/>
      </c:barChart>
      <c:catAx>
        <c:axId val="182165888"/>
        <c:scaling>
          <c:orientation val="minMax"/>
        </c:scaling>
        <c:axPos val="b"/>
        <c:numFmt formatCode="General" sourceLinked="0"/>
        <c:tickLblPos val="nextTo"/>
        <c:crossAx val="182167424"/>
        <c:crosses val="autoZero"/>
        <c:auto val="1"/>
        <c:lblAlgn val="ctr"/>
        <c:lblOffset val="100"/>
      </c:catAx>
      <c:valAx>
        <c:axId val="182167424"/>
        <c:scaling>
          <c:orientation val="minMax"/>
        </c:scaling>
        <c:axPos val="l"/>
        <c:majorGridlines/>
        <c:numFmt formatCode="#,##0" sourceLinked="1"/>
        <c:tickLblPos val="nextTo"/>
        <c:crossAx val="182165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63089.620437680453</c:v>
                </c:pt>
                <c:pt idx="1">
                  <c:v>24017.276545628883</c:v>
                </c:pt>
                <c:pt idx="2">
                  <c:v>576.33900000000006</c:v>
                </c:pt>
                <c:pt idx="3">
                  <c:v>70.781882539657047</c:v>
                </c:pt>
                <c:pt idx="4">
                  <c:v>8960.882809006458</c:v>
                </c:pt>
                <c:pt idx="5">
                  <c:v>22501.880170108878</c:v>
                </c:pt>
                <c:pt idx="6">
                  <c:v>694.29354067889801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12456.02351129966</c:v>
                </c:pt>
                <c:pt idx="2">
                  <c:v>4673.7939623642706</c:v>
                </c:pt>
                <c:pt idx="3">
                  <c:v>114.32382136028474</c:v>
                </c:pt>
                <c:pt idx="4">
                  <c:v>16.946884372248746</c:v>
                </c:pt>
                <c:pt idx="5">
                  <c:v>1757.7269963905674</c:v>
                </c:pt>
                <c:pt idx="6">
                  <c:v>5631.6527747689943</c:v>
                </c:pt>
                <c:pt idx="7">
                  <c:v>175.37523685013539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504448"/>
        <c:axId val="182555392"/>
      </c:barChart>
      <c:catAx>
        <c:axId val="182504448"/>
        <c:scaling>
          <c:orientation val="minMax"/>
        </c:scaling>
        <c:axPos val="b"/>
        <c:numFmt formatCode="General" sourceLinked="0"/>
        <c:tickLblPos val="nextTo"/>
        <c:crossAx val="182555392"/>
        <c:crosses val="autoZero"/>
        <c:auto val="1"/>
        <c:lblAlgn val="ctr"/>
        <c:lblOffset val="100"/>
      </c:catAx>
      <c:valAx>
        <c:axId val="182555392"/>
        <c:scaling>
          <c:orientation val="minMax"/>
        </c:scaling>
        <c:axPos val="l"/>
        <c:majorGridlines/>
        <c:numFmt formatCode="#,##0" sourceLinked="1"/>
        <c:tickLblPos val="nextTo"/>
        <c:crossAx val="182504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12456.02351129966</c:v>
                </c:pt>
                <c:pt idx="2">
                  <c:v>4673.7939623642706</c:v>
                </c:pt>
                <c:pt idx="3">
                  <c:v>114.32382136028474</c:v>
                </c:pt>
                <c:pt idx="4">
                  <c:v>16.946884372248746</c:v>
                </c:pt>
                <c:pt idx="5">
                  <c:v>1757.7269963905674</c:v>
                </c:pt>
                <c:pt idx="6">
                  <c:v>5631.6527747689943</c:v>
                </c:pt>
                <c:pt idx="7">
                  <c:v>175.37523685013539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874</v>
      </c>
      <c r="B4" s="106"/>
      <c r="C4" s="107"/>
    </row>
    <row r="5" spans="1:7" s="414" customFormat="1" ht="15.75" customHeight="1">
      <c r="A5" s="411" t="s">
        <v>0</v>
      </c>
      <c r="B5" s="412"/>
      <c r="C5" s="413"/>
    </row>
    <row r="6" spans="1:7" s="414" customFormat="1" ht="15" customHeight="1">
      <c r="A6" s="415" t="str">
        <f>txtNIS</f>
        <v>11030</v>
      </c>
      <c r="B6" s="416"/>
      <c r="C6" s="417"/>
    </row>
    <row r="7" spans="1:7" s="414" customFormat="1" ht="15.75" customHeight="1">
      <c r="A7" s="418" t="str">
        <f>txtMunicipality</f>
        <v>NIEL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0.19836211216017782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0.19836211216017782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11030</v>
      </c>
      <c r="B1" s="332"/>
      <c r="C1" s="332"/>
      <c r="D1" s="332"/>
      <c r="E1" s="332"/>
      <c r="F1" s="333"/>
    </row>
    <row r="3" spans="1:6" ht="19.5">
      <c r="A3" s="335" t="s">
        <v>0</v>
      </c>
    </row>
    <row r="4" spans="1:6" ht="22.5">
      <c r="A4" s="1305" t="s">
        <v>896</v>
      </c>
    </row>
    <row r="5" spans="1:6" ht="22.5">
      <c r="A5" s="1305" t="s">
        <v>897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4079</v>
      </c>
      <c r="C9" s="342">
        <v>4335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81</v>
      </c>
    </row>
    <row r="15" spans="1:6">
      <c r="A15" s="348" t="s">
        <v>184</v>
      </c>
      <c r="B15" s="334">
        <v>0</v>
      </c>
    </row>
    <row r="16" spans="1:6">
      <c r="A16" s="348" t="s">
        <v>6</v>
      </c>
      <c r="B16" s="334">
        <v>0</v>
      </c>
    </row>
    <row r="17" spans="1:6">
      <c r="A17" s="348" t="s">
        <v>7</v>
      </c>
      <c r="B17" s="334">
        <v>41</v>
      </c>
    </row>
    <row r="18" spans="1:6">
      <c r="A18" s="348" t="s">
        <v>8</v>
      </c>
      <c r="B18" s="334">
        <v>30</v>
      </c>
    </row>
    <row r="19" spans="1:6">
      <c r="A19" s="348" t="s">
        <v>9</v>
      </c>
      <c r="B19" s="334">
        <v>22</v>
      </c>
    </row>
    <row r="20" spans="1:6">
      <c r="A20" s="348" t="s">
        <v>10</v>
      </c>
      <c r="B20" s="334">
        <v>52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898</v>
      </c>
      <c r="B29" s="355">
        <v>2</v>
      </c>
      <c r="C29" s="356"/>
      <c r="D29" s="356"/>
      <c r="E29" s="356"/>
      <c r="F29" s="356"/>
    </row>
    <row r="30" spans="1:6">
      <c r="A30" s="341" t="s">
        <v>899</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18619</v>
      </c>
    </row>
    <row r="37" spans="1:6">
      <c r="A37" s="348" t="s">
        <v>25</v>
      </c>
      <c r="B37" s="348" t="s">
        <v>28</v>
      </c>
      <c r="C37" s="334">
        <v>0</v>
      </c>
      <c r="D37" s="334">
        <v>0</v>
      </c>
      <c r="E37" s="334">
        <v>0</v>
      </c>
      <c r="F37" s="334">
        <v>0</v>
      </c>
    </row>
    <row r="38" spans="1:6">
      <c r="A38" s="348" t="s">
        <v>25</v>
      </c>
      <c r="B38" s="348" t="s">
        <v>29</v>
      </c>
      <c r="C38" s="334">
        <v>0</v>
      </c>
      <c r="D38" s="334">
        <v>0</v>
      </c>
      <c r="E38" s="334">
        <v>1</v>
      </c>
      <c r="F38" s="334">
        <v>151349</v>
      </c>
    </row>
    <row r="39" spans="1:6">
      <c r="A39" s="348" t="s">
        <v>30</v>
      </c>
      <c r="B39" s="348" t="s">
        <v>31</v>
      </c>
      <c r="C39" s="334">
        <v>3673</v>
      </c>
      <c r="D39" s="334">
        <v>51573932</v>
      </c>
      <c r="E39" s="334">
        <v>4317</v>
      </c>
      <c r="F39" s="334">
        <v>14364497</v>
      </c>
    </row>
    <row r="40" spans="1:6">
      <c r="A40" s="348" t="s">
        <v>30</v>
      </c>
      <c r="B40" s="348" t="s">
        <v>29</v>
      </c>
      <c r="C40" s="334">
        <v>0</v>
      </c>
      <c r="D40" s="334">
        <v>0</v>
      </c>
      <c r="E40" s="334">
        <v>0</v>
      </c>
      <c r="F40" s="334">
        <v>0</v>
      </c>
    </row>
    <row r="41" spans="1:6">
      <c r="A41" s="348" t="s">
        <v>32</v>
      </c>
      <c r="B41" s="348" t="s">
        <v>33</v>
      </c>
      <c r="C41" s="334">
        <v>46</v>
      </c>
      <c r="D41" s="334">
        <v>1380425</v>
      </c>
      <c r="E41" s="334">
        <v>89</v>
      </c>
      <c r="F41" s="334">
        <v>1038831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146882</v>
      </c>
      <c r="E44" s="334">
        <v>11</v>
      </c>
      <c r="F44" s="334">
        <v>195226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92674</v>
      </c>
      <c r="E47" s="334">
        <v>3</v>
      </c>
      <c r="F47" s="334">
        <v>10407</v>
      </c>
    </row>
    <row r="48" spans="1:6">
      <c r="A48" s="348" t="s">
        <v>32</v>
      </c>
      <c r="B48" s="348" t="s">
        <v>29</v>
      </c>
      <c r="C48" s="334">
        <v>3</v>
      </c>
      <c r="D48" s="334">
        <v>806139</v>
      </c>
      <c r="E48" s="334">
        <v>3</v>
      </c>
      <c r="F48" s="334">
        <v>1856839</v>
      </c>
    </row>
    <row r="49" spans="1:6">
      <c r="A49" s="348" t="s">
        <v>32</v>
      </c>
      <c r="B49" s="348" t="s">
        <v>40</v>
      </c>
      <c r="C49" s="334">
        <v>0</v>
      </c>
      <c r="D49" s="334">
        <v>0</v>
      </c>
      <c r="E49" s="334">
        <v>0</v>
      </c>
      <c r="F49" s="334">
        <v>0</v>
      </c>
    </row>
    <row r="50" spans="1:6">
      <c r="A50" s="348" t="s">
        <v>32</v>
      </c>
      <c r="B50" s="348" t="s">
        <v>41</v>
      </c>
      <c r="C50" s="334">
        <v>9</v>
      </c>
      <c r="D50" s="334">
        <v>573957</v>
      </c>
      <c r="E50" s="334">
        <v>10</v>
      </c>
      <c r="F50" s="334">
        <v>221096</v>
      </c>
    </row>
    <row r="51" spans="1:6">
      <c r="A51" s="348" t="s">
        <v>42</v>
      </c>
      <c r="B51" s="348" t="s">
        <v>43</v>
      </c>
      <c r="C51" s="334">
        <v>0</v>
      </c>
      <c r="D51" s="334">
        <v>0</v>
      </c>
      <c r="E51" s="334">
        <v>4</v>
      </c>
      <c r="F51" s="334">
        <v>14333</v>
      </c>
    </row>
    <row r="52" spans="1:6">
      <c r="A52" s="348" t="s">
        <v>42</v>
      </c>
      <c r="B52" s="348" t="s">
        <v>29</v>
      </c>
      <c r="C52" s="334">
        <v>2</v>
      </c>
      <c r="D52" s="334">
        <v>19682</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8</v>
      </c>
      <c r="F54" s="334">
        <v>576339</v>
      </c>
    </row>
    <row r="55" spans="1:6">
      <c r="A55" s="348" t="s">
        <v>46</v>
      </c>
      <c r="B55" s="348" t="s">
        <v>29</v>
      </c>
      <c r="C55" s="334">
        <v>0</v>
      </c>
      <c r="D55" s="334">
        <v>0</v>
      </c>
      <c r="E55" s="334">
        <v>0</v>
      </c>
      <c r="F55" s="334">
        <v>0</v>
      </c>
    </row>
    <row r="56" spans="1:6">
      <c r="A56" s="348" t="s">
        <v>48</v>
      </c>
      <c r="B56" s="348" t="s">
        <v>29</v>
      </c>
      <c r="C56" s="334">
        <v>72</v>
      </c>
      <c r="D56" s="334">
        <v>1378820</v>
      </c>
      <c r="E56" s="334">
        <v>112</v>
      </c>
      <c r="F56" s="334">
        <v>550220</v>
      </c>
    </row>
    <row r="57" spans="1:6">
      <c r="A57" s="348" t="s">
        <v>49</v>
      </c>
      <c r="B57" s="348" t="s">
        <v>50</v>
      </c>
      <c r="C57" s="334">
        <v>25</v>
      </c>
      <c r="D57" s="334">
        <v>870076</v>
      </c>
      <c r="E57" s="334">
        <v>44</v>
      </c>
      <c r="F57" s="334">
        <v>1582399</v>
      </c>
    </row>
    <row r="58" spans="1:6">
      <c r="A58" s="348" t="s">
        <v>49</v>
      </c>
      <c r="B58" s="348" t="s">
        <v>51</v>
      </c>
      <c r="C58" s="334">
        <v>8</v>
      </c>
      <c r="D58" s="334">
        <v>1750187</v>
      </c>
      <c r="E58" s="334">
        <v>9</v>
      </c>
      <c r="F58" s="334">
        <v>488999</v>
      </c>
    </row>
    <row r="59" spans="1:6">
      <c r="A59" s="348" t="s">
        <v>49</v>
      </c>
      <c r="B59" s="348" t="s">
        <v>52</v>
      </c>
      <c r="C59" s="334">
        <v>48</v>
      </c>
      <c r="D59" s="334">
        <v>1775010</v>
      </c>
      <c r="E59" s="334">
        <v>66</v>
      </c>
      <c r="F59" s="334">
        <v>6015196</v>
      </c>
    </row>
    <row r="60" spans="1:6">
      <c r="A60" s="348" t="s">
        <v>49</v>
      </c>
      <c r="B60" s="348" t="s">
        <v>53</v>
      </c>
      <c r="C60" s="334">
        <v>33</v>
      </c>
      <c r="D60" s="334">
        <v>1115694</v>
      </c>
      <c r="E60" s="334">
        <v>42</v>
      </c>
      <c r="F60" s="334">
        <v>614156</v>
      </c>
    </row>
    <row r="61" spans="1:6">
      <c r="A61" s="348" t="s">
        <v>49</v>
      </c>
      <c r="B61" s="348" t="s">
        <v>54</v>
      </c>
      <c r="C61" s="334">
        <v>96</v>
      </c>
      <c r="D61" s="334">
        <v>4855331</v>
      </c>
      <c r="E61" s="334">
        <v>175</v>
      </c>
      <c r="F61" s="334">
        <v>2011346</v>
      </c>
    </row>
    <row r="62" spans="1:6">
      <c r="A62" s="348" t="s">
        <v>49</v>
      </c>
      <c r="B62" s="348" t="s">
        <v>55</v>
      </c>
      <c r="C62" s="334">
        <v>3</v>
      </c>
      <c r="D62" s="334">
        <v>961847</v>
      </c>
      <c r="E62" s="334">
        <v>0</v>
      </c>
      <c r="F62" s="334">
        <v>0</v>
      </c>
    </row>
    <row r="63" spans="1:6">
      <c r="A63" s="348" t="s">
        <v>49</v>
      </c>
      <c r="B63" s="348" t="s">
        <v>29</v>
      </c>
      <c r="C63" s="334">
        <v>0</v>
      </c>
      <c r="D63" s="334">
        <v>0</v>
      </c>
      <c r="E63" s="334">
        <v>2</v>
      </c>
      <c r="F63" s="334">
        <v>198327</v>
      </c>
    </row>
    <row r="64" spans="1:6">
      <c r="A64" s="348" t="s">
        <v>56</v>
      </c>
      <c r="B64" s="348" t="s">
        <v>57</v>
      </c>
      <c r="C64" s="334">
        <v>0</v>
      </c>
      <c r="D64" s="334">
        <v>0</v>
      </c>
      <c r="E64" s="334">
        <v>0</v>
      </c>
      <c r="F64" s="334">
        <v>0</v>
      </c>
    </row>
    <row r="65" spans="1:6">
      <c r="A65" s="348" t="s">
        <v>56</v>
      </c>
      <c r="B65" s="348" t="s">
        <v>29</v>
      </c>
      <c r="C65" s="334">
        <v>3</v>
      </c>
      <c r="D65" s="334">
        <v>54523</v>
      </c>
      <c r="E65" s="334">
        <v>1</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9</v>
      </c>
      <c r="F68" s="334">
        <v>156105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28856161</v>
      </c>
      <c r="E73" s="476">
        <v>31126506.478008106</v>
      </c>
    </row>
    <row r="74" spans="1:6">
      <c r="A74" s="348" t="s">
        <v>64</v>
      </c>
      <c r="B74" s="348" t="s">
        <v>714</v>
      </c>
      <c r="C74" s="1311" t="s">
        <v>716</v>
      </c>
      <c r="D74" s="476">
        <v>885012.09499323228</v>
      </c>
      <c r="E74" s="476">
        <v>935158.90829394013</v>
      </c>
    </row>
    <row r="75" spans="1:6">
      <c r="A75" s="348" t="s">
        <v>65</v>
      </c>
      <c r="B75" s="348" t="s">
        <v>713</v>
      </c>
      <c r="C75" s="1311" t="s">
        <v>717</v>
      </c>
      <c r="D75" s="476">
        <v>2739296</v>
      </c>
      <c r="E75" s="476">
        <v>2944518.5514691258</v>
      </c>
    </row>
    <row r="76" spans="1:6">
      <c r="A76" s="348" t="s">
        <v>65</v>
      </c>
      <c r="B76" s="348" t="s">
        <v>714</v>
      </c>
      <c r="C76" s="1311" t="s">
        <v>718</v>
      </c>
      <c r="D76" s="476">
        <v>236020.09499323228</v>
      </c>
      <c r="E76" s="476">
        <v>263605.1916596996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900</v>
      </c>
      <c r="D81" s="337"/>
      <c r="E81" s="337"/>
      <c r="F81" s="344"/>
    </row>
    <row r="82" spans="1:6" ht="16.5" thickTop="1" thickBot="1">
      <c r="A82" s="345" t="s">
        <v>335</v>
      </c>
      <c r="B82" s="361">
        <v>2014</v>
      </c>
      <c r="C82" s="361">
        <v>2020</v>
      </c>
      <c r="D82" s="346"/>
      <c r="E82" s="346"/>
      <c r="F82" s="347"/>
    </row>
    <row r="83" spans="1:6">
      <c r="A83" s="348" t="s">
        <v>336</v>
      </c>
      <c r="B83" s="476">
        <v>185531.81001353543</v>
      </c>
      <c r="C83" s="476">
        <v>183429.71911498098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889.69115504537342</v>
      </c>
    </row>
    <row r="92" spans="1:6">
      <c r="A92" s="341" t="s">
        <v>69</v>
      </c>
      <c r="B92" s="342">
        <v>2248.0873150477614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2687</v>
      </c>
    </row>
    <row r="98" spans="1:6">
      <c r="A98" s="348" t="s">
        <v>72</v>
      </c>
      <c r="B98" s="334">
        <v>5</v>
      </c>
    </row>
    <row r="99" spans="1:6">
      <c r="A99" s="348" t="s">
        <v>73</v>
      </c>
      <c r="B99" s="334">
        <v>10</v>
      </c>
    </row>
    <row r="100" spans="1:6">
      <c r="A100" s="348" t="s">
        <v>74</v>
      </c>
      <c r="B100" s="334">
        <v>375</v>
      </c>
    </row>
    <row r="101" spans="1:6">
      <c r="A101" s="348" t="s">
        <v>75</v>
      </c>
      <c r="B101" s="334">
        <v>16</v>
      </c>
    </row>
    <row r="102" spans="1:6">
      <c r="A102" s="348" t="s">
        <v>76</v>
      </c>
      <c r="B102" s="334">
        <v>52</v>
      </c>
    </row>
    <row r="103" spans="1:6">
      <c r="A103" s="348" t="s">
        <v>77</v>
      </c>
      <c r="B103" s="334">
        <v>69</v>
      </c>
    </row>
    <row r="104" spans="1:6">
      <c r="A104" s="348" t="s">
        <v>78</v>
      </c>
      <c r="B104" s="334">
        <v>325</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902</v>
      </c>
      <c r="D127" s="337"/>
      <c r="E127" s="337"/>
      <c r="F127" s="344"/>
    </row>
    <row r="128" spans="1:6" ht="16.5" thickTop="1" thickBot="1">
      <c r="A128" s="345" t="s">
        <v>4</v>
      </c>
      <c r="B128" s="346" t="s">
        <v>5</v>
      </c>
      <c r="C128" s="346"/>
      <c r="D128" s="346"/>
      <c r="E128" s="346"/>
      <c r="F128" s="347"/>
    </row>
    <row r="129" spans="1:6">
      <c r="A129" s="348" t="s">
        <v>294</v>
      </c>
      <c r="B129" s="334">
        <v>22</v>
      </c>
    </row>
    <row r="130" spans="1:6">
      <c r="A130" s="348" t="s">
        <v>295</v>
      </c>
      <c r="B130" s="334">
        <v>0</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1" sqref="A1:XFD1048576"/>
    </sheetView>
  </sheetViews>
  <sheetFormatPr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30632.232423677837</v>
      </c>
      <c r="C3" s="43" t="s">
        <v>170</v>
      </c>
      <c r="D3" s="43"/>
      <c r="E3" s="154"/>
      <c r="F3" s="43"/>
      <c r="G3" s="43"/>
      <c r="H3" s="43"/>
      <c r="I3" s="43"/>
      <c r="J3" s="43"/>
      <c r="K3" s="96"/>
    </row>
    <row r="4" spans="1:11">
      <c r="A4" s="384" t="s">
        <v>171</v>
      </c>
      <c r="B4" s="49">
        <f>IF(ISERROR('SEAP template'!B78),0,'SEAP template'!B78)</f>
        <v>3137.7784700931347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0.19836211216017782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576.33900000000006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576.33900000000006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0.19836211216017782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114.32382136028474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14364.496999999999</v>
      </c>
      <c r="C5" s="17">
        <f>IF(ISERROR('Eigen informatie GS &amp; warmtenet'!B57),0,'Eigen informatie GS &amp; warmtenet'!B57)</f>
        <v>0</v>
      </c>
      <c r="D5" s="30">
        <f>(SUM(HH_hh_gas_kWh,HH_rest_gas_kWh)/1000)*0.902</f>
        <v>46519.686664000001</v>
      </c>
      <c r="E5" s="17">
        <f>B46*B57</f>
        <v>146.22829712816204</v>
      </c>
      <c r="F5" s="17">
        <f>B51*B62</f>
        <v>0</v>
      </c>
      <c r="G5" s="18"/>
      <c r="H5" s="17"/>
      <c r="I5" s="17"/>
      <c r="J5" s="17">
        <f>B50*B61+C50*C61</f>
        <v>0</v>
      </c>
      <c r="K5" s="17"/>
      <c r="L5" s="17"/>
      <c r="M5" s="17"/>
      <c r="N5" s="17">
        <f>B48*B59+C48*C59</f>
        <v>887.25732150691579</v>
      </c>
      <c r="O5" s="17">
        <f>B69*B70*B71</f>
        <v>34.393333333333338</v>
      </c>
      <c r="P5" s="17">
        <f>B77*B78*B79/1000-B77*B78*B79/1000/B80</f>
        <v>247.86666666666667</v>
      </c>
    </row>
    <row r="6" spans="1:16">
      <c r="A6" s="16" t="s">
        <v>631</v>
      </c>
      <c r="B6" s="789">
        <f>kWh_PV_kleiner_dan_10kW</f>
        <v>889.69115504537342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15254.188155045373</v>
      </c>
      <c r="C8" s="21">
        <f>C5</f>
        <v>0</v>
      </c>
      <c r="D8" s="21">
        <f>D5</f>
        <v>46519.686664000001</v>
      </c>
      <c r="E8" s="21">
        <f>E5</f>
        <v>146.22829712816204</v>
      </c>
      <c r="F8" s="21">
        <f>F5</f>
        <v>0</v>
      </c>
      <c r="G8" s="21"/>
      <c r="H8" s="21"/>
      <c r="I8" s="21"/>
      <c r="J8" s="21">
        <f>J5</f>
        <v>0</v>
      </c>
      <c r="K8" s="21"/>
      <c r="L8" s="21">
        <f>L5</f>
        <v>0</v>
      </c>
      <c r="M8" s="21">
        <f>M5</f>
        <v>0</v>
      </c>
      <c r="N8" s="21">
        <f>N5</f>
        <v>887.25732150691579</v>
      </c>
      <c r="O8" s="21">
        <f>O5</f>
        <v>34.393333333333338</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0.19836211216017782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3025.8529817235662</v>
      </c>
      <c r="C12" s="23">
        <f ca="1">C10*C8</f>
        <v>0</v>
      </c>
      <c r="D12" s="23">
        <f>D8*D10</f>
        <v>9396.9767061279999</v>
      </c>
      <c r="E12" s="23">
        <f>E10*E8</f>
        <v>33.193823448092786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2687</v>
      </c>
      <c r="C18" s="166" t="s">
        <v>111</v>
      </c>
      <c r="D18" s="228"/>
      <c r="E18" s="15"/>
    </row>
    <row r="19" spans="1:7">
      <c r="A19" s="171" t="s">
        <v>72</v>
      </c>
      <c r="B19" s="37">
        <f>aantalw2001_ander</f>
        <v>5</v>
      </c>
      <c r="C19" s="166" t="s">
        <v>111</v>
      </c>
      <c r="D19" s="229"/>
      <c r="E19" s="15"/>
    </row>
    <row r="20" spans="1:7">
      <c r="A20" s="171" t="s">
        <v>73</v>
      </c>
      <c r="B20" s="37">
        <f>aantalw2001_propaan</f>
        <v>10</v>
      </c>
      <c r="C20" s="167">
        <f>IF(ISERROR(B20/SUM($B$20,$B$21,$B$22)*100),0,B20/SUM($B$20,$B$21,$B$22)*100)</f>
        <v>2.4937655860349128</v>
      </c>
      <c r="D20" s="229"/>
      <c r="E20" s="15"/>
    </row>
    <row r="21" spans="1:7">
      <c r="A21" s="171" t="s">
        <v>74</v>
      </c>
      <c r="B21" s="37">
        <f>aantalw2001_elektriciteit</f>
        <v>375</v>
      </c>
      <c r="C21" s="167">
        <f>IF(ISERROR(B21/SUM($B$20,$B$21,$B$22)*100),0,B21/SUM($B$20,$B$21,$B$22)*100)</f>
        <v>93.516209476309228</v>
      </c>
      <c r="D21" s="229"/>
      <c r="E21" s="15"/>
    </row>
    <row r="22" spans="1:7">
      <c r="A22" s="171" t="s">
        <v>75</v>
      </c>
      <c r="B22" s="37">
        <f>aantalw2001_hout</f>
        <v>16</v>
      </c>
      <c r="C22" s="167">
        <f>IF(ISERROR(B22/SUM($B$20,$B$21,$B$22)*100),0,B22/SUM($B$20,$B$21,$B$22)*100)</f>
        <v>3.9900249376558601</v>
      </c>
      <c r="D22" s="229"/>
      <c r="E22" s="15"/>
    </row>
    <row r="23" spans="1:7">
      <c r="A23" s="171" t="s">
        <v>76</v>
      </c>
      <c r="B23" s="37">
        <f>aantalw2001_niet_gespec</f>
        <v>52</v>
      </c>
      <c r="C23" s="166" t="s">
        <v>111</v>
      </c>
      <c r="D23" s="228"/>
      <c r="E23" s="15"/>
    </row>
    <row r="24" spans="1:7">
      <c r="A24" s="171" t="s">
        <v>77</v>
      </c>
      <c r="B24" s="37">
        <f>aantalw2001_steenkool</f>
        <v>69</v>
      </c>
      <c r="C24" s="166" t="s">
        <v>111</v>
      </c>
      <c r="D24" s="229"/>
      <c r="E24" s="15"/>
    </row>
    <row r="25" spans="1:7">
      <c r="A25" s="171" t="s">
        <v>78</v>
      </c>
      <c r="B25" s="37">
        <f>aantalw2001_stookolie</f>
        <v>325</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4079</v>
      </c>
      <c r="C28" s="36"/>
      <c r="D28" s="228"/>
    </row>
    <row r="29" spans="1:7" s="15" customFormat="1">
      <c r="A29" s="230" t="s">
        <v>741</v>
      </c>
      <c r="B29" s="37">
        <f>SUM(HH_hh_gas_aantal,HH_rest_gas_aantal)</f>
        <v>3673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3673</v>
      </c>
      <c r="C32" s="167">
        <f>IF(ISERROR(B32/SUM($B$32,$B$34,$B$35,$B$36,$B$38,$B$39)*100),0,B32/SUM($B$32,$B$34,$B$35,$B$36,$B$38,$B$39)*100)</f>
        <v>90.334481062469251</v>
      </c>
      <c r="D32" s="233"/>
      <c r="G32" s="15"/>
    </row>
    <row r="33" spans="1:7">
      <c r="A33" s="171" t="s">
        <v>72</v>
      </c>
      <c r="B33" s="34" t="s">
        <v>111</v>
      </c>
      <c r="C33" s="167"/>
      <c r="D33" s="233"/>
      <c r="G33" s="15"/>
    </row>
    <row r="34" spans="1:7">
      <c r="A34" s="171" t="s">
        <v>73</v>
      </c>
      <c r="B34" s="33">
        <f>IF((($B$28-$B$32-$B$39-$B$77-$B$38)*C20/100)&lt;0,0,($B$28-$B$32-$B$39-$B$77-$B$38)*C20/100)</f>
        <v>9.800498753117207</v>
      </c>
      <c r="C34" s="167">
        <f>IF(ISERROR(B34/SUM($B$32,$B$34,$B$35,$B$36,$B$38,$B$39)*100),0,B34/SUM($B$32,$B$34,$B$35,$B$36,$B$38,$B$39)*100)</f>
        <v>0.24103538497582899</v>
      </c>
      <c r="D34" s="233"/>
      <c r="G34" s="15"/>
    </row>
    <row r="35" spans="1:7">
      <c r="A35" s="171" t="s">
        <v>74</v>
      </c>
      <c r="B35" s="33">
        <f>IF((($B$28-$B$32-$B$39-$B$77-$B$38)*C21/100)&lt;0,0,($B$28-$B$32-$B$39-$B$77-$B$38)*C21/100)</f>
        <v>367.51870324189525</v>
      </c>
      <c r="C35" s="167">
        <f>IF(ISERROR(B35/SUM($B$32,$B$34,$B$35,$B$36,$B$38,$B$39)*100),0,B35/SUM($B$32,$B$34,$B$35,$B$36,$B$38,$B$39)*100)</f>
        <v>9.0388269365935869</v>
      </c>
      <c r="D35" s="233"/>
      <c r="G35" s="15"/>
    </row>
    <row r="36" spans="1:7">
      <c r="A36" s="171" t="s">
        <v>75</v>
      </c>
      <c r="B36" s="33">
        <f>IF((($B$28-$B$32-$B$39-$B$77-$B$38)*C22/100)&lt;0,0,($B$28-$B$32-$B$39-$B$77-$B$38)*C22/100)</f>
        <v>15.68079800498753</v>
      </c>
      <c r="C36" s="167">
        <f>IF(ISERROR(B36/SUM($B$32,$B$34,$B$35,$B$36,$B$38,$B$39)*100),0,B36/SUM($B$32,$B$34,$B$35,$B$36,$B$38,$B$39)*100)</f>
        <v>0.38565661596132639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3673</v>
      </c>
      <c r="C44" s="34" t="s">
        <v>111</v>
      </c>
      <c r="D44" s="174"/>
    </row>
    <row r="45" spans="1:7">
      <c r="A45" s="171" t="s">
        <v>72</v>
      </c>
      <c r="B45" s="33" t="str">
        <f t="shared" si="0"/>
        <v>-</v>
      </c>
      <c r="C45" s="34" t="s">
        <v>111</v>
      </c>
      <c r="D45" s="174"/>
    </row>
    <row r="46" spans="1:7">
      <c r="A46" s="171" t="s">
        <v>73</v>
      </c>
      <c r="B46" s="33">
        <f t="shared" si="0"/>
        <v>9.800498753117207</v>
      </c>
      <c r="C46" s="34" t="s">
        <v>111</v>
      </c>
      <c r="D46" s="174"/>
    </row>
    <row r="47" spans="1:7">
      <c r="A47" s="171" t="s">
        <v>74</v>
      </c>
      <c r="B47" s="33">
        <f t="shared" si="0"/>
        <v>367.51870324189525</v>
      </c>
      <c r="C47" s="34" t="s">
        <v>111</v>
      </c>
      <c r="D47" s="174"/>
    </row>
    <row r="48" spans="1:7">
      <c r="A48" s="171" t="s">
        <v>75</v>
      </c>
      <c r="B48" s="33">
        <f t="shared" si="0"/>
        <v>15.68079800498753</v>
      </c>
      <c r="C48" s="33">
        <f>B48*10</f>
        <v>156.80798004987531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10910.422999999999</v>
      </c>
      <c r="C5" s="17">
        <f>IF(ISERROR('Eigen informatie GS &amp; warmtenet'!B58),0,'Eigen informatie GS &amp; warmtenet'!B58)</f>
        <v>0</v>
      </c>
      <c r="D5" s="30">
        <f>SUM(D6:D12)</f>
        <v>10217.986790000003</v>
      </c>
      <c r="E5" s="17">
        <f>SUM(E6:E12)</f>
        <v>103.82127233222759</v>
      </c>
      <c r="F5" s="17">
        <f>SUM(F6:F12)</f>
        <v>1580.4443862317219</v>
      </c>
      <c r="G5" s="18"/>
      <c r="H5" s="17"/>
      <c r="I5" s="17"/>
      <c r="J5" s="17">
        <f>SUM(J6:J12)</f>
        <v>0</v>
      </c>
      <c r="K5" s="17"/>
      <c r="L5" s="17"/>
      <c r="M5" s="17"/>
      <c r="N5" s="17">
        <f>SUM(N6:N12)</f>
        <v>1204.6010970649336</v>
      </c>
      <c r="O5" s="17">
        <f>B38*B39*B40</f>
        <v>0</v>
      </c>
      <c r="P5" s="17">
        <f>B46*B47*B48/1000-B46*B47*B48/1000/B49</f>
        <v>0</v>
      </c>
      <c r="R5" s="32"/>
    </row>
    <row r="6" spans="1:18">
      <c r="A6" s="32" t="s">
        <v>54</v>
      </c>
      <c r="B6" s="37">
        <f>B26</f>
        <v>2011.346</v>
      </c>
      <c r="C6" s="33"/>
      <c r="D6" s="37">
        <f>IF(ISERROR(TER_kantoor_gas_kWh/1000),0,TER_kantoor_gas_kWh/1000)*0.902</f>
        <v>4379.508562</v>
      </c>
      <c r="E6" s="33">
        <f>$C$26*'E Balans VL '!I12/100/3.6*1000000</f>
        <v>5.8271644683020893</v>
      </c>
      <c r="F6" s="33">
        <f>$C$26*('E Balans VL '!L12+'E Balans VL '!N12)/100/3.6*1000000</f>
        <v>227.64005381189915</v>
      </c>
      <c r="G6" s="34"/>
      <c r="H6" s="33"/>
      <c r="I6" s="33"/>
      <c r="J6" s="33">
        <f>$C$26*('E Balans VL '!D12+'E Balans VL '!E12)/100/3.6*1000000</f>
        <v>0</v>
      </c>
      <c r="K6" s="33"/>
      <c r="L6" s="33"/>
      <c r="M6" s="33"/>
      <c r="N6" s="33">
        <f>$C$26*'E Balans VL '!Y12/100/3.6*1000000</f>
        <v>20.132091434096569</v>
      </c>
      <c r="O6" s="33"/>
      <c r="P6" s="33"/>
      <c r="R6" s="32"/>
    </row>
    <row r="7" spans="1:18">
      <c r="A7" s="32" t="s">
        <v>53</v>
      </c>
      <c r="B7" s="37">
        <f t="shared" ref="B7:B12" si="0">B27</f>
        <v>614.15599999999995</v>
      </c>
      <c r="C7" s="33"/>
      <c r="D7" s="37">
        <f>IF(ISERROR(TER_horeca_gas_kWh/1000),0,TER_horeca_gas_kWh/1000)*0.902</f>
        <v>1006.355988</v>
      </c>
      <c r="E7" s="33">
        <f>$C$27*'E Balans VL '!I9/100/3.6*1000000</f>
        <v>25.780552962049121</v>
      </c>
      <c r="F7" s="33">
        <f>$C$27*('E Balans VL '!L9+'E Balans VL '!N9)/100/3.6*1000000</f>
        <v>131.96401105496292</v>
      </c>
      <c r="G7" s="34"/>
      <c r="H7" s="33"/>
      <c r="I7" s="33"/>
      <c r="J7" s="33">
        <f>$C$27*('E Balans VL '!D9+'E Balans VL '!E9)/100/3.6*1000000</f>
        <v>0</v>
      </c>
      <c r="K7" s="33"/>
      <c r="L7" s="33"/>
      <c r="M7" s="33"/>
      <c r="N7" s="33">
        <f>$C$27*'E Balans VL '!Y9/100/3.6*1000000</f>
        <v>0.15826263021093498</v>
      </c>
      <c r="O7" s="33"/>
      <c r="P7" s="33"/>
      <c r="R7" s="32"/>
    </row>
    <row r="8" spans="1:18">
      <c r="A8" s="6" t="s">
        <v>52</v>
      </c>
      <c r="B8" s="37">
        <f t="shared" si="0"/>
        <v>6015.1959999999999</v>
      </c>
      <c r="C8" s="33"/>
      <c r="D8" s="37">
        <f>IF(ISERROR(TER_handel_gas_kWh/1000),0,TER_handel_gas_kWh/1000)*0.902</f>
        <v>1601.0590200000001</v>
      </c>
      <c r="E8" s="33">
        <f>$C$28*'E Balans VL '!I13/100/3.6*1000000</f>
        <v>64.608211345318608</v>
      </c>
      <c r="F8" s="33">
        <f>$C$28*('E Balans VL '!L13+'E Balans VL '!N13)/100/3.6*1000000</f>
        <v>778.71679466458033</v>
      </c>
      <c r="G8" s="34"/>
      <c r="H8" s="33"/>
      <c r="I8" s="33"/>
      <c r="J8" s="33">
        <f>$C$28*('E Balans VL '!D13+'E Balans VL '!E13)/100/3.6*1000000</f>
        <v>0</v>
      </c>
      <c r="K8" s="33"/>
      <c r="L8" s="33"/>
      <c r="M8" s="33"/>
      <c r="N8" s="33">
        <f>$C$28*'E Balans VL '!Y13/100/3.6*1000000</f>
        <v>48.795598395982182</v>
      </c>
      <c r="O8" s="33"/>
      <c r="P8" s="33"/>
      <c r="R8" s="32"/>
    </row>
    <row r="9" spans="1:18">
      <c r="A9" s="32" t="s">
        <v>51</v>
      </c>
      <c r="B9" s="37">
        <f t="shared" si="0"/>
        <v>488.99900000000002</v>
      </c>
      <c r="C9" s="33"/>
      <c r="D9" s="37">
        <f>IF(ISERROR(TER_gezond_gas_kWh/1000),0,TER_gezond_gas_kWh/1000)*0.902</f>
        <v>1578.668674</v>
      </c>
      <c r="E9" s="33">
        <f>$C$29*'E Balans VL '!I10/100/3.6*1000000</f>
        <v>0.38927483160799137</v>
      </c>
      <c r="F9" s="33">
        <f>$C$29*('E Balans VL '!L10+'E Balans VL '!N10)/100/3.6*1000000</f>
        <v>59.444895122048017</v>
      </c>
      <c r="G9" s="34"/>
      <c r="H9" s="33"/>
      <c r="I9" s="33"/>
      <c r="J9" s="33">
        <f>$C$29*('E Balans VL '!D10+'E Balans VL '!E10)/100/3.6*1000000</f>
        <v>0</v>
      </c>
      <c r="K9" s="33"/>
      <c r="L9" s="33"/>
      <c r="M9" s="33"/>
      <c r="N9" s="33">
        <f>$C$29*'E Balans VL '!Y10/100/3.6*1000000</f>
        <v>3.9500043702269818</v>
      </c>
      <c r="O9" s="33"/>
      <c r="P9" s="33"/>
      <c r="R9" s="32"/>
    </row>
    <row r="10" spans="1:18">
      <c r="A10" s="32" t="s">
        <v>50</v>
      </c>
      <c r="B10" s="37">
        <f t="shared" si="0"/>
        <v>1582.3989999999999</v>
      </c>
      <c r="C10" s="33"/>
      <c r="D10" s="37">
        <f>IF(ISERROR(TER_ander_gas_kWh/1000),0,TER_ander_gas_kWh/1000)*0.902</f>
        <v>784.80855200000008</v>
      </c>
      <c r="E10" s="33">
        <f>$C$30*'E Balans VL '!I14/100/3.6*1000000</f>
        <v>5.4229645015875416</v>
      </c>
      <c r="F10" s="33">
        <f>$C$30*('E Balans VL '!L14+'E Balans VL '!N14)/100/3.6*1000000</f>
        <v>353.44363547908711</v>
      </c>
      <c r="G10" s="34"/>
      <c r="H10" s="33"/>
      <c r="I10" s="33"/>
      <c r="J10" s="33">
        <f>$C$30*('E Balans VL '!D14+'E Balans VL '!E14)/100/3.6*1000000</f>
        <v>0</v>
      </c>
      <c r="K10" s="33"/>
      <c r="L10" s="33"/>
      <c r="M10" s="33"/>
      <c r="N10" s="33">
        <f>$C$30*'E Balans VL '!Y14/100/3.6*1000000</f>
        <v>1114.6505000767606</v>
      </c>
      <c r="O10" s="33"/>
      <c r="P10" s="33"/>
      <c r="R10" s="32"/>
    </row>
    <row r="11" spans="1:18">
      <c r="A11" s="32" t="s">
        <v>55</v>
      </c>
      <c r="B11" s="37">
        <f t="shared" si="0"/>
        <v>0</v>
      </c>
      <c r="C11" s="33"/>
      <c r="D11" s="37">
        <f>IF(ISERROR(TER_onderwijs_gas_kWh/1000),0,TER_onderwijs_gas_kWh/1000)*0.902</f>
        <v>867.58599400000003</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198.327</v>
      </c>
      <c r="C12" s="33"/>
      <c r="D12" s="37">
        <f>IF(ISERROR(TER_rest_gas_kWh/1000),0,TER_rest_gas_kWh/1000)*0.902</f>
        <v>0</v>
      </c>
      <c r="E12" s="33">
        <f>$C$32*'E Balans VL '!I8/100/3.6*1000000</f>
        <v>1.7931042233622372</v>
      </c>
      <c r="F12" s="33">
        <f>$C$32*('E Balans VL '!L8+'E Balans VL '!N8)/100/3.6*1000000</f>
        <v>29.234996099144478</v>
      </c>
      <c r="G12" s="34"/>
      <c r="H12" s="33"/>
      <c r="I12" s="33"/>
      <c r="J12" s="33">
        <f>$C$32*('E Balans VL '!D8+'E Balans VL '!E8)/100/3.6*1000000</f>
        <v>0</v>
      </c>
      <c r="K12" s="33"/>
      <c r="L12" s="33"/>
      <c r="M12" s="33"/>
      <c r="N12" s="33">
        <f>$C$32*'E Balans VL '!Y8/100/3.6*1000000</f>
        <v>16.914640157656358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10910.422999999999</v>
      </c>
      <c r="C16" s="21">
        <f t="shared" ca="1" si="1"/>
        <v>0</v>
      </c>
      <c r="D16" s="21">
        <f t="shared" ca="1" si="1"/>
        <v>10217.986790000003</v>
      </c>
      <c r="E16" s="21">
        <f t="shared" si="1"/>
        <v>103.82127233222759</v>
      </c>
      <c r="F16" s="21">
        <f t="shared" ca="1" si="1"/>
        <v>1580.4443862317219</v>
      </c>
      <c r="G16" s="21">
        <f t="shared" si="1"/>
        <v>0</v>
      </c>
      <c r="H16" s="21">
        <f t="shared" si="1"/>
        <v>0</v>
      </c>
      <c r="I16" s="21">
        <f t="shared" si="1"/>
        <v>0</v>
      </c>
      <c r="J16" s="21">
        <f t="shared" si="1"/>
        <v>0</v>
      </c>
      <c r="K16" s="21">
        <f t="shared" si="1"/>
        <v>0</v>
      </c>
      <c r="L16" s="21">
        <f t="shared" ca="1" si="1"/>
        <v>0</v>
      </c>
      <c r="M16" s="21">
        <f t="shared" si="1"/>
        <v>0</v>
      </c>
      <c r="N16" s="21">
        <f t="shared" ca="1" si="1"/>
        <v>1204.6010970649336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0.19836211216017782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2164.2145508409835</v>
      </c>
      <c r="C20" s="23">
        <f t="shared" ref="C20:P20" ca="1" si="2">C16*C18</f>
        <v>0</v>
      </c>
      <c r="D20" s="23">
        <f t="shared" ca="1" si="2"/>
        <v>2064.0333315800008</v>
      </c>
      <c r="E20" s="23">
        <f t="shared" si="2"/>
        <v>23.567428819415664</v>
      </c>
      <c r="F20" s="23">
        <f t="shared" ca="1" si="2"/>
        <v>421.97865112386978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2011.346</v>
      </c>
      <c r="C26" s="39">
        <f>IF(ISERROR(B26*3.6/1000000/'E Balans VL '!Z12*100),0,B26*3.6/1000000/'E Balans VL '!Z12*100)</f>
        <v>4.4181540238830024E-2</v>
      </c>
      <c r="D26" s="237" t="s">
        <v>692</v>
      </c>
      <c r="F26" s="6"/>
    </row>
    <row r="27" spans="1:18">
      <c r="A27" s="231" t="s">
        <v>53</v>
      </c>
      <c r="B27" s="33">
        <f>IF(ISERROR(TER_horeca_ele_kWh/1000),0,TER_horeca_ele_kWh/1000)</f>
        <v>614.15599999999995</v>
      </c>
      <c r="C27" s="39">
        <f>IF(ISERROR(B27*3.6/1000000/'E Balans VL '!Z9*100),0,B27*3.6/1000000/'E Balans VL '!Z9*100)</f>
        <v>4.9353556579315193E-2</v>
      </c>
      <c r="D27" s="237" t="s">
        <v>692</v>
      </c>
      <c r="F27" s="6"/>
    </row>
    <row r="28" spans="1:18">
      <c r="A28" s="171" t="s">
        <v>52</v>
      </c>
      <c r="B28" s="33">
        <f>IF(ISERROR(TER_handel_ele_kWh/1000),0,TER_handel_ele_kWh/1000)</f>
        <v>6015.1959999999999</v>
      </c>
      <c r="C28" s="39">
        <f>IF(ISERROR(B28*3.6/1000000/'E Balans VL '!Z13*100),0,B28*3.6/1000000/'E Balans VL '!Z13*100)</f>
        <v>0.17786514341584042</v>
      </c>
      <c r="D28" s="237" t="s">
        <v>692</v>
      </c>
      <c r="F28" s="6"/>
    </row>
    <row r="29" spans="1:18">
      <c r="A29" s="231" t="s">
        <v>51</v>
      </c>
      <c r="B29" s="33">
        <f>IF(ISERROR(TER_gezond_ele_kWh/1000),0,TER_gezond_ele_kWh/1000)</f>
        <v>488.99900000000002</v>
      </c>
      <c r="C29" s="39">
        <f>IF(ISERROR(B29*3.6/1000000/'E Balans VL '!Z10*100),0,B29*3.6/1000000/'E Balans VL '!Z10*100)</f>
        <v>5.5097562458702579E-2</v>
      </c>
      <c r="D29" s="237" t="s">
        <v>692</v>
      </c>
      <c r="F29" s="6"/>
    </row>
    <row r="30" spans="1:18">
      <c r="A30" s="231" t="s">
        <v>50</v>
      </c>
      <c r="B30" s="33">
        <f>IF(ISERROR(TER_ander_ele_kWh/1000),0,TER_ander_ele_kWh/1000)</f>
        <v>1582.3989999999999</v>
      </c>
      <c r="C30" s="39">
        <f>IF(ISERROR(B30*3.6/1000000/'E Balans VL '!Z14*100),0,B30*3.6/1000000/'E Balans VL '!Z14*100)</f>
        <v>0.11967413138109399</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198.327</v>
      </c>
      <c r="C32" s="39">
        <f>IF(ISERROR(B32*3.6/1000000/'E Balans VL '!Z8*100),0,B32*3.6/1000000/'E Balans VL '!Z8*100)</f>
        <v>1.6707883031769498E-3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3322.3989999999994</v>
      </c>
      <c r="C5" s="17">
        <f>IF(ISERROR('Eigen informatie GS &amp; warmtenet'!B59),0,'Eigen informatie GS &amp; warmtenet'!B59)</f>
        <v>0</v>
      </c>
      <c r="D5" s="30">
        <f>SUM(D6:D15)</f>
        <v>2706.069454</v>
      </c>
      <c r="E5" s="17">
        <f>SUM(E6:E15)</f>
        <v>387.26042165593111</v>
      </c>
      <c r="F5" s="17">
        <f>SUM(F6:F15)</f>
        <v>1721.0632215857036</v>
      </c>
      <c r="G5" s="18"/>
      <c r="H5" s="17"/>
      <c r="I5" s="17"/>
      <c r="J5" s="17">
        <f>SUM(J6:J15)</f>
        <v>13.081603741315117</v>
      </c>
      <c r="K5" s="17"/>
      <c r="L5" s="17"/>
      <c r="M5" s="17"/>
      <c r="N5" s="17">
        <f>SUM(N6:N15)</f>
        <v>811.00910802350893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195.226</v>
      </c>
      <c r="C8" s="33"/>
      <c r="D8" s="37">
        <f>IF( ISERROR(IND_metaal_Gas_kWH/1000),0,IND_metaal_Gas_kWH/1000)*0.902</f>
        <v>132.48756400000002</v>
      </c>
      <c r="E8" s="33">
        <f>C30*'E Balans VL '!I18/100/3.6*1000000</f>
        <v>4.8858235036382407</v>
      </c>
      <c r="F8" s="33">
        <f>C30*'E Balans VL '!L18/100/3.6*1000000+C30*'E Balans VL '!N18/100/3.6*1000000</f>
        <v>61.184799504065907</v>
      </c>
      <c r="G8" s="34"/>
      <c r="H8" s="33"/>
      <c r="I8" s="33"/>
      <c r="J8" s="40">
        <f>C30*'E Balans VL '!D18/100/3.6*1000000+C30*'E Balans VL '!E18/100/3.6*1000000</f>
        <v>0</v>
      </c>
      <c r="K8" s="33"/>
      <c r="L8" s="33"/>
      <c r="M8" s="33"/>
      <c r="N8" s="33">
        <f>C30*'E Balans VL '!Y18/100/3.6*1000000</f>
        <v>4.904583775650714</v>
      </c>
      <c r="O8" s="33"/>
      <c r="P8" s="33"/>
      <c r="R8" s="32"/>
    </row>
    <row r="9" spans="1:18">
      <c r="A9" s="6" t="s">
        <v>33</v>
      </c>
      <c r="B9" s="37">
        <f t="shared" si="0"/>
        <v>1038.8309999999999</v>
      </c>
      <c r="C9" s="33"/>
      <c r="D9" s="37">
        <f>IF( ISERROR(IND_andere_gas_kWh/1000),0,IND_andere_gas_kWh/1000)*0.902</f>
        <v>1245.1433500000001</v>
      </c>
      <c r="E9" s="33">
        <f>C31*'E Balans VL '!I19/100/3.6*1000000</f>
        <v>285.63591728878203</v>
      </c>
      <c r="F9" s="33">
        <f>C31*'E Balans VL '!L19/100/3.6*1000000+C31*'E Balans VL '!N19/100/3.6*1000000</f>
        <v>818.77959757288636</v>
      </c>
      <c r="G9" s="34"/>
      <c r="H9" s="33"/>
      <c r="I9" s="33"/>
      <c r="J9" s="40">
        <f>C31*'E Balans VL '!D19/100/3.6*1000000+C31*'E Balans VL '!E19/100/3.6*1000000</f>
        <v>0</v>
      </c>
      <c r="K9" s="33"/>
      <c r="L9" s="33"/>
      <c r="M9" s="33"/>
      <c r="N9" s="33">
        <f>C31*'E Balans VL '!Y19/100/3.6*1000000</f>
        <v>336.29701524986854</v>
      </c>
      <c r="O9" s="33"/>
      <c r="P9" s="33"/>
      <c r="R9" s="32"/>
    </row>
    <row r="10" spans="1:18">
      <c r="A10" s="6" t="s">
        <v>41</v>
      </c>
      <c r="B10" s="37">
        <f t="shared" si="0"/>
        <v>221.096</v>
      </c>
      <c r="C10" s="33"/>
      <c r="D10" s="37">
        <f>IF( ISERROR(IND_voed_gas_kWh/1000),0,IND_voed_gas_kWh/1000)*0.902</f>
        <v>517.70921399999997</v>
      </c>
      <c r="E10" s="33">
        <f>C32*'E Balans VL '!I20/100/3.6*1000000</f>
        <v>2.253951917518592</v>
      </c>
      <c r="F10" s="33">
        <f>C32*'E Balans VL '!L20/100/3.6*1000000+C32*'E Balans VL '!N20/100/3.6*1000000</f>
        <v>417.64896117800515</v>
      </c>
      <c r="G10" s="34"/>
      <c r="H10" s="33"/>
      <c r="I10" s="33"/>
      <c r="J10" s="40">
        <f>C32*'E Balans VL '!D20/100/3.6*1000000+C32*'E Balans VL '!E20/100/3.6*1000000</f>
        <v>5.291550709387252</v>
      </c>
      <c r="K10" s="33"/>
      <c r="L10" s="33"/>
      <c r="M10" s="33"/>
      <c r="N10" s="33">
        <f>C32*'E Balans VL '!Y20/100/3.6*1000000</f>
        <v>116.54305913632894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10.407</v>
      </c>
      <c r="C13" s="33"/>
      <c r="D13" s="37">
        <f>IF( ISERROR(IND_papier_gas_kWh/1000),0,IND_papier_gas_kWh/1000)*0.902</f>
        <v>83.591948000000002</v>
      </c>
      <c r="E13" s="33">
        <f>C35*'E Balans VL '!I23/100/3.6*1000000</f>
        <v>2.1553599455585166E-2</v>
      </c>
      <c r="F13" s="33">
        <f>C35*'E Balans VL '!L23/100/3.6*1000000+C35*'E Balans VL '!N23/100/3.6*1000000</f>
        <v>0.20639312083471739</v>
      </c>
      <c r="G13" s="34"/>
      <c r="H13" s="33"/>
      <c r="I13" s="33"/>
      <c r="J13" s="40">
        <f>C35*'E Balans VL '!D23/100/3.6*1000000+C35*'E Balans VL '!E23/100/3.6*1000000</f>
        <v>0</v>
      </c>
      <c r="K13" s="33"/>
      <c r="L13" s="33"/>
      <c r="M13" s="33"/>
      <c r="N13" s="33">
        <f>C35*'E Balans VL '!Y23/100/3.6*1000000</f>
        <v>4.3943335703961077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1856.8389999999999</v>
      </c>
      <c r="C15" s="33"/>
      <c r="D15" s="37">
        <f>IF( ISERROR(IND_rest_gas_kWh/1000),0,IND_rest_gas_kWh/1000)*0.902</f>
        <v>727.13737800000001</v>
      </c>
      <c r="E15" s="33">
        <f>C37*'E Balans VL '!I15/100/3.6*1000000</f>
        <v>94.463175346536715</v>
      </c>
      <c r="F15" s="33">
        <f>C37*'E Balans VL '!L15/100/3.6*1000000+C37*'E Balans VL '!N15/100/3.6*1000000</f>
        <v>423.24347020991138</v>
      </c>
      <c r="G15" s="34"/>
      <c r="H15" s="33"/>
      <c r="I15" s="33"/>
      <c r="J15" s="40">
        <f>C37*'E Balans VL '!D15/100/3.6*1000000+C37*'E Balans VL '!E15/100/3.6*1000000</f>
        <v>7.790053031927866</v>
      </c>
      <c r="K15" s="33"/>
      <c r="L15" s="33"/>
      <c r="M15" s="33"/>
      <c r="N15" s="33">
        <f>C37*'E Balans VL '!Y15/100/3.6*1000000</f>
        <v>348.87011629126465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3322.3989999999994</v>
      </c>
      <c r="C18" s="21">
        <f>C5+C16</f>
        <v>0</v>
      </c>
      <c r="D18" s="21">
        <f>MAX((D5+D16),0)</f>
        <v>2706.069454</v>
      </c>
      <c r="E18" s="21">
        <f>MAX((E5+E16),0)</f>
        <v>387.26042165593111</v>
      </c>
      <c r="F18" s="21">
        <f>MAX((F5+F16),0)</f>
        <v>1721.0632215857036</v>
      </c>
      <c r="G18" s="21"/>
      <c r="H18" s="21"/>
      <c r="I18" s="21"/>
      <c r="J18" s="21">
        <f>MAX((J5+J16),0)</f>
        <v>13.081603741315117</v>
      </c>
      <c r="K18" s="21"/>
      <c r="L18" s="21">
        <f>MAX((L5+L16),0)</f>
        <v>0</v>
      </c>
      <c r="M18" s="21"/>
      <c r="N18" s="21">
        <f>MAX((N5+N16),0)</f>
        <v>811.00910802350893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0.19836211216017782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659.03808307886254</v>
      </c>
      <c r="C22" s="23">
        <f ca="1">C18*C20</f>
        <v>0</v>
      </c>
      <c r="D22" s="23">
        <f>D18*D20</f>
        <v>546.62602970800003</v>
      </c>
      <c r="E22" s="23">
        <f>E18*E20</f>
        <v>87.908115715896372</v>
      </c>
      <c r="F22" s="23">
        <f>F18*F20</f>
        <v>459.5238801633829</v>
      </c>
      <c r="G22" s="23"/>
      <c r="H22" s="23"/>
      <c r="I22" s="23"/>
      <c r="J22" s="23">
        <f>J18*J20</f>
        <v>4.6308877244255511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195.226</v>
      </c>
      <c r="C30" s="39">
        <f>IF(ISERROR(B30*3.6/1000000/'E Balans VL '!Z18*100),0,B30*3.6/1000000/'E Balans VL '!Z18*100)</f>
        <v>2.7325134021676471E-2</v>
      </c>
      <c r="D30" s="237" t="s">
        <v>692</v>
      </c>
    </row>
    <row r="31" spans="1:18">
      <c r="A31" s="6" t="s">
        <v>33</v>
      </c>
      <c r="B31" s="37">
        <f>IF( ISERROR(IND_ander_ele_kWh/1000),0,IND_ander_ele_kWh/1000)</f>
        <v>1038.8309999999999</v>
      </c>
      <c r="C31" s="39">
        <f>IF(ISERROR(B31*3.6/1000000/'E Balans VL '!Z19*100),0,B31*3.6/1000000/'E Balans VL '!Z19*100)</f>
        <v>4.5469464347669096E-2</v>
      </c>
      <c r="D31" s="237" t="s">
        <v>692</v>
      </c>
    </row>
    <row r="32" spans="1:18">
      <c r="A32" s="171" t="s">
        <v>41</v>
      </c>
      <c r="B32" s="37">
        <f>IF( ISERROR(IND_voed_ele_kWh/1000),0,IND_voed_ele_kWh/1000)</f>
        <v>221.096</v>
      </c>
      <c r="C32" s="39">
        <f>IF(ISERROR(B32*3.6/1000000/'E Balans VL '!Z20*100),0,B32*3.6/1000000/'E Balans VL '!Z20*100)</f>
        <v>5.4736027363999316E-2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10.407</v>
      </c>
      <c r="C35" s="39">
        <f>IF(ISERROR(B35*3.6/1000000/'E Balans VL '!Z22*100),0,B35*3.6/1000000/'E Balans VL '!Z22*100)</f>
        <v>2.9530820172189704E-4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1856.8389999999999</v>
      </c>
      <c r="C37" s="39">
        <f>IF(ISERROR(B37*3.6/1000000/'E Balans VL '!Z15*100),0,B37*3.6/1000000/'E Balans VL '!Z15*100)</f>
        <v>1.376814328071062E-2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14.333</v>
      </c>
      <c r="C5" s="17">
        <f>'Eigen informatie GS &amp; warmtenet'!B60</f>
        <v>0</v>
      </c>
      <c r="D5" s="30">
        <f>IF(ISERROR(SUM(LB_lb_gas_kWh,LB_rest_gas_kWh)/1000),0,SUM(LB_lb_gas_kWh,LB_rest_gas_kWh)/1000)*0.902</f>
        <v>17.753163999999998</v>
      </c>
      <c r="E5" s="17">
        <f>B17*'E Balans VL '!I25/3.6*1000000/100</f>
        <v>0.13275824921222681</v>
      </c>
      <c r="F5" s="17">
        <f>B17*('E Balans VL '!L25/3.6*1000000+'E Balans VL '!N25/3.6*1000000)/100</f>
        <v>36.365551433697973</v>
      </c>
      <c r="G5" s="18"/>
      <c r="H5" s="17"/>
      <c r="I5" s="17"/>
      <c r="J5" s="17">
        <f>('E Balans VL '!D25+'E Balans VL '!E25)/3.6*1000000*landbouw!B17/100</f>
        <v>2.1974088567468488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14.333</v>
      </c>
      <c r="C8" s="21">
        <f>C5+C6</f>
        <v>0</v>
      </c>
      <c r="D8" s="21">
        <f>MAX((D5+D6),0)</f>
        <v>17.753163999999998</v>
      </c>
      <c r="E8" s="21">
        <f>MAX((E5+E6),0)</f>
        <v>0.13275824921222681</v>
      </c>
      <c r="F8" s="21">
        <f>MAX((F5+F6),0)</f>
        <v>36.365551433697973</v>
      </c>
      <c r="G8" s="21"/>
      <c r="H8" s="21"/>
      <c r="I8" s="21"/>
      <c r="J8" s="21">
        <f>MAX((J5+J6),0)</f>
        <v>2.1974088567468488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0.19836211216017782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2.8431241535918286</v>
      </c>
      <c r="C12" s="23">
        <f ca="1">C8*C10</f>
        <v>0</v>
      </c>
      <c r="D12" s="23">
        <f>D8*D10</f>
        <v>3.5861391279999997</v>
      </c>
      <c r="E12" s="23">
        <f>E8*E10</f>
        <v>3.0136122571175487E-2</v>
      </c>
      <c r="F12" s="23">
        <f>F8*F10</f>
        <v>9.7096022327973603</v>
      </c>
      <c r="G12" s="23"/>
      <c r="H12" s="23"/>
      <c r="I12" s="23"/>
      <c r="J12" s="23">
        <f>J8*J10</f>
        <v>0.77788273528838447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2.0378486878690708E-3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8.2963590786813253</v>
      </c>
      <c r="C26" s="247">
        <f>B26*'GWP N2O_CH4'!B5</f>
        <v>174.22354065230783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0.56289356672738333</v>
      </c>
      <c r="C27" s="247">
        <f>B27*'GWP N2O_CH4'!B5</f>
        <v>11.82076490127505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0.13162197696426328</v>
      </c>
      <c r="C28" s="247">
        <f>B28*'GWP N2O_CH4'!B4</f>
        <v>40.802812858921619</v>
      </c>
      <c r="D28" s="50"/>
    </row>
    <row r="29" spans="1:4">
      <c r="A29" s="41" t="s">
        <v>277</v>
      </c>
      <c r="B29" s="247">
        <f>B34*'ha_N2O bodem landbouw'!B4</f>
        <v>0.53620275895473968</v>
      </c>
      <c r="C29" s="247">
        <f>B29*'GWP N2O_CH4'!B4</f>
        <v>166.22285527596929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1.2026083238312429E-4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1.558896707688564E-5</v>
      </c>
      <c r="C5" s="464" t="s">
        <v>211</v>
      </c>
      <c r="D5" s="449">
        <f>SUM(D6:D11)</f>
        <v>3.8462193324182596E-5</v>
      </c>
      <c r="E5" s="449">
        <f>SUM(E6:E11)</f>
        <v>2.4766647511614376E-4</v>
      </c>
      <c r="F5" s="462" t="s">
        <v>211</v>
      </c>
      <c r="G5" s="449">
        <f>SUM(G6:G11)</f>
        <v>6.2065880041800872E-2</v>
      </c>
      <c r="H5" s="449">
        <f>SUM(H6:H11)</f>
        <v>1.459951046051779E-2</v>
      </c>
      <c r="I5" s="464" t="s">
        <v>211</v>
      </c>
      <c r="J5" s="464" t="s">
        <v>211</v>
      </c>
      <c r="K5" s="464" t="s">
        <v>211</v>
      </c>
      <c r="L5" s="464" t="s">
        <v>211</v>
      </c>
      <c r="M5" s="449">
        <f>SUM(M6:M11)</f>
        <v>4.039660474556085E-3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1.42374184932445E-5</v>
      </c>
      <c r="C6" s="450"/>
      <c r="D6" s="893">
        <f>vkm_2011_GW_PW*SUMIFS(TableVerdeelsleutelVkm[CNG],TableVerdeelsleutelVkm[Voertuigtype],"Lichte voertuigen")*SUMIFS(TableECFTransport[EnergieConsumptieFactor (PJ per km)],TableECFTransport[Index],CONCATENATE($A6,"_CNG_CNG"))</f>
        <v>3.2932716449718477E-5</v>
      </c>
      <c r="E6" s="893">
        <f>vkm_2011_GW_PW*SUMIFS(TableVerdeelsleutelVkm[LPG],TableVerdeelsleutelVkm[Voertuigtype],"Lichte voertuigen")*SUMIFS(TableECFTransport[EnergieConsumptieFactor (PJ per km)],TableECFTransport[Index],CONCATENATE($A6,"_LPG_LPG"))</f>
        <v>2.1443796201016561E-4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4.4547900137689639E-2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1.255713243895302E-2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2.9634551621332472E-3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8.2561401880663441E-3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2.8234500058283965E-6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4.7766450780597656E-4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1.3515485836411394E-6</v>
      </c>
      <c r="C8" s="450"/>
      <c r="D8" s="452">
        <f>vkm_2011_NGW_PW*SUMIFS(TableVerdeelsleutelVkm[CNG],TableVerdeelsleutelVkm[Voertuigtype],"Lichte voertuigen")*SUMIFS(TableECFTransport[EnergieConsumptieFactor (PJ per km)],TableECFTransport[Index],CONCATENATE($A8,"_CNG_CNG"))</f>
        <v>5.5294768744641189E-6</v>
      </c>
      <c r="E8" s="452">
        <f>vkm_2011_NGW_PW*SUMIFS(TableVerdeelsleutelVkm[LPG],TableVerdeelsleutelVkm[Voertuigtype],"Lichte voertuigen")*SUMIFS(TableECFTransport[EnergieConsumptieFactor (PJ per km)],TableECFTransport[Index],CONCATENATE($A8,"_LPG_LPG"))</f>
        <v>3.3228513105978144E-5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6.4529284303511663E-3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2.0386456405870118E-3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4.3603095565332114E-4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2.808911285693722E-3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9.0893097192850206E-7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1.6250984896353979E-4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4.3302686324682336</v>
      </c>
      <c r="C14" s="21"/>
      <c r="D14" s="21">
        <f t="shared" ref="D14:M14" si="0">((D5)*10^9/3600)+D12</f>
        <v>10.683942590050721</v>
      </c>
      <c r="E14" s="21">
        <f t="shared" si="0"/>
        <v>68.796243087817714</v>
      </c>
      <c r="F14" s="21"/>
      <c r="G14" s="21">
        <f t="shared" si="0"/>
        <v>17240.522233833577</v>
      </c>
      <c r="H14" s="21">
        <f t="shared" si="0"/>
        <v>4055.4195723660528</v>
      </c>
      <c r="I14" s="21"/>
      <c r="J14" s="21"/>
      <c r="K14" s="21"/>
      <c r="L14" s="21"/>
      <c r="M14" s="21">
        <f t="shared" si="0"/>
        <v>1122.1279095989125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0.19836211216017782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0.85896123215736353</v>
      </c>
      <c r="C18" s="23"/>
      <c r="D18" s="23">
        <f t="shared" ref="D18:M18" si="1">D14*D16</f>
        <v>2.158156403190246</v>
      </c>
      <c r="E18" s="23">
        <f t="shared" si="1"/>
        <v>15.616747180934622</v>
      </c>
      <c r="F18" s="23"/>
      <c r="G18" s="23">
        <f t="shared" si="1"/>
        <v>4603.2194364335655</v>
      </c>
      <c r="H18" s="23">
        <f t="shared" si="1"/>
        <v>1009.7994735191471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2.3646099350580051E-3</v>
      </c>
      <c r="H50" s="321">
        <f t="shared" si="2"/>
        <v>0</v>
      </c>
      <c r="I50" s="321">
        <f t="shared" si="2"/>
        <v>0</v>
      </c>
      <c r="J50" s="321">
        <f t="shared" si="2"/>
        <v>0</v>
      </c>
      <c r="K50" s="321">
        <f t="shared" si="2"/>
        <v>0</v>
      </c>
      <c r="L50" s="321">
        <f t="shared" si="2"/>
        <v>0</v>
      </c>
      <c r="M50" s="321">
        <f t="shared" si="2"/>
        <v>1.3484681138602785E-4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2.3646099350580051E-3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1.3484681138602785E-4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656.83609307166807</v>
      </c>
      <c r="H54" s="21">
        <f t="shared" si="3"/>
        <v>0</v>
      </c>
      <c r="I54" s="21">
        <f t="shared" si="3"/>
        <v>0</v>
      </c>
      <c r="J54" s="21">
        <f t="shared" si="3"/>
        <v>0</v>
      </c>
      <c r="K54" s="21">
        <f t="shared" si="3"/>
        <v>0</v>
      </c>
      <c r="L54" s="21">
        <f t="shared" si="3"/>
        <v>0</v>
      </c>
      <c r="M54" s="21">
        <f t="shared" si="3"/>
        <v>37.457447607229966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0.19836211216017782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175.37523685013539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92" t="s">
        <v>221</v>
      </c>
      <c r="B2" s="1092"/>
      <c r="C2" s="1092"/>
      <c r="D2" s="59"/>
      <c r="E2" s="59"/>
      <c r="F2" s="59"/>
      <c r="G2" s="59"/>
      <c r="H2" s="60"/>
      <c r="I2" s="60"/>
      <c r="J2" s="61"/>
      <c r="K2" s="61"/>
      <c r="L2" s="60"/>
      <c r="M2" s="60"/>
      <c r="N2" s="60"/>
      <c r="O2" s="60"/>
      <c r="P2" s="60"/>
      <c r="Q2" s="60"/>
      <c r="R2" s="60"/>
    </row>
    <row r="3" spans="1:19">
      <c r="A3" s="1093"/>
      <c r="B3" s="1093"/>
      <c r="C3" s="1093"/>
      <c r="D3" s="1093"/>
      <c r="E3" s="1093"/>
      <c r="F3" s="1093"/>
      <c r="G3" s="1093"/>
      <c r="H3" s="1093"/>
      <c r="I3" s="1093"/>
      <c r="J3" s="1093"/>
      <c r="K3" s="1093"/>
      <c r="L3" s="1093"/>
      <c r="M3" s="1093"/>
      <c r="N3" s="1093"/>
      <c r="O3" s="1093"/>
      <c r="P3" s="1093"/>
      <c r="Q3" s="1093"/>
      <c r="R3" s="1093"/>
    </row>
    <row r="4" spans="1:19" ht="15.75" thickBot="1">
      <c r="A4" s="473"/>
      <c r="B4" s="473"/>
      <c r="C4" s="63"/>
      <c r="D4" s="63"/>
      <c r="E4" s="63"/>
      <c r="F4" s="63"/>
      <c r="G4" s="63"/>
      <c r="H4" s="63"/>
      <c r="I4" s="63"/>
      <c r="J4" s="63"/>
      <c r="K4" s="63"/>
      <c r="L4" s="63"/>
      <c r="M4" s="63"/>
      <c r="N4" s="63"/>
      <c r="O4" s="63"/>
      <c r="P4" s="63"/>
      <c r="Q4" s="63"/>
      <c r="R4" s="63"/>
    </row>
    <row r="5" spans="1:19" ht="16.5" thickBot="1">
      <c r="A5" s="1094" t="s">
        <v>222</v>
      </c>
      <c r="B5" s="802"/>
      <c r="C5" s="1097" t="s">
        <v>343</v>
      </c>
      <c r="D5" s="1098"/>
      <c r="E5" s="1098"/>
      <c r="F5" s="1098"/>
      <c r="G5" s="1098"/>
      <c r="H5" s="1098"/>
      <c r="I5" s="1098"/>
      <c r="J5" s="1098"/>
      <c r="K5" s="1098"/>
      <c r="L5" s="1098"/>
      <c r="M5" s="1098"/>
      <c r="N5" s="1098"/>
      <c r="O5" s="1098"/>
      <c r="P5" s="1098"/>
      <c r="Q5" s="1098"/>
      <c r="R5" s="1099"/>
    </row>
    <row r="6" spans="1:19" ht="16.5" thickTop="1">
      <c r="A6" s="1095"/>
      <c r="B6" s="803"/>
      <c r="C6" s="1100" t="s">
        <v>21</v>
      </c>
      <c r="D6" s="1102" t="s">
        <v>196</v>
      </c>
      <c r="E6" s="1104" t="s">
        <v>197</v>
      </c>
      <c r="F6" s="1105"/>
      <c r="G6" s="1105"/>
      <c r="H6" s="1105"/>
      <c r="I6" s="1105"/>
      <c r="J6" s="1105"/>
      <c r="K6" s="1105"/>
      <c r="L6" s="1106"/>
      <c r="M6" s="1104" t="s">
        <v>198</v>
      </c>
      <c r="N6" s="1105"/>
      <c r="O6" s="1105"/>
      <c r="P6" s="1105"/>
      <c r="Q6" s="1105"/>
      <c r="R6" s="1107" t="s">
        <v>116</v>
      </c>
    </row>
    <row r="7" spans="1:19" ht="45.75" thickBot="1">
      <c r="A7" s="1096"/>
      <c r="B7" s="804"/>
      <c r="C7" s="1101"/>
      <c r="D7" s="1103"/>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08"/>
    </row>
    <row r="8" spans="1:19" ht="18.75" customHeight="1" thickTop="1">
      <c r="A8" s="809" t="s">
        <v>344</v>
      </c>
      <c r="B8" s="814"/>
      <c r="C8" s="1113"/>
      <c r="D8" s="1113"/>
      <c r="E8" s="1113"/>
      <c r="F8" s="1113"/>
      <c r="G8" s="1113"/>
      <c r="H8" s="1113"/>
      <c r="I8" s="1113"/>
      <c r="J8" s="1113"/>
      <c r="K8" s="1113"/>
      <c r="L8" s="1113"/>
      <c r="M8" s="1113"/>
      <c r="N8" s="1113"/>
      <c r="O8" s="1113"/>
      <c r="P8" s="1113"/>
      <c r="Q8" s="1113"/>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11486.761999999999</v>
      </c>
      <c r="D10" s="1025">
        <f ca="1">tertiair!C16</f>
        <v>0</v>
      </c>
      <c r="E10" s="1025">
        <f ca="1">tertiair!D16</f>
        <v>10217.986790000003</v>
      </c>
      <c r="F10" s="1025">
        <f>tertiair!E16</f>
        <v>103.82127233222759</v>
      </c>
      <c r="G10" s="1025">
        <f ca="1">tertiair!F16</f>
        <v>1580.4443862317219</v>
      </c>
      <c r="H10" s="1025">
        <f>tertiair!G16</f>
        <v>0</v>
      </c>
      <c r="I10" s="1025">
        <f>tertiair!H16</f>
        <v>0</v>
      </c>
      <c r="J10" s="1025">
        <f>tertiair!I16</f>
        <v>0</v>
      </c>
      <c r="K10" s="1025">
        <f>tertiair!J16</f>
        <v>0</v>
      </c>
      <c r="L10" s="1025">
        <f>tertiair!K16</f>
        <v>0</v>
      </c>
      <c r="M10" s="1025">
        <f ca="1">tertiair!L16</f>
        <v>0</v>
      </c>
      <c r="N10" s="1025">
        <f>tertiair!M16</f>
        <v>0</v>
      </c>
      <c r="O10" s="1025">
        <f ca="1">tertiair!N16</f>
        <v>1204.6010970649336</v>
      </c>
      <c r="P10" s="1025">
        <f>tertiair!O16</f>
        <v>0</v>
      </c>
      <c r="Q10" s="1026">
        <f>tertiair!P16</f>
        <v>0</v>
      </c>
      <c r="R10" s="701">
        <f ca="1">SUM(C10:Q10)</f>
        <v>24593.615545628883</v>
      </c>
      <c r="S10" s="67"/>
    </row>
    <row r="11" spans="1:19" s="474" customFormat="1">
      <c r="A11" s="810" t="s">
        <v>225</v>
      </c>
      <c r="B11" s="815"/>
      <c r="C11" s="1025">
        <f>huishoudens!B8</f>
        <v>15254.188155045373</v>
      </c>
      <c r="D11" s="1025">
        <f>huishoudens!C8</f>
        <v>0</v>
      </c>
      <c r="E11" s="1025">
        <f>huishoudens!D8</f>
        <v>46519.686664000001</v>
      </c>
      <c r="F11" s="1025">
        <f>huishoudens!E8</f>
        <v>146.22829712816204</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887.25732150691579</v>
      </c>
      <c r="P11" s="1025">
        <f>huishoudens!O8</f>
        <v>34.393333333333338</v>
      </c>
      <c r="Q11" s="1026">
        <f>huishoudens!P8</f>
        <v>247.86666666666667</v>
      </c>
      <c r="R11" s="701">
        <f>SUM(C11:Q11)</f>
        <v>63089.620437680453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3322.3989999999994</v>
      </c>
      <c r="D13" s="1025">
        <f>industrie!C18</f>
        <v>0</v>
      </c>
      <c r="E13" s="1025">
        <f>industrie!D18</f>
        <v>2706.069454</v>
      </c>
      <c r="F13" s="1025">
        <f>industrie!E18</f>
        <v>387.26042165593111</v>
      </c>
      <c r="G13" s="1025">
        <f>industrie!F18</f>
        <v>1721.0632215857036</v>
      </c>
      <c r="H13" s="1025">
        <f>industrie!G18</f>
        <v>0</v>
      </c>
      <c r="I13" s="1025">
        <f>industrie!H18</f>
        <v>0</v>
      </c>
      <c r="J13" s="1025">
        <f>industrie!I18</f>
        <v>0</v>
      </c>
      <c r="K13" s="1025">
        <f>industrie!J18</f>
        <v>13.081603741315117</v>
      </c>
      <c r="L13" s="1025">
        <f>industrie!K18</f>
        <v>0</v>
      </c>
      <c r="M13" s="1025">
        <f>industrie!L18</f>
        <v>0</v>
      </c>
      <c r="N13" s="1025">
        <f>industrie!M18</f>
        <v>0</v>
      </c>
      <c r="O13" s="1025">
        <f>industrie!N18</f>
        <v>811.00910802350893</v>
      </c>
      <c r="P13" s="1025">
        <f>industrie!O18</f>
        <v>0</v>
      </c>
      <c r="Q13" s="1026">
        <f>industrie!P18</f>
        <v>0</v>
      </c>
      <c r="R13" s="701">
        <f>SUM(C13:Q13)</f>
        <v>8960.882809006458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30063.349155045369</v>
      </c>
      <c r="D16" s="733">
        <f t="shared" ref="D16:R16" ca="1" si="0">SUM(D9:D15)</f>
        <v>0</v>
      </c>
      <c r="E16" s="733">
        <f t="shared" ca="1" si="0"/>
        <v>59443.742908</v>
      </c>
      <c r="F16" s="733">
        <f t="shared" si="0"/>
        <v>637.30999111632082</v>
      </c>
      <c r="G16" s="733">
        <f t="shared" ca="1" si="0"/>
        <v>3301.5076078174252</v>
      </c>
      <c r="H16" s="733">
        <f t="shared" si="0"/>
        <v>0</v>
      </c>
      <c r="I16" s="733">
        <f t="shared" si="0"/>
        <v>0</v>
      </c>
      <c r="J16" s="733">
        <f t="shared" si="0"/>
        <v>0</v>
      </c>
      <c r="K16" s="733">
        <f t="shared" si="0"/>
        <v>13.081603741315117</v>
      </c>
      <c r="L16" s="733">
        <f t="shared" si="0"/>
        <v>0</v>
      </c>
      <c r="M16" s="733">
        <f t="shared" ca="1" si="0"/>
        <v>0</v>
      </c>
      <c r="N16" s="733">
        <f t="shared" si="0"/>
        <v>0</v>
      </c>
      <c r="O16" s="733">
        <f t="shared" ca="1" si="0"/>
        <v>2902.867526595358</v>
      </c>
      <c r="P16" s="733">
        <f t="shared" si="0"/>
        <v>34.393333333333338</v>
      </c>
      <c r="Q16" s="733">
        <f t="shared" si="0"/>
        <v>247.86666666666667</v>
      </c>
      <c r="R16" s="733">
        <f t="shared" ca="1" si="0"/>
        <v>96644.1187923158</v>
      </c>
      <c r="S16" s="67"/>
    </row>
    <row r="17" spans="1:19" s="474" customFormat="1" ht="15.75">
      <c r="A17" s="812" t="s">
        <v>227</v>
      </c>
      <c r="B17" s="737"/>
      <c r="C17" s="1114"/>
      <c r="D17" s="1114"/>
      <c r="E17" s="1114"/>
      <c r="F17" s="1114"/>
      <c r="G17" s="1114"/>
      <c r="H17" s="1114"/>
      <c r="I17" s="1114"/>
      <c r="J17" s="1114"/>
      <c r="K17" s="1114"/>
      <c r="L17" s="1114"/>
      <c r="M17" s="1114"/>
      <c r="N17" s="1114"/>
      <c r="O17" s="1114"/>
      <c r="P17" s="1114"/>
      <c r="Q17" s="1114"/>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656.83609307166807</v>
      </c>
      <c r="I19" s="1025">
        <f>transport!H54</f>
        <v>0</v>
      </c>
      <c r="J19" s="1025">
        <f>transport!I54</f>
        <v>0</v>
      </c>
      <c r="K19" s="1025">
        <f>transport!J54</f>
        <v>0</v>
      </c>
      <c r="L19" s="1025">
        <f>transport!K54</f>
        <v>0</v>
      </c>
      <c r="M19" s="1025">
        <f>transport!L54</f>
        <v>0</v>
      </c>
      <c r="N19" s="1025">
        <f>transport!M54</f>
        <v>37.457447607229966</v>
      </c>
      <c r="O19" s="1025">
        <f>transport!N54</f>
        <v>0</v>
      </c>
      <c r="P19" s="1025">
        <f>transport!O54</f>
        <v>0</v>
      </c>
      <c r="Q19" s="1026">
        <f>transport!P54</f>
        <v>0</v>
      </c>
      <c r="R19" s="701">
        <f>SUM(C19:Q19)</f>
        <v>694.29354067889801</v>
      </c>
      <c r="S19" s="67"/>
    </row>
    <row r="20" spans="1:19" s="474" customFormat="1">
      <c r="A20" s="810" t="s">
        <v>307</v>
      </c>
      <c r="B20" s="815"/>
      <c r="C20" s="1025">
        <f>transport!B14</f>
        <v>4.3302686324682336</v>
      </c>
      <c r="D20" s="1025">
        <f>transport!C14</f>
        <v>0</v>
      </c>
      <c r="E20" s="1025">
        <f>transport!D14</f>
        <v>10.683942590050721</v>
      </c>
      <c r="F20" s="1025">
        <f>transport!E14</f>
        <v>68.796243087817714</v>
      </c>
      <c r="G20" s="1025">
        <f>transport!F14</f>
        <v>0</v>
      </c>
      <c r="H20" s="1025">
        <f>transport!G14</f>
        <v>17240.522233833577</v>
      </c>
      <c r="I20" s="1025">
        <f>transport!H14</f>
        <v>4055.4195723660528</v>
      </c>
      <c r="J20" s="1025">
        <f>transport!I14</f>
        <v>0</v>
      </c>
      <c r="K20" s="1025">
        <f>transport!J14</f>
        <v>0</v>
      </c>
      <c r="L20" s="1025">
        <f>transport!K14</f>
        <v>0</v>
      </c>
      <c r="M20" s="1025">
        <f>transport!L14</f>
        <v>0</v>
      </c>
      <c r="N20" s="1025">
        <f>transport!M14</f>
        <v>1122.1279095989125</v>
      </c>
      <c r="O20" s="1025">
        <f>transport!N14</f>
        <v>0</v>
      </c>
      <c r="P20" s="1025">
        <f>transport!O14</f>
        <v>0</v>
      </c>
      <c r="Q20" s="1026">
        <f>transport!P14</f>
        <v>0</v>
      </c>
      <c r="R20" s="701">
        <f>SUM(C20:Q20)</f>
        <v>22501.880170108878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4.3302686324682336</v>
      </c>
      <c r="D22" s="813">
        <f t="shared" ref="D22:R22" si="1">SUM(D18:D21)</f>
        <v>0</v>
      </c>
      <c r="E22" s="813">
        <f t="shared" si="1"/>
        <v>10.683942590050721</v>
      </c>
      <c r="F22" s="813">
        <f t="shared" si="1"/>
        <v>68.796243087817714</v>
      </c>
      <c r="G22" s="813">
        <f t="shared" si="1"/>
        <v>0</v>
      </c>
      <c r="H22" s="813">
        <f t="shared" si="1"/>
        <v>17897.358326905247</v>
      </c>
      <c r="I22" s="813">
        <f t="shared" si="1"/>
        <v>4055.4195723660528</v>
      </c>
      <c r="J22" s="813">
        <f t="shared" si="1"/>
        <v>0</v>
      </c>
      <c r="K22" s="813">
        <f t="shared" si="1"/>
        <v>0</v>
      </c>
      <c r="L22" s="813">
        <f t="shared" si="1"/>
        <v>0</v>
      </c>
      <c r="M22" s="813">
        <f t="shared" si="1"/>
        <v>0</v>
      </c>
      <c r="N22" s="813">
        <f t="shared" si="1"/>
        <v>1159.5853572061426</v>
      </c>
      <c r="O22" s="813">
        <f t="shared" si="1"/>
        <v>0</v>
      </c>
      <c r="P22" s="813">
        <f t="shared" si="1"/>
        <v>0</v>
      </c>
      <c r="Q22" s="813">
        <f t="shared" si="1"/>
        <v>0</v>
      </c>
      <c r="R22" s="813">
        <f t="shared" si="1"/>
        <v>23196.173710787774</v>
      </c>
      <c r="S22" s="67"/>
    </row>
    <row r="23" spans="1:19" s="474" customFormat="1" ht="15.75">
      <c r="A23" s="812" t="s">
        <v>237</v>
      </c>
      <c r="B23" s="737"/>
      <c r="C23" s="1114"/>
      <c r="D23" s="1114"/>
      <c r="E23" s="1114"/>
      <c r="F23" s="1114"/>
      <c r="G23" s="1114"/>
      <c r="H23" s="1114"/>
      <c r="I23" s="1114"/>
      <c r="J23" s="1114"/>
      <c r="K23" s="1114"/>
      <c r="L23" s="1114"/>
      <c r="M23" s="1114"/>
      <c r="N23" s="1114"/>
      <c r="O23" s="1114"/>
      <c r="P23" s="1114"/>
      <c r="Q23" s="1114"/>
      <c r="R23" s="703"/>
      <c r="S23" s="67"/>
    </row>
    <row r="24" spans="1:19" s="474" customFormat="1">
      <c r="A24" s="810" t="s">
        <v>648</v>
      </c>
      <c r="B24" s="815"/>
      <c r="C24" s="1025">
        <f>+landbouw!B8</f>
        <v>14.333</v>
      </c>
      <c r="D24" s="1025">
        <f>+landbouw!C8</f>
        <v>0</v>
      </c>
      <c r="E24" s="1025">
        <f>+landbouw!D8</f>
        <v>17.753163999999998</v>
      </c>
      <c r="F24" s="1025">
        <f>+landbouw!E8</f>
        <v>0.13275824921222681</v>
      </c>
      <c r="G24" s="1025">
        <f>+landbouw!F8</f>
        <v>36.365551433697973</v>
      </c>
      <c r="H24" s="1025">
        <f>+landbouw!G8</f>
        <v>0</v>
      </c>
      <c r="I24" s="1025">
        <f>+landbouw!H8</f>
        <v>0</v>
      </c>
      <c r="J24" s="1025">
        <f>+landbouw!I8</f>
        <v>0</v>
      </c>
      <c r="K24" s="1025">
        <f>+landbouw!J8</f>
        <v>2.1974088567468488</v>
      </c>
      <c r="L24" s="1025">
        <f>+landbouw!K8</f>
        <v>0</v>
      </c>
      <c r="M24" s="1025">
        <f>+landbouw!L8</f>
        <v>0</v>
      </c>
      <c r="N24" s="1025">
        <f>+landbouw!M8</f>
        <v>0</v>
      </c>
      <c r="O24" s="1025">
        <f>+landbouw!N8</f>
        <v>0</v>
      </c>
      <c r="P24" s="1025">
        <f>+landbouw!O8</f>
        <v>0</v>
      </c>
      <c r="Q24" s="1026">
        <f>+landbouw!P8</f>
        <v>0</v>
      </c>
      <c r="R24" s="701">
        <f>SUM(C24:Q24)</f>
        <v>70.781882539657047</v>
      </c>
      <c r="S24" s="67"/>
    </row>
    <row r="25" spans="1:19" s="474" customFormat="1" ht="15" thickBot="1">
      <c r="A25" s="832" t="s">
        <v>864</v>
      </c>
      <c r="B25" s="1028"/>
      <c r="C25" s="1029">
        <f>IF(Onbekend_ele_kWh="---",0,Onbekend_ele_kWh)/1000+IF(REST_rest_ele_kWh="---",0,REST_rest_ele_kWh)/1000</f>
        <v>550.22</v>
      </c>
      <c r="D25" s="1029"/>
      <c r="E25" s="1029">
        <f>IF(onbekend_gas_kWh="---",0,onbekend_gas_kWh)/1000+IF(REST_rest_gas_kWh="---",0,REST_rest_gas_kWh)/1000</f>
        <v>1378.82</v>
      </c>
      <c r="F25" s="1029"/>
      <c r="G25" s="1029"/>
      <c r="H25" s="1029"/>
      <c r="I25" s="1029"/>
      <c r="J25" s="1029"/>
      <c r="K25" s="1029"/>
      <c r="L25" s="1029"/>
      <c r="M25" s="1029"/>
      <c r="N25" s="1029"/>
      <c r="O25" s="1029"/>
      <c r="P25" s="1029"/>
      <c r="Q25" s="1030"/>
      <c r="R25" s="701">
        <f>SUM(C25:Q25)</f>
        <v>1929.04</v>
      </c>
      <c r="S25" s="67"/>
    </row>
    <row r="26" spans="1:19" s="474" customFormat="1" ht="15.75" thickBot="1">
      <c r="A26" s="706" t="s">
        <v>865</v>
      </c>
      <c r="B26" s="818"/>
      <c r="C26" s="813">
        <f>SUM(C24:C25)</f>
        <v>564.553</v>
      </c>
      <c r="D26" s="813">
        <f t="shared" ref="D26:R26" si="2">SUM(D24:D25)</f>
        <v>0</v>
      </c>
      <c r="E26" s="813">
        <f t="shared" si="2"/>
        <v>1396.5731639999999</v>
      </c>
      <c r="F26" s="813">
        <f t="shared" si="2"/>
        <v>0.13275824921222681</v>
      </c>
      <c r="G26" s="813">
        <f t="shared" si="2"/>
        <v>36.365551433697973</v>
      </c>
      <c r="H26" s="813">
        <f t="shared" si="2"/>
        <v>0</v>
      </c>
      <c r="I26" s="813">
        <f t="shared" si="2"/>
        <v>0</v>
      </c>
      <c r="J26" s="813">
        <f t="shared" si="2"/>
        <v>0</v>
      </c>
      <c r="K26" s="813">
        <f t="shared" si="2"/>
        <v>2.1974088567468488</v>
      </c>
      <c r="L26" s="813">
        <f t="shared" si="2"/>
        <v>0</v>
      </c>
      <c r="M26" s="813">
        <f t="shared" si="2"/>
        <v>0</v>
      </c>
      <c r="N26" s="813">
        <f t="shared" si="2"/>
        <v>0</v>
      </c>
      <c r="O26" s="813">
        <f t="shared" si="2"/>
        <v>0</v>
      </c>
      <c r="P26" s="813">
        <f t="shared" si="2"/>
        <v>0</v>
      </c>
      <c r="Q26" s="813">
        <f t="shared" si="2"/>
        <v>0</v>
      </c>
      <c r="R26" s="813">
        <f t="shared" si="2"/>
        <v>1999.8218825396571</v>
      </c>
      <c r="S26" s="67"/>
    </row>
    <row r="27" spans="1:19" s="474" customFormat="1" ht="17.25" thickTop="1" thickBot="1">
      <c r="A27" s="707" t="s">
        <v>116</v>
      </c>
      <c r="B27" s="806"/>
      <c r="C27" s="708">
        <f ca="1">C22+C16+C26</f>
        <v>30632.232423677837</v>
      </c>
      <c r="D27" s="708">
        <f t="shared" ref="D27:R27" ca="1" si="3">D22+D16+D26</f>
        <v>0</v>
      </c>
      <c r="E27" s="708">
        <f t="shared" ca="1" si="3"/>
        <v>60851.000014590056</v>
      </c>
      <c r="F27" s="708">
        <f t="shared" si="3"/>
        <v>706.23899245335076</v>
      </c>
      <c r="G27" s="708">
        <f t="shared" ca="1" si="3"/>
        <v>3337.8731592511231</v>
      </c>
      <c r="H27" s="708">
        <f t="shared" si="3"/>
        <v>17897.358326905247</v>
      </c>
      <c r="I27" s="708">
        <f t="shared" si="3"/>
        <v>4055.4195723660528</v>
      </c>
      <c r="J27" s="708">
        <f t="shared" si="3"/>
        <v>0</v>
      </c>
      <c r="K27" s="708">
        <f t="shared" si="3"/>
        <v>15.279012598061966</v>
      </c>
      <c r="L27" s="708">
        <f t="shared" si="3"/>
        <v>0</v>
      </c>
      <c r="M27" s="708">
        <f t="shared" ca="1" si="3"/>
        <v>0</v>
      </c>
      <c r="N27" s="708">
        <f t="shared" si="3"/>
        <v>1159.5853572061426</v>
      </c>
      <c r="O27" s="708">
        <f t="shared" ca="1" si="3"/>
        <v>2902.867526595358</v>
      </c>
      <c r="P27" s="708">
        <f t="shared" si="3"/>
        <v>34.393333333333338</v>
      </c>
      <c r="Q27" s="708">
        <f t="shared" si="3"/>
        <v>247.86666666666667</v>
      </c>
      <c r="R27" s="708">
        <f t="shared" ca="1" si="3"/>
        <v>121840.11438564323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15"/>
      <c r="B31" s="1115"/>
      <c r="C31" s="1115"/>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17"/>
      <c r="B35" s="820"/>
      <c r="C35" s="1119" t="s">
        <v>347</v>
      </c>
      <c r="D35" s="1120"/>
      <c r="E35" s="1120"/>
      <c r="F35" s="1120"/>
      <c r="G35" s="1120"/>
      <c r="H35" s="1120"/>
      <c r="I35" s="1120"/>
      <c r="J35" s="1120"/>
      <c r="K35" s="1120"/>
      <c r="L35" s="1120"/>
      <c r="M35" s="1120"/>
      <c r="N35" s="1120"/>
      <c r="O35" s="1120"/>
      <c r="P35" s="1120"/>
      <c r="Q35" s="1120"/>
      <c r="R35" s="1121"/>
    </row>
    <row r="36" spans="1:18" ht="16.5" thickTop="1">
      <c r="A36" s="1118"/>
      <c r="B36" s="821"/>
      <c r="C36" s="1122" t="s">
        <v>21</v>
      </c>
      <c r="D36" s="1124" t="s">
        <v>232</v>
      </c>
      <c r="E36" s="1126" t="s">
        <v>197</v>
      </c>
      <c r="F36" s="1127"/>
      <c r="G36" s="1127"/>
      <c r="H36" s="1127"/>
      <c r="I36" s="1127"/>
      <c r="J36" s="1127"/>
      <c r="K36" s="1127"/>
      <c r="L36" s="1128"/>
      <c r="M36" s="1126" t="s">
        <v>198</v>
      </c>
      <c r="N36" s="1127"/>
      <c r="O36" s="1127"/>
      <c r="P36" s="1127"/>
      <c r="Q36" s="1127"/>
      <c r="R36" s="1129" t="s">
        <v>116</v>
      </c>
    </row>
    <row r="37" spans="1:18" ht="45.75" thickBot="1">
      <c r="A37" s="1118"/>
      <c r="B37" s="821"/>
      <c r="C37" s="1123"/>
      <c r="D37" s="112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30"/>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2278.5383722012684</v>
      </c>
      <c r="D40" s="1025">
        <f ca="1">tertiair!C20</f>
        <v>0</v>
      </c>
      <c r="E40" s="1025">
        <f ca="1">tertiair!D20</f>
        <v>2064.0333315800008</v>
      </c>
      <c r="F40" s="1025">
        <f>tertiair!E20</f>
        <v>23.567428819415664</v>
      </c>
      <c r="G40" s="1025">
        <f ca="1">tertiair!F20</f>
        <v>421.97865112386978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4788.117783724555</v>
      </c>
    </row>
    <row r="41" spans="1:18">
      <c r="A41" s="823" t="s">
        <v>225</v>
      </c>
      <c r="B41" s="830"/>
      <c r="C41" s="1025">
        <f ca="1">huishoudens!B12</f>
        <v>3025.8529817235662</v>
      </c>
      <c r="D41" s="1025">
        <f ca="1">huishoudens!C12</f>
        <v>0</v>
      </c>
      <c r="E41" s="1025">
        <f>huishoudens!D12</f>
        <v>9396.9767061279999</v>
      </c>
      <c r="F41" s="1025">
        <f>huishoudens!E12</f>
        <v>33.193823448092786</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12456.02351129966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659.03808307886254</v>
      </c>
      <c r="D43" s="1025">
        <f ca="1">industrie!C22</f>
        <v>0</v>
      </c>
      <c r="E43" s="1025">
        <f>industrie!D22</f>
        <v>546.62602970800003</v>
      </c>
      <c r="F43" s="1025">
        <f>industrie!E22</f>
        <v>87.908115715896372</v>
      </c>
      <c r="G43" s="1025">
        <f>industrie!F22</f>
        <v>459.5238801633829</v>
      </c>
      <c r="H43" s="1025">
        <f>industrie!G22</f>
        <v>0</v>
      </c>
      <c r="I43" s="1025">
        <f>industrie!H22</f>
        <v>0</v>
      </c>
      <c r="J43" s="1025">
        <f>industrie!I22</f>
        <v>0</v>
      </c>
      <c r="K43" s="1025">
        <f>industrie!J22</f>
        <v>4.6308877244255511</v>
      </c>
      <c r="L43" s="1025">
        <f>industrie!K22</f>
        <v>0</v>
      </c>
      <c r="M43" s="1025">
        <f>industrie!L22</f>
        <v>0</v>
      </c>
      <c r="N43" s="1025">
        <f>industrie!M22</f>
        <v>0</v>
      </c>
      <c r="O43" s="1025">
        <f>industrie!N22</f>
        <v>0</v>
      </c>
      <c r="P43" s="1025">
        <f>industrie!O22</f>
        <v>0</v>
      </c>
      <c r="Q43" s="775">
        <f>industrie!P22</f>
        <v>0</v>
      </c>
      <c r="R43" s="850">
        <f t="shared" ca="1" si="4"/>
        <v>1757.7269963905674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5963.4294370036978</v>
      </c>
      <c r="D46" s="733">
        <f t="shared" ref="D46:Q46" ca="1" si="5">SUM(D39:D45)</f>
        <v>0</v>
      </c>
      <c r="E46" s="733">
        <f t="shared" ca="1" si="5"/>
        <v>12007.636067416002</v>
      </c>
      <c r="F46" s="733">
        <f t="shared" si="5"/>
        <v>144.66936798340481</v>
      </c>
      <c r="G46" s="733">
        <f t="shared" ca="1" si="5"/>
        <v>881.50253128725262</v>
      </c>
      <c r="H46" s="733">
        <f t="shared" si="5"/>
        <v>0</v>
      </c>
      <c r="I46" s="733">
        <f t="shared" si="5"/>
        <v>0</v>
      </c>
      <c r="J46" s="733">
        <f t="shared" si="5"/>
        <v>0</v>
      </c>
      <c r="K46" s="733">
        <f t="shared" si="5"/>
        <v>4.6308877244255511</v>
      </c>
      <c r="L46" s="733">
        <f t="shared" si="5"/>
        <v>0</v>
      </c>
      <c r="M46" s="733">
        <f t="shared" ca="1" si="5"/>
        <v>0</v>
      </c>
      <c r="N46" s="733">
        <f t="shared" si="5"/>
        <v>0</v>
      </c>
      <c r="O46" s="733">
        <f t="shared" ca="1" si="5"/>
        <v>0</v>
      </c>
      <c r="P46" s="733">
        <f t="shared" si="5"/>
        <v>0</v>
      </c>
      <c r="Q46" s="733">
        <f t="shared" si="5"/>
        <v>0</v>
      </c>
      <c r="R46" s="733">
        <f ca="1">SUM(R39:R45)</f>
        <v>19001.868291414783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175.37523685013539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175.37523685013539</v>
      </c>
    </row>
    <row r="50" spans="1:18">
      <c r="A50" s="826" t="s">
        <v>307</v>
      </c>
      <c r="B50" s="836"/>
      <c r="C50" s="704">
        <f ca="1">transport!B18</f>
        <v>0.85896123215736353</v>
      </c>
      <c r="D50" s="704">
        <f>transport!C18</f>
        <v>0</v>
      </c>
      <c r="E50" s="704">
        <f>transport!D18</f>
        <v>2.158156403190246</v>
      </c>
      <c r="F50" s="704">
        <f>transport!E18</f>
        <v>15.616747180934622</v>
      </c>
      <c r="G50" s="704">
        <f>transport!F18</f>
        <v>0</v>
      </c>
      <c r="H50" s="704">
        <f>transport!G18</f>
        <v>4603.2194364335655</v>
      </c>
      <c r="I50" s="704">
        <f>transport!H18</f>
        <v>1009.7994735191471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5631.6527747689943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0.85896123215736353</v>
      </c>
      <c r="D52" s="733">
        <f t="shared" ref="D52:Q52" ca="1" si="6">SUM(D48:D51)</f>
        <v>0</v>
      </c>
      <c r="E52" s="733">
        <f t="shared" si="6"/>
        <v>2.158156403190246</v>
      </c>
      <c r="F52" s="733">
        <f t="shared" si="6"/>
        <v>15.616747180934622</v>
      </c>
      <c r="G52" s="733">
        <f t="shared" si="6"/>
        <v>0</v>
      </c>
      <c r="H52" s="733">
        <f t="shared" si="6"/>
        <v>4778.594673283701</v>
      </c>
      <c r="I52" s="733">
        <f t="shared" si="6"/>
        <v>1009.7994735191471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5807.0280116191298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2.8431241535918286</v>
      </c>
      <c r="D54" s="704">
        <f ca="1">+landbouw!C12</f>
        <v>0</v>
      </c>
      <c r="E54" s="704">
        <f>+landbouw!D12</f>
        <v>3.5861391279999997</v>
      </c>
      <c r="F54" s="704">
        <f>+landbouw!E12</f>
        <v>3.0136122571175487E-2</v>
      </c>
      <c r="G54" s="704">
        <f>+landbouw!F12</f>
        <v>9.7096022327973603</v>
      </c>
      <c r="H54" s="704">
        <f>+landbouw!G12</f>
        <v>0</v>
      </c>
      <c r="I54" s="704">
        <f>+landbouw!H12</f>
        <v>0</v>
      </c>
      <c r="J54" s="704">
        <f>+landbouw!I12</f>
        <v>0</v>
      </c>
      <c r="K54" s="704">
        <f>+landbouw!J12</f>
        <v>0.77788273528838447</v>
      </c>
      <c r="L54" s="704">
        <f>+landbouw!K12</f>
        <v>0</v>
      </c>
      <c r="M54" s="704">
        <f>+landbouw!L12</f>
        <v>0</v>
      </c>
      <c r="N54" s="704">
        <f>+landbouw!M12</f>
        <v>0</v>
      </c>
      <c r="O54" s="704">
        <f>+landbouw!N12</f>
        <v>0</v>
      </c>
      <c r="P54" s="704">
        <f>+landbouw!O12</f>
        <v>0</v>
      </c>
      <c r="Q54" s="705">
        <f>+landbouw!P12</f>
        <v>0</v>
      </c>
      <c r="R54" s="732">
        <f ca="1">SUM(C54:Q54)</f>
        <v>16.946884372248746</v>
      </c>
    </row>
    <row r="55" spans="1:18" ht="15" thickBot="1">
      <c r="A55" s="826" t="s">
        <v>864</v>
      </c>
      <c r="B55" s="836"/>
      <c r="C55" s="704">
        <f ca="1">C25*'EF ele_warmte'!B12</f>
        <v>109.14280135277305</v>
      </c>
      <c r="D55" s="704"/>
      <c r="E55" s="704">
        <f>E25*EF_CO2_aardgas</f>
        <v>278.52163999999999</v>
      </c>
      <c r="F55" s="704"/>
      <c r="G55" s="704"/>
      <c r="H55" s="704"/>
      <c r="I55" s="704"/>
      <c r="J55" s="704"/>
      <c r="K55" s="704"/>
      <c r="L55" s="704"/>
      <c r="M55" s="704"/>
      <c r="N55" s="704"/>
      <c r="O55" s="704"/>
      <c r="P55" s="704"/>
      <c r="Q55" s="705"/>
      <c r="R55" s="732">
        <f ca="1">SUM(C55:Q55)</f>
        <v>387.66444135277305</v>
      </c>
    </row>
    <row r="56" spans="1:18" ht="15.75" thickBot="1">
      <c r="A56" s="824" t="s">
        <v>865</v>
      </c>
      <c r="B56" s="837"/>
      <c r="C56" s="733">
        <f ca="1">SUM(C54:C55)</f>
        <v>111.98592550636488</v>
      </c>
      <c r="D56" s="733">
        <f t="shared" ref="D56:Q56" ca="1" si="7">SUM(D54:D55)</f>
        <v>0</v>
      </c>
      <c r="E56" s="733">
        <f t="shared" si="7"/>
        <v>282.107779128</v>
      </c>
      <c r="F56" s="733">
        <f t="shared" si="7"/>
        <v>3.0136122571175487E-2</v>
      </c>
      <c r="G56" s="733">
        <f t="shared" si="7"/>
        <v>9.7096022327973603</v>
      </c>
      <c r="H56" s="733">
        <f t="shared" si="7"/>
        <v>0</v>
      </c>
      <c r="I56" s="733">
        <f t="shared" si="7"/>
        <v>0</v>
      </c>
      <c r="J56" s="733">
        <f t="shared" si="7"/>
        <v>0</v>
      </c>
      <c r="K56" s="733">
        <f t="shared" si="7"/>
        <v>0.77788273528838447</v>
      </c>
      <c r="L56" s="733">
        <f t="shared" si="7"/>
        <v>0</v>
      </c>
      <c r="M56" s="733">
        <f t="shared" si="7"/>
        <v>0</v>
      </c>
      <c r="N56" s="733">
        <f t="shared" si="7"/>
        <v>0</v>
      </c>
      <c r="O56" s="733">
        <f t="shared" si="7"/>
        <v>0</v>
      </c>
      <c r="P56" s="733">
        <f t="shared" si="7"/>
        <v>0</v>
      </c>
      <c r="Q56" s="734">
        <f t="shared" si="7"/>
        <v>0</v>
      </c>
      <c r="R56" s="735">
        <f ca="1">SUM(R54:R55)</f>
        <v>404.6113257250218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09"/>
      <c r="D58" s="1110"/>
      <c r="E58" s="1110"/>
      <c r="F58" s="1110"/>
      <c r="G58" s="1110"/>
      <c r="H58" s="1110"/>
      <c r="I58" s="1110"/>
      <c r="J58" s="1110"/>
      <c r="K58" s="1110"/>
      <c r="L58" s="1110"/>
      <c r="M58" s="1110"/>
      <c r="N58" s="1110"/>
      <c r="O58" s="1110"/>
      <c r="P58" s="1110"/>
      <c r="Q58" s="1110"/>
      <c r="R58" s="739"/>
    </row>
    <row r="59" spans="1:18" ht="15">
      <c r="A59" s="828" t="s">
        <v>239</v>
      </c>
      <c r="B59" s="815"/>
      <c r="C59" s="1111"/>
      <c r="D59" s="1112"/>
      <c r="E59" s="1112"/>
      <c r="F59" s="1112"/>
      <c r="G59" s="1112"/>
      <c r="H59" s="1112"/>
      <c r="I59" s="1112"/>
      <c r="J59" s="1112"/>
      <c r="K59" s="1112"/>
      <c r="L59" s="1112"/>
      <c r="M59" s="1112"/>
      <c r="N59" s="1112"/>
      <c r="O59" s="1112"/>
      <c r="P59" s="1112"/>
      <c r="Q59" s="1112"/>
      <c r="R59" s="740"/>
    </row>
    <row r="60" spans="1:18" ht="15" thickBot="1">
      <c r="A60" s="839" t="s">
        <v>240</v>
      </c>
      <c r="B60" s="840"/>
      <c r="C60" s="1111"/>
      <c r="D60" s="1112"/>
      <c r="E60" s="1112"/>
      <c r="F60" s="1112"/>
      <c r="G60" s="1112"/>
      <c r="H60" s="1112"/>
      <c r="I60" s="1112"/>
      <c r="J60" s="1112"/>
      <c r="K60" s="1112"/>
      <c r="L60" s="1112"/>
      <c r="M60" s="1112"/>
      <c r="N60" s="1112"/>
      <c r="O60" s="1112"/>
      <c r="P60" s="1112"/>
      <c r="Q60" s="1112"/>
      <c r="R60" s="732"/>
    </row>
    <row r="61" spans="1:18" ht="16.5" thickBot="1">
      <c r="A61" s="842" t="s">
        <v>116</v>
      </c>
      <c r="B61" s="843"/>
      <c r="C61" s="741">
        <f ca="1">C46+C52+C56</f>
        <v>6076.2743237422201</v>
      </c>
      <c r="D61" s="741">
        <f t="shared" ref="D61:Q61" ca="1" si="8">D46+D52+D56</f>
        <v>0</v>
      </c>
      <c r="E61" s="741">
        <f t="shared" ca="1" si="8"/>
        <v>12291.902002947192</v>
      </c>
      <c r="F61" s="741">
        <f t="shared" si="8"/>
        <v>160.31625128691061</v>
      </c>
      <c r="G61" s="741">
        <f t="shared" ca="1" si="8"/>
        <v>891.21213352004997</v>
      </c>
      <c r="H61" s="741">
        <f t="shared" si="8"/>
        <v>4778.594673283701</v>
      </c>
      <c r="I61" s="741">
        <f t="shared" si="8"/>
        <v>1009.7994735191471</v>
      </c>
      <c r="J61" s="741">
        <f t="shared" si="8"/>
        <v>0</v>
      </c>
      <c r="K61" s="741">
        <f t="shared" si="8"/>
        <v>5.4087704597139359</v>
      </c>
      <c r="L61" s="741">
        <f t="shared" si="8"/>
        <v>0</v>
      </c>
      <c r="M61" s="741">
        <f t="shared" ca="1" si="8"/>
        <v>0</v>
      </c>
      <c r="N61" s="741">
        <f t="shared" si="8"/>
        <v>0</v>
      </c>
      <c r="O61" s="741">
        <f t="shared" ca="1" si="8"/>
        <v>0</v>
      </c>
      <c r="P61" s="741">
        <f t="shared" si="8"/>
        <v>0</v>
      </c>
      <c r="Q61" s="741">
        <f t="shared" si="8"/>
        <v>0</v>
      </c>
      <c r="R61" s="741">
        <f ca="1">R46+R52+R56</f>
        <v>25213.507628758936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0.19836211216017788</v>
      </c>
      <c r="D63" s="782">
        <f t="shared" ca="1" si="9"/>
        <v>0</v>
      </c>
      <c r="E63" s="1036">
        <f t="shared" ca="1" si="9"/>
        <v>0.20200000000000001</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29" t="s">
        <v>241</v>
      </c>
      <c r="B69" s="1132" t="s">
        <v>351</v>
      </c>
      <c r="C69" s="1133"/>
      <c r="D69" s="1136" t="s">
        <v>352</v>
      </c>
      <c r="E69" s="1137"/>
      <c r="F69" s="1137"/>
      <c r="G69" s="1137"/>
      <c r="H69" s="1137"/>
      <c r="I69" s="1137"/>
      <c r="J69" s="1137"/>
      <c r="K69" s="1137"/>
      <c r="L69" s="1137"/>
      <c r="M69" s="1137"/>
      <c r="N69" s="1137"/>
      <c r="O69" s="1138"/>
      <c r="P69" s="1037" t="s">
        <v>657</v>
      </c>
      <c r="Q69" s="1139" t="s">
        <v>656</v>
      </c>
      <c r="R69" s="1140"/>
    </row>
    <row r="70" spans="1:18" ht="61.5" thickTop="1" thickBot="1">
      <c r="A70" s="1131"/>
      <c r="B70" s="1134"/>
      <c r="C70" s="1135"/>
      <c r="D70" s="1141" t="s">
        <v>197</v>
      </c>
      <c r="E70" s="1142"/>
      <c r="F70" s="1142"/>
      <c r="G70" s="1142"/>
      <c r="H70" s="1143"/>
      <c r="I70" s="1008" t="s">
        <v>246</v>
      </c>
      <c r="J70" s="1008" t="s">
        <v>234</v>
      </c>
      <c r="K70" s="1008" t="s">
        <v>209</v>
      </c>
      <c r="L70" s="1008" t="s">
        <v>210</v>
      </c>
      <c r="M70" s="750" t="s">
        <v>245</v>
      </c>
      <c r="N70" s="1008" t="s">
        <v>247</v>
      </c>
      <c r="O70" s="1010" t="s">
        <v>127</v>
      </c>
      <c r="P70" s="1038"/>
      <c r="Q70" s="857"/>
      <c r="R70" s="858"/>
    </row>
    <row r="71" spans="1:18" ht="95.25" customHeight="1" thickTop="1" thickBot="1">
      <c r="A71" s="1130"/>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65"/>
      <c r="D72" s="1165"/>
      <c r="E72" s="1166"/>
      <c r="F72" s="1166"/>
      <c r="G72" s="1156"/>
      <c r="H72" s="1159"/>
      <c r="I72" s="1162"/>
      <c r="J72" s="1011"/>
      <c r="K72" s="1144"/>
      <c r="L72" s="1144"/>
      <c r="M72" s="1144"/>
      <c r="N72" s="1144"/>
      <c r="O72" s="1147"/>
      <c r="P72" s="852">
        <v>0</v>
      </c>
      <c r="Q72" s="1043"/>
      <c r="R72" s="852">
        <v>0</v>
      </c>
    </row>
    <row r="73" spans="1:18" ht="15">
      <c r="A73" s="752" t="s">
        <v>250</v>
      </c>
      <c r="B73" s="751">
        <f>'lokale energieproductie'!B5</f>
        <v>0</v>
      </c>
      <c r="C73" s="1163"/>
      <c r="D73" s="1163"/>
      <c r="E73" s="1145"/>
      <c r="F73" s="1145"/>
      <c r="G73" s="1157"/>
      <c r="H73" s="1160"/>
      <c r="I73" s="1163"/>
      <c r="J73" s="1012"/>
      <c r="K73" s="1145"/>
      <c r="L73" s="1145"/>
      <c r="M73" s="1145"/>
      <c r="N73" s="1145"/>
      <c r="O73" s="1148"/>
      <c r="P73" s="853">
        <v>0</v>
      </c>
      <c r="Q73" s="859"/>
      <c r="R73" s="853">
        <v>0</v>
      </c>
    </row>
    <row r="74" spans="1:18" ht="15">
      <c r="A74" s="752" t="s">
        <v>251</v>
      </c>
      <c r="B74" s="751">
        <f>'lokale energieproductie'!B6</f>
        <v>3137.7784700931347</v>
      </c>
      <c r="C74" s="1163"/>
      <c r="D74" s="1163"/>
      <c r="E74" s="1145"/>
      <c r="F74" s="1145"/>
      <c r="G74" s="1157"/>
      <c r="H74" s="1160"/>
      <c r="I74" s="1163"/>
      <c r="J74" s="1012"/>
      <c r="K74" s="1145"/>
      <c r="L74" s="1145"/>
      <c r="M74" s="1145"/>
      <c r="N74" s="1145"/>
      <c r="O74" s="1148"/>
      <c r="P74" s="853">
        <v>0</v>
      </c>
      <c r="Q74" s="859"/>
      <c r="R74" s="853">
        <v>0</v>
      </c>
    </row>
    <row r="75" spans="1:18" ht="15.75" thickBot="1">
      <c r="A75" s="752" t="s">
        <v>867</v>
      </c>
      <c r="B75" s="751">
        <f>'lokale energieproductie'!B7</f>
        <v>0</v>
      </c>
      <c r="C75" s="1164"/>
      <c r="D75" s="1164"/>
      <c r="E75" s="1146"/>
      <c r="F75" s="1146"/>
      <c r="G75" s="1158"/>
      <c r="H75" s="1161"/>
      <c r="I75" s="1164"/>
      <c r="J75" s="1044"/>
      <c r="K75" s="1146"/>
      <c r="L75" s="1146"/>
      <c r="M75" s="1146"/>
      <c r="N75" s="1146"/>
      <c r="O75" s="1149"/>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3137.7784700931347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29" t="s">
        <v>253</v>
      </c>
      <c r="B84" s="1132" t="s">
        <v>355</v>
      </c>
      <c r="C84" s="1150"/>
      <c r="D84" s="1153" t="s">
        <v>356</v>
      </c>
      <c r="E84" s="1154"/>
      <c r="F84" s="1154"/>
      <c r="G84" s="1154"/>
      <c r="H84" s="1154"/>
      <c r="I84" s="1154"/>
      <c r="J84" s="1154"/>
      <c r="K84" s="1154"/>
      <c r="L84" s="1154"/>
      <c r="M84" s="1154"/>
      <c r="N84" s="1154"/>
      <c r="O84" s="1155"/>
      <c r="P84" s="1037" t="s">
        <v>657</v>
      </c>
      <c r="Q84" s="1132" t="s">
        <v>656</v>
      </c>
      <c r="R84" s="1133"/>
    </row>
    <row r="85" spans="1:19" ht="16.5" customHeight="1" thickTop="1" thickBot="1">
      <c r="A85" s="1131"/>
      <c r="B85" s="1151"/>
      <c r="C85" s="1152"/>
      <c r="D85" s="1170" t="s">
        <v>197</v>
      </c>
      <c r="E85" s="1171"/>
      <c r="F85" s="1171"/>
      <c r="G85" s="1171"/>
      <c r="H85" s="1172"/>
      <c r="I85" s="1173" t="s">
        <v>246</v>
      </c>
      <c r="J85" s="1124" t="s">
        <v>234</v>
      </c>
      <c r="K85" s="1176" t="s">
        <v>209</v>
      </c>
      <c r="L85" s="1176" t="s">
        <v>210</v>
      </c>
      <c r="M85" s="1177" t="s">
        <v>245</v>
      </c>
      <c r="N85" s="1176" t="s">
        <v>257</v>
      </c>
      <c r="O85" s="1179" t="s">
        <v>127</v>
      </c>
      <c r="P85" s="1038"/>
      <c r="Q85" s="857"/>
      <c r="R85" s="858"/>
    </row>
    <row r="86" spans="1:19" ht="110.25" customHeight="1" thickTop="1" thickBot="1">
      <c r="A86" s="1130"/>
      <c r="B86" s="845" t="s">
        <v>655</v>
      </c>
      <c r="C86" s="845" t="s">
        <v>866</v>
      </c>
      <c r="D86" s="1016" t="s">
        <v>199</v>
      </c>
      <c r="E86" s="1009" t="s">
        <v>200</v>
      </c>
      <c r="F86" s="1007" t="s">
        <v>201</v>
      </c>
      <c r="G86" s="1009" t="s">
        <v>203</v>
      </c>
      <c r="H86" s="765" t="s">
        <v>204</v>
      </c>
      <c r="I86" s="1174"/>
      <c r="J86" s="1175"/>
      <c r="K86" s="1125"/>
      <c r="L86" s="1125"/>
      <c r="M86" s="1178"/>
      <c r="N86" s="1125"/>
      <c r="O86" s="1180"/>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167"/>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168"/>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169"/>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44" t="s">
        <v>241</v>
      </c>
      <c r="B1" s="1247" t="s">
        <v>242</v>
      </c>
      <c r="C1" s="1256" t="s">
        <v>243</v>
      </c>
      <c r="D1" s="1257"/>
      <c r="E1" s="1257"/>
      <c r="F1" s="1257"/>
      <c r="G1" s="1257"/>
      <c r="H1" s="1257"/>
      <c r="I1" s="1257"/>
      <c r="J1" s="1257"/>
      <c r="K1" s="1257"/>
      <c r="L1" s="1257"/>
      <c r="M1" s="1257"/>
      <c r="N1" s="1258"/>
      <c r="O1" s="1259" t="s">
        <v>244</v>
      </c>
      <c r="P1" s="1247" t="s">
        <v>557</v>
      </c>
      <c r="Q1" s="1259"/>
      <c r="S1" s="1265"/>
      <c r="T1" s="1265"/>
      <c r="U1" s="1265"/>
    </row>
    <row r="2" spans="1:21" s="560" customFormat="1" ht="15.75" thickBot="1">
      <c r="A2" s="1245"/>
      <c r="B2" s="1245"/>
      <c r="C2" s="1249" t="s">
        <v>197</v>
      </c>
      <c r="D2" s="1250"/>
      <c r="E2" s="1250"/>
      <c r="F2" s="1250"/>
      <c r="G2" s="1251"/>
      <c r="H2" s="1252" t="s">
        <v>245</v>
      </c>
      <c r="I2" s="1254" t="s">
        <v>246</v>
      </c>
      <c r="J2" s="1254" t="s">
        <v>234</v>
      </c>
      <c r="K2" s="1254" t="s">
        <v>247</v>
      </c>
      <c r="L2" s="1254" t="s">
        <v>127</v>
      </c>
      <c r="M2" s="1254" t="s">
        <v>870</v>
      </c>
      <c r="N2" s="1268" t="s">
        <v>871</v>
      </c>
      <c r="O2" s="1260"/>
      <c r="P2" s="1262"/>
      <c r="Q2" s="1260"/>
      <c r="S2" s="1265"/>
      <c r="T2" s="1265"/>
      <c r="U2" s="1265"/>
    </row>
    <row r="3" spans="1:21" s="560" customFormat="1" ht="53.45" customHeight="1" thickBot="1">
      <c r="A3" s="1246"/>
      <c r="B3" s="1248"/>
      <c r="C3" s="561" t="s">
        <v>199</v>
      </c>
      <c r="D3" s="1024" t="s">
        <v>200</v>
      </c>
      <c r="E3" s="562" t="s">
        <v>201</v>
      </c>
      <c r="F3" s="563" t="s">
        <v>203</v>
      </c>
      <c r="G3" s="564" t="s">
        <v>204</v>
      </c>
      <c r="H3" s="1253"/>
      <c r="I3" s="1255"/>
      <c r="J3" s="1255"/>
      <c r="K3" s="1255"/>
      <c r="L3" s="1255"/>
      <c r="M3" s="1255"/>
      <c r="N3" s="1269"/>
      <c r="O3" s="1261"/>
      <c r="P3" s="1248"/>
      <c r="Q3" s="1261"/>
      <c r="S3" s="1265"/>
      <c r="T3" s="1265"/>
      <c r="U3" s="1265"/>
    </row>
    <row r="4" spans="1:21" s="560" customFormat="1" ht="15.75" thickTop="1">
      <c r="A4" s="565" t="s">
        <v>249</v>
      </c>
      <c r="B4" s="566">
        <f>IF(ISERROR(kWh_wind_land),0,kWh_wind_land)</f>
        <v>0</v>
      </c>
      <c r="C4" s="1270"/>
      <c r="D4" s="1273"/>
      <c r="E4" s="1273"/>
      <c r="F4" s="1276"/>
      <c r="G4" s="1279"/>
      <c r="H4" s="1282"/>
      <c r="I4" s="1273"/>
      <c r="J4" s="1273"/>
      <c r="K4" s="1273"/>
      <c r="L4" s="1273"/>
      <c r="M4" s="1273"/>
      <c r="N4" s="1053"/>
      <c r="O4" s="567"/>
      <c r="P4" s="1285"/>
      <c r="Q4" s="1286"/>
      <c r="S4" s="1020"/>
      <c r="T4" s="1287"/>
      <c r="U4" s="1287"/>
    </row>
    <row r="5" spans="1:21" s="560" customFormat="1">
      <c r="A5" s="568" t="s">
        <v>250</v>
      </c>
      <c r="B5" s="566">
        <f>IF(ISERROR(kWh_waterkracht),0,kWh_waterkracht)</f>
        <v>0</v>
      </c>
      <c r="C5" s="1271"/>
      <c r="D5" s="1274"/>
      <c r="E5" s="1274"/>
      <c r="F5" s="1277"/>
      <c r="G5" s="1280"/>
      <c r="H5" s="1283"/>
      <c r="I5" s="1274"/>
      <c r="J5" s="1274"/>
      <c r="K5" s="1274"/>
      <c r="L5" s="1274"/>
      <c r="M5" s="1274"/>
      <c r="N5" s="1053"/>
      <c r="O5" s="569"/>
      <c r="P5" s="1266"/>
      <c r="Q5" s="1267"/>
      <c r="S5" s="1020"/>
      <c r="T5" s="1287"/>
      <c r="U5" s="1287"/>
    </row>
    <row r="6" spans="1:21" s="560" customFormat="1">
      <c r="A6" s="568" t="s">
        <v>251</v>
      </c>
      <c r="B6" s="566">
        <f>IF(ISERROR((kWh_PV_kleiner_dan_10kW+kWh_PV_groter_dan_10kW)),0,(kWh_PV_kleiner_dan_10kW+kWh_PV_groter_dan_10kW))</f>
        <v>3137.7784700931347</v>
      </c>
      <c r="C6" s="1271"/>
      <c r="D6" s="1274"/>
      <c r="E6" s="1274"/>
      <c r="F6" s="1277"/>
      <c r="G6" s="1280"/>
      <c r="H6" s="1283"/>
      <c r="I6" s="1274"/>
      <c r="J6" s="1274"/>
      <c r="K6" s="1274"/>
      <c r="L6" s="1274"/>
      <c r="M6" s="1274"/>
      <c r="N6" s="1053"/>
      <c r="O6" s="569"/>
      <c r="P6" s="1266"/>
      <c r="Q6" s="1267"/>
      <c r="S6" s="1020"/>
      <c r="T6" s="1287"/>
      <c r="U6" s="1287"/>
    </row>
    <row r="7" spans="1:21" s="560" customFormat="1">
      <c r="A7" s="568" t="s">
        <v>867</v>
      </c>
      <c r="B7" s="566"/>
      <c r="C7" s="1272"/>
      <c r="D7" s="1275"/>
      <c r="E7" s="1275"/>
      <c r="F7" s="1278"/>
      <c r="G7" s="1281"/>
      <c r="H7" s="1284"/>
      <c r="I7" s="1275"/>
      <c r="J7" s="1275"/>
      <c r="K7" s="1275"/>
      <c r="L7" s="1275"/>
      <c r="M7" s="1275"/>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66"/>
      <c r="Q8" s="1267"/>
      <c r="S8" s="1020"/>
      <c r="T8" s="1287"/>
      <c r="U8" s="1287"/>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63"/>
      <c r="Q9" s="1264"/>
      <c r="R9" s="581"/>
      <c r="S9" s="1020"/>
      <c r="T9" s="1287"/>
      <c r="U9" s="1287"/>
    </row>
    <row r="10" spans="1:21" s="560" customFormat="1" ht="16.5" thickTop="1" thickBot="1">
      <c r="A10" s="582" t="s">
        <v>116</v>
      </c>
      <c r="B10" s="583">
        <f>SUM(B4:B9)</f>
        <v>3137.7784700931347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44" t="s">
        <v>253</v>
      </c>
      <c r="B14" s="1244" t="s">
        <v>254</v>
      </c>
      <c r="C14" s="1288" t="s">
        <v>255</v>
      </c>
      <c r="D14" s="1289"/>
      <c r="E14" s="1289"/>
      <c r="F14" s="1289"/>
      <c r="G14" s="1289"/>
      <c r="H14" s="1289"/>
      <c r="I14" s="1289"/>
      <c r="J14" s="1289"/>
      <c r="K14" s="1289"/>
      <c r="L14" s="1289"/>
      <c r="M14" s="1289"/>
      <c r="N14" s="1290"/>
      <c r="O14" s="1259" t="s">
        <v>244</v>
      </c>
      <c r="P14" s="1247" t="s">
        <v>256</v>
      </c>
      <c r="Q14" s="1259"/>
      <c r="R14" s="1265"/>
      <c r="S14" s="1265"/>
      <c r="T14" s="1265"/>
    </row>
    <row r="15" spans="1:21" s="560" customFormat="1" ht="15.75" customHeight="1" thickBot="1">
      <c r="A15" s="1245"/>
      <c r="B15" s="1245"/>
      <c r="C15" s="1291" t="s">
        <v>197</v>
      </c>
      <c r="D15" s="1292"/>
      <c r="E15" s="1292"/>
      <c r="F15" s="1292"/>
      <c r="G15" s="1293"/>
      <c r="H15" s="1294" t="s">
        <v>245</v>
      </c>
      <c r="I15" s="1294" t="s">
        <v>246</v>
      </c>
      <c r="J15" s="1294" t="s">
        <v>234</v>
      </c>
      <c r="K15" s="1294" t="s">
        <v>257</v>
      </c>
      <c r="L15" s="1294" t="s">
        <v>127</v>
      </c>
      <c r="M15" s="1294" t="s">
        <v>870</v>
      </c>
      <c r="N15" s="1268" t="s">
        <v>871</v>
      </c>
      <c r="O15" s="1260"/>
      <c r="P15" s="1262"/>
      <c r="Q15" s="1260"/>
      <c r="R15" s="1265"/>
      <c r="S15" s="1265"/>
      <c r="T15" s="1265"/>
    </row>
    <row r="16" spans="1:21" s="560" customFormat="1" ht="40.700000000000003" customHeight="1" thickBot="1">
      <c r="A16" s="1246"/>
      <c r="B16" s="1246"/>
      <c r="C16" s="592" t="s">
        <v>199</v>
      </c>
      <c r="D16" s="1024" t="s">
        <v>200</v>
      </c>
      <c r="E16" s="1023" t="s">
        <v>201</v>
      </c>
      <c r="F16" s="1024" t="s">
        <v>203</v>
      </c>
      <c r="G16" s="593" t="s">
        <v>204</v>
      </c>
      <c r="H16" s="1253"/>
      <c r="I16" s="1253"/>
      <c r="J16" s="1253"/>
      <c r="K16" s="1253"/>
      <c r="L16" s="1253"/>
      <c r="M16" s="1253"/>
      <c r="N16" s="1269"/>
      <c r="O16" s="1261"/>
      <c r="P16" s="1248"/>
      <c r="Q16" s="1261"/>
      <c r="R16" s="1265"/>
      <c r="S16" s="1265"/>
      <c r="T16" s="1265"/>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303"/>
      <c r="Q17" s="1304"/>
      <c r="R17" s="1019"/>
      <c r="S17" s="1298"/>
      <c r="T17" s="1298"/>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99"/>
      <c r="Q18" s="1300"/>
      <c r="R18" s="1020"/>
      <c r="S18" s="1287"/>
      <c r="T18" s="1287"/>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301"/>
      <c r="Q19" s="1302"/>
      <c r="R19" s="1020"/>
      <c r="S19" s="1287"/>
      <c r="T19" s="1287"/>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95"/>
      <c r="Q20" s="1296"/>
      <c r="R20" s="1020"/>
      <c r="S20" s="1297"/>
      <c r="T20" s="1297"/>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5"/>
  <sheetViews>
    <sheetView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15254.188155045373</v>
      </c>
      <c r="C4" s="478">
        <f>huishoudens!C8</f>
        <v>0</v>
      </c>
      <c r="D4" s="478">
        <f>huishoudens!D8</f>
        <v>46519.686664000001</v>
      </c>
      <c r="E4" s="478">
        <f>huishoudens!E8</f>
        <v>146.22829712816204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887.25732150691579</v>
      </c>
      <c r="O4" s="478">
        <f>huishoudens!O8</f>
        <v>34.393333333333338</v>
      </c>
      <c r="P4" s="479">
        <f>huishoudens!P8</f>
        <v>247.86666666666667</v>
      </c>
      <c r="Q4" s="480">
        <f>SUM(B4:P4)</f>
        <v>63089.620437680453</v>
      </c>
    </row>
    <row r="5" spans="1:17">
      <c r="A5" s="477" t="s">
        <v>156</v>
      </c>
      <c r="B5" s="478">
        <f ca="1">tertiair!B16</f>
        <v>10910.422999999999</v>
      </c>
      <c r="C5" s="478">
        <f ca="1">tertiair!C16</f>
        <v>0</v>
      </c>
      <c r="D5" s="478">
        <f ca="1">tertiair!D16</f>
        <v>10217.986790000003</v>
      </c>
      <c r="E5" s="478">
        <f>tertiair!E16</f>
        <v>103.82127233222759</v>
      </c>
      <c r="F5" s="478">
        <f ca="1">tertiair!F16</f>
        <v>1580.4443862317219</v>
      </c>
      <c r="G5" s="478">
        <f>tertiair!G16</f>
        <v>0</v>
      </c>
      <c r="H5" s="478">
        <f>tertiair!H16</f>
        <v>0</v>
      </c>
      <c r="I5" s="478">
        <f>tertiair!I16</f>
        <v>0</v>
      </c>
      <c r="J5" s="478">
        <f>tertiair!J16</f>
        <v>0</v>
      </c>
      <c r="K5" s="478">
        <f>tertiair!K16</f>
        <v>0</v>
      </c>
      <c r="L5" s="478">
        <f ca="1">tertiair!L16</f>
        <v>0</v>
      </c>
      <c r="M5" s="478">
        <f>tertiair!M16</f>
        <v>0</v>
      </c>
      <c r="N5" s="478">
        <f ca="1">tertiair!N16</f>
        <v>1204.6010970649336</v>
      </c>
      <c r="O5" s="478">
        <f>tertiair!O16</f>
        <v>0</v>
      </c>
      <c r="P5" s="479">
        <f>tertiair!P16</f>
        <v>0</v>
      </c>
      <c r="Q5" s="477">
        <f t="shared" ref="Q5:Q14" ca="1" si="0">SUM(B5:P5)</f>
        <v>24017.276545628883</v>
      </c>
    </row>
    <row r="6" spans="1:17">
      <c r="A6" s="477" t="s">
        <v>194</v>
      </c>
      <c r="B6" s="478">
        <f>'openbare verlichting'!B8</f>
        <v>576.33900000000006</v>
      </c>
      <c r="C6" s="478"/>
      <c r="D6" s="478"/>
      <c r="E6" s="478"/>
      <c r="F6" s="478"/>
      <c r="G6" s="478"/>
      <c r="H6" s="478"/>
      <c r="I6" s="478"/>
      <c r="J6" s="478"/>
      <c r="K6" s="478"/>
      <c r="L6" s="478"/>
      <c r="M6" s="478"/>
      <c r="N6" s="478"/>
      <c r="O6" s="478"/>
      <c r="P6" s="479"/>
      <c r="Q6" s="477">
        <f t="shared" si="0"/>
        <v>576.33900000000006</v>
      </c>
    </row>
    <row r="7" spans="1:17">
      <c r="A7" s="477" t="s">
        <v>112</v>
      </c>
      <c r="B7" s="478">
        <f>landbouw!B8</f>
        <v>14.333</v>
      </c>
      <c r="C7" s="478">
        <f>landbouw!C8</f>
        <v>0</v>
      </c>
      <c r="D7" s="478">
        <f>landbouw!D8</f>
        <v>17.753163999999998</v>
      </c>
      <c r="E7" s="478">
        <f>landbouw!E8</f>
        <v>0.13275824921222681</v>
      </c>
      <c r="F7" s="478">
        <f>landbouw!F8</f>
        <v>36.365551433697973</v>
      </c>
      <c r="G7" s="478">
        <f>landbouw!G8</f>
        <v>0</v>
      </c>
      <c r="H7" s="478">
        <f>landbouw!H8</f>
        <v>0</v>
      </c>
      <c r="I7" s="478">
        <f>landbouw!I8</f>
        <v>0</v>
      </c>
      <c r="J7" s="478">
        <f>landbouw!J8</f>
        <v>2.1974088567468488</v>
      </c>
      <c r="K7" s="478">
        <f>landbouw!K8</f>
        <v>0</v>
      </c>
      <c r="L7" s="478">
        <f>landbouw!L8</f>
        <v>0</v>
      </c>
      <c r="M7" s="478">
        <f>landbouw!M8</f>
        <v>0</v>
      </c>
      <c r="N7" s="478">
        <f>landbouw!N8</f>
        <v>0</v>
      </c>
      <c r="O7" s="478">
        <f>landbouw!O8</f>
        <v>0</v>
      </c>
      <c r="P7" s="479">
        <f>landbouw!P8</f>
        <v>0</v>
      </c>
      <c r="Q7" s="477">
        <f t="shared" si="0"/>
        <v>70.781882539657047</v>
      </c>
    </row>
    <row r="8" spans="1:17">
      <c r="A8" s="477" t="s">
        <v>650</v>
      </c>
      <c r="B8" s="478">
        <f>industrie!B18</f>
        <v>3322.3989999999994</v>
      </c>
      <c r="C8" s="478">
        <f>industrie!C18</f>
        <v>0</v>
      </c>
      <c r="D8" s="478">
        <f>industrie!D18</f>
        <v>2706.069454</v>
      </c>
      <c r="E8" s="478">
        <f>industrie!E18</f>
        <v>387.26042165593111</v>
      </c>
      <c r="F8" s="478">
        <f>industrie!F18</f>
        <v>1721.0632215857036</v>
      </c>
      <c r="G8" s="478">
        <f>industrie!G18</f>
        <v>0</v>
      </c>
      <c r="H8" s="478">
        <f>industrie!H18</f>
        <v>0</v>
      </c>
      <c r="I8" s="478">
        <f>industrie!I18</f>
        <v>0</v>
      </c>
      <c r="J8" s="478">
        <f>industrie!J18</f>
        <v>13.081603741315117</v>
      </c>
      <c r="K8" s="478">
        <f>industrie!K18</f>
        <v>0</v>
      </c>
      <c r="L8" s="478">
        <f>industrie!L18</f>
        <v>0</v>
      </c>
      <c r="M8" s="478">
        <f>industrie!M18</f>
        <v>0</v>
      </c>
      <c r="N8" s="478">
        <f>industrie!N18</f>
        <v>811.00910802350893</v>
      </c>
      <c r="O8" s="478">
        <f>industrie!O18</f>
        <v>0</v>
      </c>
      <c r="P8" s="479">
        <f>industrie!P18</f>
        <v>0</v>
      </c>
      <c r="Q8" s="477">
        <f t="shared" si="0"/>
        <v>8960.882809006458</v>
      </c>
    </row>
    <row r="9" spans="1:17" s="483" customFormat="1">
      <c r="A9" s="481" t="s">
        <v>571</v>
      </c>
      <c r="B9" s="482">
        <f>transport!B14</f>
        <v>4.3302686324682336</v>
      </c>
      <c r="C9" s="482">
        <f>transport!C14</f>
        <v>0</v>
      </c>
      <c r="D9" s="482">
        <f>transport!D14</f>
        <v>10.683942590050721</v>
      </c>
      <c r="E9" s="482">
        <f>transport!E14</f>
        <v>68.796243087817714</v>
      </c>
      <c r="F9" s="482">
        <f>transport!F14</f>
        <v>0</v>
      </c>
      <c r="G9" s="482">
        <f>transport!G14</f>
        <v>17240.522233833577</v>
      </c>
      <c r="H9" s="482">
        <f>transport!H14</f>
        <v>4055.4195723660528</v>
      </c>
      <c r="I9" s="482">
        <f>transport!I14</f>
        <v>0</v>
      </c>
      <c r="J9" s="482">
        <f>transport!J14</f>
        <v>0</v>
      </c>
      <c r="K9" s="482">
        <f>transport!K14</f>
        <v>0</v>
      </c>
      <c r="L9" s="482">
        <f>transport!L14</f>
        <v>0</v>
      </c>
      <c r="M9" s="482">
        <f>transport!M14</f>
        <v>1122.1279095989125</v>
      </c>
      <c r="N9" s="482">
        <f>transport!N14</f>
        <v>0</v>
      </c>
      <c r="O9" s="482">
        <f>transport!O14</f>
        <v>0</v>
      </c>
      <c r="P9" s="482">
        <f>transport!P14</f>
        <v>0</v>
      </c>
      <c r="Q9" s="481">
        <f>SUM(B9:P9)</f>
        <v>22501.880170108878</v>
      </c>
    </row>
    <row r="10" spans="1:17">
      <c r="A10" s="477" t="s">
        <v>561</v>
      </c>
      <c r="B10" s="478">
        <f>transport!B54</f>
        <v>0</v>
      </c>
      <c r="C10" s="478">
        <f>transport!C54</f>
        <v>0</v>
      </c>
      <c r="D10" s="478">
        <f>transport!D54</f>
        <v>0</v>
      </c>
      <c r="E10" s="478">
        <f>transport!E54</f>
        <v>0</v>
      </c>
      <c r="F10" s="478">
        <f>transport!F54</f>
        <v>0</v>
      </c>
      <c r="G10" s="478">
        <f>transport!G54</f>
        <v>656.83609307166807</v>
      </c>
      <c r="H10" s="478">
        <f>transport!H54</f>
        <v>0</v>
      </c>
      <c r="I10" s="478">
        <f>transport!I54</f>
        <v>0</v>
      </c>
      <c r="J10" s="478">
        <f>transport!J54</f>
        <v>0</v>
      </c>
      <c r="K10" s="478">
        <f>transport!K54</f>
        <v>0</v>
      </c>
      <c r="L10" s="478">
        <f>transport!L54</f>
        <v>0</v>
      </c>
      <c r="M10" s="478">
        <f>transport!M54</f>
        <v>37.457447607229966</v>
      </c>
      <c r="N10" s="478">
        <f>transport!N54</f>
        <v>0</v>
      </c>
      <c r="O10" s="478">
        <f>transport!O54</f>
        <v>0</v>
      </c>
      <c r="P10" s="479">
        <f>transport!P54</f>
        <v>0</v>
      </c>
      <c r="Q10" s="477">
        <f t="shared" si="0"/>
        <v>694.29354067889801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550.22</v>
      </c>
      <c r="C14" s="485"/>
      <c r="D14" s="485">
        <f>'SEAP template'!E25</f>
        <v>1378.82</v>
      </c>
      <c r="E14" s="485"/>
      <c r="F14" s="485"/>
      <c r="G14" s="485"/>
      <c r="H14" s="485"/>
      <c r="I14" s="485"/>
      <c r="J14" s="485"/>
      <c r="K14" s="485"/>
      <c r="L14" s="485"/>
      <c r="M14" s="485"/>
      <c r="N14" s="485"/>
      <c r="O14" s="485"/>
      <c r="P14" s="486"/>
      <c r="Q14" s="477">
        <f t="shared" si="0"/>
        <v>1929.04</v>
      </c>
    </row>
    <row r="15" spans="1:17" s="487" customFormat="1">
      <c r="A15" s="1051" t="s">
        <v>565</v>
      </c>
      <c r="B15" s="991">
        <f ca="1">SUM(B4:B14)</f>
        <v>30632.232423677837</v>
      </c>
      <c r="C15" s="991">
        <f t="shared" ref="C15:Q15" ca="1" si="1">SUM(C4:C14)</f>
        <v>0</v>
      </c>
      <c r="D15" s="991">
        <f t="shared" ca="1" si="1"/>
        <v>60851.000014590049</v>
      </c>
      <c r="E15" s="991">
        <f t="shared" si="1"/>
        <v>706.23899245335076</v>
      </c>
      <c r="F15" s="991">
        <f t="shared" ca="1" si="1"/>
        <v>3337.8731592511231</v>
      </c>
      <c r="G15" s="991">
        <f t="shared" si="1"/>
        <v>17897.358326905247</v>
      </c>
      <c r="H15" s="991">
        <f t="shared" si="1"/>
        <v>4055.4195723660528</v>
      </c>
      <c r="I15" s="991">
        <f t="shared" si="1"/>
        <v>0</v>
      </c>
      <c r="J15" s="991">
        <f t="shared" si="1"/>
        <v>15.279012598061966</v>
      </c>
      <c r="K15" s="991">
        <f t="shared" si="1"/>
        <v>0</v>
      </c>
      <c r="L15" s="991">
        <f t="shared" ca="1" si="1"/>
        <v>0</v>
      </c>
      <c r="M15" s="991">
        <f t="shared" si="1"/>
        <v>1159.5853572061426</v>
      </c>
      <c r="N15" s="991">
        <f t="shared" ca="1" si="1"/>
        <v>2902.867526595358</v>
      </c>
      <c r="O15" s="991">
        <f t="shared" si="1"/>
        <v>34.393333333333338</v>
      </c>
      <c r="P15" s="991">
        <f t="shared" si="1"/>
        <v>247.86666666666667</v>
      </c>
      <c r="Q15" s="991">
        <f t="shared" ca="1" si="1"/>
        <v>121840.11438564323</v>
      </c>
    </row>
    <row r="17" spans="1:17">
      <c r="A17" s="488" t="s">
        <v>566</v>
      </c>
      <c r="B17" s="787">
        <f ca="1">huishoudens!B10</f>
        <v>0.19836211216017782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3025.8529817235662</v>
      </c>
      <c r="C22" s="478">
        <f t="shared" ref="C22:C32" ca="1" si="3">C4*$C$17</f>
        <v>0</v>
      </c>
      <c r="D22" s="478">
        <f t="shared" ref="D22:D32" si="4">D4*$D$17</f>
        <v>9396.9767061279999</v>
      </c>
      <c r="E22" s="478">
        <f t="shared" ref="E22:E32" si="5">E4*$E$17</f>
        <v>33.193823448092786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12456.02351129966</v>
      </c>
    </row>
    <row r="23" spans="1:17">
      <c r="A23" s="477" t="s">
        <v>156</v>
      </c>
      <c r="B23" s="478">
        <f t="shared" ca="1" si="2"/>
        <v>2164.2145508409835</v>
      </c>
      <c r="C23" s="478">
        <f t="shared" ca="1" si="3"/>
        <v>0</v>
      </c>
      <c r="D23" s="478">
        <f t="shared" ca="1" si="4"/>
        <v>2064.0333315800008</v>
      </c>
      <c r="E23" s="478">
        <f t="shared" si="5"/>
        <v>23.567428819415664</v>
      </c>
      <c r="F23" s="478">
        <f t="shared" ca="1" si="6"/>
        <v>421.97865112386978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4673.7939623642706</v>
      </c>
    </row>
    <row r="24" spans="1:17">
      <c r="A24" s="477" t="s">
        <v>194</v>
      </c>
      <c r="B24" s="478">
        <f t="shared" ca="1" si="2"/>
        <v>114.32382136028474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114.32382136028474</v>
      </c>
    </row>
    <row r="25" spans="1:17">
      <c r="A25" s="477" t="s">
        <v>112</v>
      </c>
      <c r="B25" s="478">
        <f t="shared" ca="1" si="2"/>
        <v>2.8431241535918286</v>
      </c>
      <c r="C25" s="478">
        <f t="shared" ca="1" si="3"/>
        <v>0</v>
      </c>
      <c r="D25" s="478">
        <f t="shared" si="4"/>
        <v>3.5861391279999997</v>
      </c>
      <c r="E25" s="478">
        <f t="shared" si="5"/>
        <v>3.0136122571175487E-2</v>
      </c>
      <c r="F25" s="478">
        <f t="shared" si="6"/>
        <v>9.7096022327973603</v>
      </c>
      <c r="G25" s="478">
        <f t="shared" si="7"/>
        <v>0</v>
      </c>
      <c r="H25" s="478">
        <f t="shared" si="8"/>
        <v>0</v>
      </c>
      <c r="I25" s="478">
        <f t="shared" si="9"/>
        <v>0</v>
      </c>
      <c r="J25" s="478">
        <f t="shared" si="10"/>
        <v>0.77788273528838447</v>
      </c>
      <c r="K25" s="478">
        <f t="shared" si="11"/>
        <v>0</v>
      </c>
      <c r="L25" s="478">
        <f t="shared" si="12"/>
        <v>0</v>
      </c>
      <c r="M25" s="478">
        <f t="shared" si="13"/>
        <v>0</v>
      </c>
      <c r="N25" s="478">
        <f t="shared" si="14"/>
        <v>0</v>
      </c>
      <c r="O25" s="478">
        <f t="shared" si="15"/>
        <v>0</v>
      </c>
      <c r="P25" s="479">
        <f t="shared" si="16"/>
        <v>0</v>
      </c>
      <c r="Q25" s="477">
        <f t="shared" ca="1" si="17"/>
        <v>16.946884372248746</v>
      </c>
    </row>
    <row r="26" spans="1:17">
      <c r="A26" s="477" t="s">
        <v>650</v>
      </c>
      <c r="B26" s="478">
        <f t="shared" ca="1" si="2"/>
        <v>659.03808307886254</v>
      </c>
      <c r="C26" s="478">
        <f t="shared" ca="1" si="3"/>
        <v>0</v>
      </c>
      <c r="D26" s="478">
        <f t="shared" si="4"/>
        <v>546.62602970800003</v>
      </c>
      <c r="E26" s="478">
        <f t="shared" si="5"/>
        <v>87.908115715896372</v>
      </c>
      <c r="F26" s="478">
        <f t="shared" si="6"/>
        <v>459.5238801633829</v>
      </c>
      <c r="G26" s="478">
        <f t="shared" si="7"/>
        <v>0</v>
      </c>
      <c r="H26" s="478">
        <f t="shared" si="8"/>
        <v>0</v>
      </c>
      <c r="I26" s="478">
        <f t="shared" si="9"/>
        <v>0</v>
      </c>
      <c r="J26" s="478">
        <f t="shared" si="10"/>
        <v>4.6308877244255511</v>
      </c>
      <c r="K26" s="478">
        <f t="shared" si="11"/>
        <v>0</v>
      </c>
      <c r="L26" s="478">
        <f t="shared" si="12"/>
        <v>0</v>
      </c>
      <c r="M26" s="478">
        <f t="shared" si="13"/>
        <v>0</v>
      </c>
      <c r="N26" s="478">
        <f t="shared" si="14"/>
        <v>0</v>
      </c>
      <c r="O26" s="478">
        <f t="shared" si="15"/>
        <v>0</v>
      </c>
      <c r="P26" s="479">
        <f t="shared" si="16"/>
        <v>0</v>
      </c>
      <c r="Q26" s="477">
        <f t="shared" ca="1" si="17"/>
        <v>1757.7269963905674</v>
      </c>
    </row>
    <row r="27" spans="1:17" s="483" customFormat="1">
      <c r="A27" s="481" t="s">
        <v>571</v>
      </c>
      <c r="B27" s="781">
        <f t="shared" ca="1" si="2"/>
        <v>0.85896123215736353</v>
      </c>
      <c r="C27" s="482">
        <f t="shared" ca="1" si="3"/>
        <v>0</v>
      </c>
      <c r="D27" s="482">
        <f t="shared" si="4"/>
        <v>2.158156403190246</v>
      </c>
      <c r="E27" s="482">
        <f t="shared" si="5"/>
        <v>15.616747180934622</v>
      </c>
      <c r="F27" s="482">
        <f t="shared" si="6"/>
        <v>0</v>
      </c>
      <c r="G27" s="482">
        <f t="shared" si="7"/>
        <v>4603.2194364335655</v>
      </c>
      <c r="H27" s="482">
        <f t="shared" si="8"/>
        <v>1009.7994735191471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5631.6527747689943</v>
      </c>
    </row>
    <row r="28" spans="1:17">
      <c r="A28" s="477" t="s">
        <v>561</v>
      </c>
      <c r="B28" s="478">
        <f t="shared" ca="1" si="2"/>
        <v>0</v>
      </c>
      <c r="C28" s="478">
        <f t="shared" ca="1" si="3"/>
        <v>0</v>
      </c>
      <c r="D28" s="478">
        <f t="shared" si="4"/>
        <v>0</v>
      </c>
      <c r="E28" s="478">
        <f t="shared" si="5"/>
        <v>0</v>
      </c>
      <c r="F28" s="478">
        <f t="shared" si="6"/>
        <v>0</v>
      </c>
      <c r="G28" s="478">
        <f t="shared" si="7"/>
        <v>175.37523685013539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175.37523685013539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109.14280135277305</v>
      </c>
      <c r="C32" s="478">
        <f t="shared" ca="1" si="3"/>
        <v>0</v>
      </c>
      <c r="D32" s="478">
        <f t="shared" si="4"/>
        <v>278.52163999999999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387.66444135277305</v>
      </c>
    </row>
    <row r="33" spans="1:17" s="487" customFormat="1">
      <c r="A33" s="1051" t="s">
        <v>565</v>
      </c>
      <c r="B33" s="991">
        <f ca="1">SUM(B22:B32)</f>
        <v>6076.2743237422192</v>
      </c>
      <c r="C33" s="991">
        <f t="shared" ref="C33:Q33" ca="1" si="18">SUM(C22:C32)</f>
        <v>0</v>
      </c>
      <c r="D33" s="991">
        <f t="shared" ca="1" si="18"/>
        <v>12291.902002947192</v>
      </c>
      <c r="E33" s="991">
        <f t="shared" si="18"/>
        <v>160.31625128691064</v>
      </c>
      <c r="F33" s="991">
        <f t="shared" ca="1" si="18"/>
        <v>891.21213352004997</v>
      </c>
      <c r="G33" s="991">
        <f t="shared" si="18"/>
        <v>4778.594673283701</v>
      </c>
      <c r="H33" s="991">
        <f t="shared" si="18"/>
        <v>1009.7994735191471</v>
      </c>
      <c r="I33" s="991">
        <f t="shared" si="18"/>
        <v>0</v>
      </c>
      <c r="J33" s="991">
        <f t="shared" si="18"/>
        <v>5.4087704597139359</v>
      </c>
      <c r="K33" s="991">
        <f t="shared" si="18"/>
        <v>0</v>
      </c>
      <c r="L33" s="991">
        <f t="shared" ca="1" si="18"/>
        <v>0</v>
      </c>
      <c r="M33" s="991">
        <f t="shared" si="18"/>
        <v>0</v>
      </c>
      <c r="N33" s="991">
        <f t="shared" ca="1" si="18"/>
        <v>0</v>
      </c>
      <c r="O33" s="991">
        <f t="shared" si="18"/>
        <v>0</v>
      </c>
      <c r="P33" s="991">
        <f t="shared" si="18"/>
        <v>0</v>
      </c>
      <c r="Q33" s="991">
        <f t="shared" ca="1" si="18"/>
        <v>25213.507628758933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60">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3137.7784700931347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881</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3137.7784700931347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882</v>
      </c>
      <c r="B12" s="787" t="s">
        <v>883</v>
      </c>
      <c r="C12" s="787">
        <f ca="1">'EF ele_warmte'!B12</f>
        <v>0.19836211216017782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888</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889</v>
      </c>
      <c r="B22" s="787" t="s">
        <v>883</v>
      </c>
      <c r="C22" s="787">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15.75">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ht="135">
      <c r="A4" s="1077" t="s">
        <v>249</v>
      </c>
      <c r="B4" s="1078" t="s">
        <v>890</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891</v>
      </c>
    </row>
    <row r="5" spans="1:16" ht="135">
      <c r="A5" s="1081" t="s">
        <v>250</v>
      </c>
      <c r="B5" s="1078" t="s">
        <v>890</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891</v>
      </c>
    </row>
    <row r="6" spans="1:16" ht="135">
      <c r="A6" s="1081" t="s">
        <v>251</v>
      </c>
      <c r="B6" s="1078" t="s">
        <v>890</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891</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891</v>
      </c>
    </row>
    <row r="8" spans="1:16" ht="210">
      <c r="A8" s="1077" t="s">
        <v>252</v>
      </c>
      <c r="B8" s="1078" t="s">
        <v>892</v>
      </c>
      <c r="C8" s="1078" t="s">
        <v>892</v>
      </c>
      <c r="D8" s="1078" t="s">
        <v>892</v>
      </c>
      <c r="E8" s="1078" t="s">
        <v>892</v>
      </c>
      <c r="F8" s="1078" t="s">
        <v>892</v>
      </c>
      <c r="G8" s="1078" t="s">
        <v>892</v>
      </c>
      <c r="H8" s="1078" t="s">
        <v>892</v>
      </c>
      <c r="I8" s="1078" t="s">
        <v>892</v>
      </c>
      <c r="J8" s="1078" t="s">
        <v>892</v>
      </c>
      <c r="K8" s="1079" t="s">
        <v>833</v>
      </c>
      <c r="L8" s="1079" t="s">
        <v>833</v>
      </c>
      <c r="M8" s="1079" t="s">
        <v>833</v>
      </c>
      <c r="N8" s="1078" t="s">
        <v>893</v>
      </c>
      <c r="O8" s="1078" t="s">
        <v>893</v>
      </c>
      <c r="P8" s="1082"/>
    </row>
    <row r="9" spans="1:16" ht="210">
      <c r="A9" s="1083" t="s">
        <v>881</v>
      </c>
      <c r="B9" s="1078" t="s">
        <v>893</v>
      </c>
      <c r="C9" s="1078" t="s">
        <v>893</v>
      </c>
      <c r="D9" s="1078" t="s">
        <v>893</v>
      </c>
      <c r="E9" s="1078" t="s">
        <v>893</v>
      </c>
      <c r="F9" s="1078" t="s">
        <v>893</v>
      </c>
      <c r="G9" s="1078" t="s">
        <v>893</v>
      </c>
      <c r="H9" s="1078" t="s">
        <v>893</v>
      </c>
      <c r="I9" s="1078" t="s">
        <v>893</v>
      </c>
      <c r="J9" s="1078" t="s">
        <v>893</v>
      </c>
      <c r="K9" s="1079" t="s">
        <v>833</v>
      </c>
      <c r="L9" s="1078" t="s">
        <v>893</v>
      </c>
      <c r="M9" s="1078" t="s">
        <v>893</v>
      </c>
      <c r="N9" s="1078" t="s">
        <v>893</v>
      </c>
      <c r="O9" s="1078" t="s">
        <v>893</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882</v>
      </c>
      <c r="B12" s="787" t="s">
        <v>883</v>
      </c>
      <c r="C12" s="1085" t="s">
        <v>894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ht="210">
      <c r="A17" s="1073" t="s">
        <v>252</v>
      </c>
      <c r="B17" s="1078" t="s">
        <v>893</v>
      </c>
      <c r="C17" s="1078" t="s">
        <v>893</v>
      </c>
      <c r="D17" s="1078" t="s">
        <v>893</v>
      </c>
      <c r="E17" s="1078" t="s">
        <v>893</v>
      </c>
      <c r="F17" s="1078" t="s">
        <v>893</v>
      </c>
      <c r="G17" s="1078" t="s">
        <v>893</v>
      </c>
      <c r="H17" s="1078" t="s">
        <v>893</v>
      </c>
      <c r="I17" s="1078" t="s">
        <v>893</v>
      </c>
      <c r="J17" s="1078" t="s">
        <v>893</v>
      </c>
      <c r="K17" s="1079" t="s">
        <v>833</v>
      </c>
      <c r="L17" s="1079" t="s">
        <v>833</v>
      </c>
      <c r="M17" s="1079" t="s">
        <v>833</v>
      </c>
      <c r="N17" s="1078" t="s">
        <v>893</v>
      </c>
      <c r="O17" s="1078" t="s">
        <v>893</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888</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889</v>
      </c>
      <c r="B22" s="787" t="s">
        <v>883</v>
      </c>
      <c r="C22" s="1085" t="s">
        <v>895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0.19836211216017782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2019-06-29T16:44:44Z</dcterms:modified>
</cp:coreProperties>
</file>