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F18"/>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G20"/>
  <c r="F20"/>
  <c r="D20"/>
  <c r="B17"/>
  <c r="G12"/>
  <c r="F12"/>
  <c r="E12"/>
  <c r="D12"/>
  <c r="C12"/>
  <c r="G10"/>
  <c r="F10"/>
  <c r="B8"/>
  <c r="B6"/>
  <c r="B5"/>
  <c r="B10" s="1"/>
  <c r="B4"/>
  <c r="I101" l="1"/>
  <c r="H8" s="1"/>
  <c r="H10" s="1"/>
  <c r="H101"/>
  <c r="J8" s="1"/>
  <c r="J10" s="1"/>
  <c r="G101"/>
  <c r="I8" s="1"/>
  <c r="I10" s="1"/>
  <c r="C101"/>
  <c r="B101"/>
  <c r="C8" s="1"/>
  <c r="D101"/>
  <c r="F101"/>
  <c r="O9"/>
  <c r="I102"/>
  <c r="H17" s="1"/>
  <c r="H20" s="1"/>
  <c r="B102"/>
  <c r="C17" s="1"/>
  <c r="C102"/>
  <c r="G102"/>
  <c r="I17" s="1"/>
  <c r="I20" s="1"/>
  <c r="F102"/>
  <c r="B20"/>
  <c r="O19"/>
  <c r="C20"/>
  <c r="C10"/>
  <c r="D102"/>
  <c r="H102"/>
  <c r="E101"/>
  <c r="E8" s="1"/>
  <c r="E10" s="1"/>
  <c r="E102"/>
  <c r="E17" s="1"/>
  <c r="E20" s="1"/>
  <c r="N6" i="17"/>
  <c r="O8" i="18" l="1"/>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Q12"/>
  <c r="P29"/>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L24"/>
  <c r="J24"/>
  <c r="I24"/>
  <c r="H24"/>
  <c r="Q50"/>
  <c r="P50"/>
  <c r="O50"/>
  <c r="M50"/>
  <c r="L50"/>
  <c r="K50"/>
  <c r="J50"/>
  <c r="G50"/>
  <c r="D50"/>
  <c r="Q49"/>
  <c r="Q52" s="1"/>
  <c r="P49"/>
  <c r="P52" s="1"/>
  <c r="Q20"/>
  <c r="P20"/>
  <c r="O20"/>
  <c r="M20"/>
  <c r="L20"/>
  <c r="K20"/>
  <c r="J20"/>
  <c r="G20"/>
  <c r="D20"/>
  <c r="Q19"/>
  <c r="P19"/>
  <c r="O19"/>
  <c r="M19"/>
  <c r="M22" s="1"/>
  <c r="L19"/>
  <c r="K19"/>
  <c r="J19"/>
  <c r="I19"/>
  <c r="G19"/>
  <c r="F19"/>
  <c r="E19"/>
  <c r="D19"/>
  <c r="Q48"/>
  <c r="P48"/>
  <c r="O48"/>
  <c r="M48"/>
  <c r="L48"/>
  <c r="K48"/>
  <c r="J48"/>
  <c r="G48"/>
  <c r="D48"/>
  <c r="Q18"/>
  <c r="Q22" s="1"/>
  <c r="P18"/>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I26"/>
  <c r="E25"/>
  <c r="E55" s="1"/>
  <c r="C25"/>
  <c r="B14" i="48" s="1"/>
  <c r="N26" i="14"/>
  <c r="L26"/>
  <c r="J26"/>
  <c r="H26"/>
  <c r="R12"/>
  <c r="Q11" i="48" l="1"/>
  <c r="O28"/>
  <c r="K22" i="14"/>
  <c r="D22"/>
  <c r="L22"/>
  <c r="K20" i="59"/>
  <c r="D14" i="48"/>
  <c r="E10" i="59"/>
  <c r="K78" i="14"/>
  <c r="K8" i="59"/>
  <c r="K10" s="1"/>
  <c r="E90" i="14"/>
  <c r="E18" i="59"/>
  <c r="E20" s="1"/>
  <c r="L20"/>
  <c r="G22" i="14"/>
  <c r="O22"/>
  <c r="P22"/>
  <c r="L78"/>
  <c r="L9" i="59"/>
  <c r="L10" s="1"/>
  <c r="O25" i="48"/>
  <c r="N78" i="14"/>
  <c r="K90"/>
  <c r="L90"/>
  <c r="H90"/>
  <c r="L13" i="15"/>
  <c r="N13"/>
  <c r="F77" i="14"/>
  <c r="O78"/>
  <c r="N88"/>
  <c r="E78"/>
  <c r="H77"/>
  <c r="H9" i="59" s="1"/>
  <c r="H10" s="1"/>
  <c r="O88" i="14"/>
  <c r="G89"/>
  <c r="G78"/>
  <c r="O31" i="48"/>
  <c r="O27"/>
  <c r="O29"/>
  <c r="P31"/>
  <c r="O24"/>
  <c r="O30"/>
  <c r="P24"/>
  <c r="P30"/>
  <c r="R9" i="14"/>
  <c r="R25"/>
  <c r="C89" l="1"/>
  <c r="C19" i="59" s="1"/>
  <c r="G19"/>
  <c r="G20" s="1"/>
  <c r="B77" i="14"/>
  <c r="B9" i="59" s="1"/>
  <c r="F9"/>
  <c r="Q14" i="48"/>
  <c r="O90" i="14"/>
  <c r="O18" i="59"/>
  <c r="O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78" i="14"/>
  <c r="F8" i="59"/>
  <c r="F10" s="1"/>
  <c r="F90" i="14"/>
  <c r="F17" i="59"/>
  <c r="F20" s="1"/>
  <c r="I78" i="14"/>
  <c r="J76"/>
  <c r="J87"/>
  <c r="Q87"/>
  <c r="D90"/>
  <c r="Q76"/>
  <c r="D78"/>
  <c r="I90"/>
  <c r="Q90" l="1"/>
  <c r="B17" i="6" s="1"/>
  <c r="P17" i="59"/>
  <c r="P20" s="1"/>
  <c r="J78" i="14"/>
  <c r="J8" i="59"/>
  <c r="J10" s="1"/>
  <c r="J90" i="14"/>
  <c r="J17" i="59"/>
  <c r="J20" s="1"/>
  <c r="Q78" i="14"/>
  <c r="B9" i="6" s="1"/>
  <c r="P8" i="59"/>
  <c r="P10" s="1"/>
  <c r="B87" i="14"/>
  <c r="C76"/>
  <c r="B76"/>
  <c r="C87"/>
  <c r="B90" l="1"/>
  <c r="B17" i="59"/>
  <c r="B20" s="1"/>
  <c r="C78" i="14"/>
  <c r="C8" i="59"/>
  <c r="C10" s="1"/>
  <c r="B78" i="14"/>
  <c r="B4" i="6" s="1"/>
  <c r="B8" i="59"/>
  <c r="B10" s="1"/>
  <c r="C90" i="14"/>
  <c r="C17" i="59"/>
  <c r="C20" s="1"/>
  <c r="C42" i="22"/>
  <c r="H14" i="15" l="1"/>
  <c r="H16" s="1"/>
  <c r="G14"/>
  <c r="G16" s="1"/>
  <c r="H10" i="14" l="1"/>
  <c r="H16" s="1"/>
  <c r="G5" i="48"/>
  <c r="I10" i="14"/>
  <c r="I16" s="1"/>
  <c r="H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M26" i="48" l="1"/>
  <c r="M32"/>
  <c r="M22"/>
  <c r="M24"/>
  <c r="M25"/>
  <c r="M30"/>
  <c r="M29"/>
  <c r="M23"/>
  <c r="L32"/>
  <c r="L28"/>
  <c r="L29"/>
  <c r="L24"/>
  <c r="L22"/>
  <c r="L30"/>
  <c r="L27"/>
  <c r="L31"/>
  <c r="Q10" i="14"/>
  <c r="P5" i="48"/>
  <c r="P23" s="1"/>
  <c r="K32"/>
  <c r="K28"/>
  <c r="K26"/>
  <c r="K24"/>
  <c r="K27"/>
  <c r="K25"/>
  <c r="K31"/>
  <c r="K29"/>
  <c r="K22"/>
  <c r="K30"/>
  <c r="B7"/>
  <c r="C24" i="14"/>
  <c r="C26" s="1"/>
  <c r="D30" i="48"/>
  <c r="D28"/>
  <c r="D24"/>
  <c r="D29"/>
  <c r="D31"/>
  <c r="D32"/>
  <c r="Q11" i="14"/>
  <c r="P4" i="48"/>
  <c r="E11" i="14"/>
  <c r="D4" i="48"/>
  <c r="D22" s="1"/>
  <c r="H26"/>
  <c r="H29"/>
  <c r="H32"/>
  <c r="H25"/>
  <c r="H22"/>
  <c r="H30"/>
  <c r="H24"/>
  <c r="H28"/>
  <c r="H23"/>
  <c r="K5"/>
  <c r="L10" i="14"/>
  <c r="L16" s="1"/>
  <c r="L27" s="1"/>
  <c r="I28" i="48"/>
  <c r="I29"/>
  <c r="I31"/>
  <c r="I26"/>
  <c r="I32"/>
  <c r="I25"/>
  <c r="I27"/>
  <c r="I22"/>
  <c r="I30"/>
  <c r="I24"/>
  <c r="D11" i="14"/>
  <c r="C4" i="48"/>
  <c r="G32"/>
  <c r="G26"/>
  <c r="G29"/>
  <c r="G25"/>
  <c r="G24"/>
  <c r="G22"/>
  <c r="G30"/>
  <c r="G23"/>
  <c r="E28"/>
  <c r="E32"/>
  <c r="E24"/>
  <c r="E31"/>
  <c r="E29"/>
  <c r="E30"/>
  <c r="J27"/>
  <c r="J32"/>
  <c r="J31"/>
  <c r="J29"/>
  <c r="J30"/>
  <c r="J24"/>
  <c r="J28"/>
  <c r="O4"/>
  <c r="P11" i="14"/>
  <c r="C11"/>
  <c r="B4" i="48"/>
  <c r="F32"/>
  <c r="F29"/>
  <c r="F30"/>
  <c r="F31"/>
  <c r="F27"/>
  <c r="F24"/>
  <c r="F28"/>
  <c r="N29"/>
  <c r="N32"/>
  <c r="N30"/>
  <c r="N24"/>
  <c r="N31"/>
  <c r="N28"/>
  <c r="N27"/>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P22" i="16" l="1"/>
  <c r="Q43" i="14" s="1"/>
  <c r="Q13"/>
  <c r="Q16" s="1"/>
  <c r="Q27" s="1"/>
  <c r="P8" i="48"/>
  <c r="P26" s="1"/>
  <c r="G13"/>
  <c r="H18" i="14"/>
  <c r="R18" s="1"/>
  <c r="I18"/>
  <c r="H13" i="48"/>
  <c r="H31" s="1"/>
  <c r="E9"/>
  <c r="F20" i="14"/>
  <c r="F22" s="1"/>
  <c r="E20"/>
  <c r="E22" s="1"/>
  <c r="D9" i="48"/>
  <c r="D27" s="1"/>
  <c r="B9"/>
  <c r="C20" i="14"/>
  <c r="P10"/>
  <c r="O5" i="48"/>
  <c r="O23" s="1"/>
  <c r="F4"/>
  <c r="F22" s="1"/>
  <c r="G11" i="14"/>
  <c r="K24"/>
  <c r="K26" s="1"/>
  <c r="J7" i="48"/>
  <c r="J25" s="1"/>
  <c r="P22"/>
  <c r="P33" s="1"/>
  <c r="P15"/>
  <c r="L46" i="14"/>
  <c r="L61" s="1"/>
  <c r="L63" s="1"/>
  <c r="J10"/>
  <c r="J16" s="1"/>
  <c r="J27" s="1"/>
  <c r="I5" i="48"/>
  <c r="O22"/>
  <c r="K23"/>
  <c r="K33" s="1"/>
  <c r="K15"/>
  <c r="M12" i="22"/>
  <c r="N18" i="14"/>
  <c r="M13" i="48"/>
  <c r="M31" s="1"/>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N4" i="48"/>
  <c r="N22" s="1"/>
  <c r="O11" i="14"/>
  <c r="N19"/>
  <c r="M10" i="48"/>
  <c r="M28" s="1"/>
  <c r="F24" i="14"/>
  <c r="F26" s="1"/>
  <c r="E7" i="48"/>
  <c r="E25" s="1"/>
  <c r="H19" i="14"/>
  <c r="R19" s="1"/>
  <c r="G10" i="48"/>
  <c r="E27"/>
  <c r="N20" i="14"/>
  <c r="N22" s="1"/>
  <c r="N27" s="1"/>
  <c r="M9" i="48"/>
  <c r="I23"/>
  <c r="I33" s="1"/>
  <c r="I15"/>
  <c r="H20" i="14"/>
  <c r="G9" i="48"/>
  <c r="O8"/>
  <c r="P13" i="14"/>
  <c r="Q46"/>
  <c r="Q61" s="1"/>
  <c r="Q63" s="1"/>
  <c r="K11"/>
  <c r="J4" i="48"/>
  <c r="G31"/>
  <c r="Q13"/>
  <c r="P16" i="14"/>
  <c r="P27" s="1"/>
  <c r="C22"/>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N63" l="1"/>
  <c r="H52"/>
  <c r="H61" s="1"/>
  <c r="M27" i="48"/>
  <c r="M33" s="1"/>
  <c r="M15"/>
  <c r="E22"/>
  <c r="Q4"/>
  <c r="H9"/>
  <c r="Q9" s="1"/>
  <c r="I20" i="14"/>
  <c r="I22" s="1"/>
  <c r="I27" s="1"/>
  <c r="R11"/>
  <c r="E20" i="15"/>
  <c r="F40" i="14" s="1"/>
  <c r="E5" i="48"/>
  <c r="E23" s="1"/>
  <c r="F10" i="14"/>
  <c r="J5" i="48"/>
  <c r="J23" s="1"/>
  <c r="K10" i="14"/>
  <c r="J22" i="48"/>
  <c r="G27"/>
  <c r="G15"/>
  <c r="H22" i="14"/>
  <c r="H27" s="1"/>
  <c r="O26" i="48"/>
  <c r="O33" s="1"/>
  <c r="O15"/>
  <c r="G28"/>
  <c r="Q10"/>
  <c r="M61" i="14"/>
  <c r="M27"/>
  <c r="E16"/>
  <c r="E27" s="1"/>
  <c r="E63" s="1"/>
  <c r="L15" i="48"/>
  <c r="R24" i="14"/>
  <c r="R26" s="1"/>
  <c r="L33" i="48"/>
  <c r="Q7"/>
  <c r="R10" i="14"/>
  <c r="D23" i="48"/>
  <c r="D33" s="1"/>
  <c r="D15"/>
  <c r="C16" i="14"/>
  <c r="C27" s="1"/>
  <c r="B3" i="6" s="1"/>
  <c r="B12" s="1"/>
  <c r="F23" i="48"/>
  <c r="N23"/>
  <c r="Q5"/>
  <c r="B15"/>
  <c r="F18" i="16"/>
  <c r="E18"/>
  <c r="N18"/>
  <c r="J18"/>
  <c r="G18" i="22"/>
  <c r="H50"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G33" i="48" l="1"/>
  <c r="R20" i="14"/>
  <c r="R22" s="1"/>
  <c r="H63"/>
  <c r="E8" i="48"/>
  <c r="E26" s="1"/>
  <c r="E33" s="1"/>
  <c r="F13" i="14"/>
  <c r="F16" s="1"/>
  <c r="F27" s="1"/>
  <c r="F63" s="1"/>
  <c r="F46"/>
  <c r="F61" s="1"/>
  <c r="E15" i="48"/>
  <c r="H27"/>
  <c r="H33" s="1"/>
  <c r="H15"/>
  <c r="J22" i="16"/>
  <c r="K43" i="14" s="1"/>
  <c r="K46" s="1"/>
  <c r="K61" s="1"/>
  <c r="K13"/>
  <c r="J8" i="48"/>
  <c r="E22" i="16"/>
  <c r="F43" i="14" s="1"/>
  <c r="K16"/>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<sst xmlns="http://schemas.openxmlformats.org/spreadsheetml/2006/main" count="2465" uniqueCount="930">
  <si>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</si>
  <si>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</si>
  <si>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</si>
  <si>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</si>
  <si>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</si>
  <si>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</si>
  <si>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</si>
  <si>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</si>
  <si>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</si>
  <si>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</si>
  <si>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</si>
  <si>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</si>
  <si>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</si>
  <si>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</si>
  <si>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</si>
  <si>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</si>
  <si>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</si>
  <si>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</si>
  <si>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</si>
  <si>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</si>
  <si>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</si>
  <si>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</si>
  <si>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</si>
  <si>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</si>
  <si>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</si>
  <si>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</si>
  <si>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</si>
  <si>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</si>
  <si>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</si>
  <si>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</si>
  <si>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</si>
  <si>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</si>
  <si>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</si>
  <si>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</si>
  <si>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</si>
  <si>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</si>
  <si>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</si>
  <si>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</si>
  <si>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</si>
  <si>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</si>
  <si>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</si>
  <si>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</si>
  <si>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</si>
  <si>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</si>
  <si>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</si>
  <si>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</si>
  <si>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</si>
  <si>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</si>
  <si>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</si>
  <si>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</si>
  <si>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</si>
  <si>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</si>
  <si>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</si>
  <si>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</si>
  <si>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</si>
  <si>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</si>
  <si>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</si>
  <si>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</si>
  <si>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</si>
  <si>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</si>
  <si>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</si>
  <si>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</si>
  <si>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</si>
  <si>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</si>
  <si>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</si>
  <si>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</si>
  <si>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</si>
  <si>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</si>
  <si>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</si>
  <si>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</si>
  <si>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</si>
  <si>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</si>
  <si>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</si>
  <si>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</si>
  <si>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</si>
  <si>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</si>
  <si>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</si>
  <si>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</si>
  <si>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</si>
  <si>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</si>
  <si>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</si>
  <si>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</si>
  <si>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</si>
  <si>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</si>
  <si>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</si>
  <si>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</si>
  <si>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</si>
  <si>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</si>
  <si>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</si>
  <si>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</si>
  <si>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</si>
  <si>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</si>
  <si>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</si>
  <si>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</si>
  <si>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</si>
  <si>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</si>
  <si>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</si>
  <si>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</si>
  <si>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</si>
  <si>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</si>
  <si>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</si>
  <si>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</si>
  <si>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</si>
  <si>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</si>
  <si>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</si>
  <si>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</si>
  <si>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</si>
  <si>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</si>
  <si>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</si>
  <si>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</si>
  <si>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</si>
  <si>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</si>
  <si>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</si>
  <si>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</si>
  <si>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</si>
  <si>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</si>
  <si>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</si>
  <si>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</si>
  <si>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</si>
  <si>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</si>
  <si>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</si>
  <si>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</si>
  <si>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</si>
  <si>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</si>
  <si>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</si>
  <si>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</si>
  <si>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</si>
  <si>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</si>
  <si>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</si>
  <si>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</si>
  <si>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</si>
  <si>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</si>
  <si>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</si>
  <si>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</si>
  <si>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</si>
  <si>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</si>
  <si>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</si>
  <si>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</si>
  <si>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</si>
  <si>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</si>
  <si>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</si>
  <si>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</si>
  <si>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</si>
  <si>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</si>
  <si>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</si>
  <si>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</si>
  <si>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</si>
  <si>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</si>
  <si>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</si>
  <si>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</si>
  <si>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</si>
  <si>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</si>
  <si>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</si>
  <si>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</si>
  <si>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</si>
  <si>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</si>
  <si>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</si>
  <si>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</si>
  <si>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</si>
  <si>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</si>
  <si>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</si>
  <si>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</si>
  <si>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</si>
  <si>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</si>
  <si>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</si>
  <si>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</si>
  <si>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</si>
  <si>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</si>
  <si>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</si>
  <si>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</si>
  <si>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</si>
  <si>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</si>
  <si>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</si>
  <si>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</si>
  <si>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</si>
  <si>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</si>
  <si>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</si>
  <si>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</si>
  <si>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</si>
  <si>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</si>
  <si>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</si>
  <si>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</si>
  <si>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</si>
  <si>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</si>
  <si>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</si>
  <si>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</si>
  <si>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</si>
  <si>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</si>
  <si>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</si>
  <si>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</si>
  <si>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</si>
  <si>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</si>
  <si>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</si>
  <si>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</si>
  <si>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</si>
  <si>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</si>
  <si>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</si>
  <si>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</si>
  <si>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</si>
  <si>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</si>
  <si>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</si>
  <si>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</si>
  <si>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</si>
  <si>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</si>
  <si>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</si>
  <si>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</si>
  <si>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</si>
  <si>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</si>
  <si>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</si>
  <si>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</si>
  <si>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</si>
  <si>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</si>
  <si>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</si>
  <si>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</si>
  <si>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</si>
  <si>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</si>
  <si>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</si>
  <si>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</si>
  <si>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</si>
  <si>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</si>
  <si>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</si>
  <si>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</si>
  <si>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</si>
  <si>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</si>
  <si>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</si>
  <si>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</si>
  <si>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</si>
  <si>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</si>
  <si>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</si>
  <si>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</si>
  <si>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</si>
  <si>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</si>
  <si>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</si>
  <si>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</si>
  <si>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</si>
  <si>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</si>
  <si>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</si>
  <si>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</si>
  <si>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</si>
  <si>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</si>
  <si>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</si>
  <si>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</si>
  <si>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</si>
  <si>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</si>
  <si>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</si>
  <si>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</si>
  <si>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</si>
  <si>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</si>
  <si>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</si>
  <si>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</si>
  <si>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</si>
  <si>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</si>
  <si>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</si>
  <si>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</si>
  <si>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</si>
  <si>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</si>
  <si>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</si>
  <si>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</si>
  <si>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</si>
  <si>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</si>
  <si>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</si>
  <si>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</si>
  <si>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</si>
  <si>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</si>
  <si>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</si>
  <si>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</si>
  <si>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</si>
  <si>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</si>
  <si>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</si>
  <si>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</si>
  <si>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</si>
  <si>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</si>
  <si>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</si>
  <si>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</si>
  <si>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</si>
  <si>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</si>
  <si>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</si>
  <si>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</si>
  <si>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</si>
  <si>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</si>
  <si>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</si>
  <si>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</si>
  <si>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</si>
  <si>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</si>
  <si>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</si>
  <si>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</si>
  <si>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</si>
  <si>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</si>
  <si>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</si>
  <si>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</si>
  <si>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</si>
  <si>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</si>
  <si>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</si>
  <si>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</si>
  <si>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</si>
  <si>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</si>
  <si>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</si>
  <si>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</si>
  <si>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</si>
  <si>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</si>
  <si>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</si>
  <si>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</si>
  <si>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</si>
  <si>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</si>
  <si>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</si>
  <si>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</si>
  <si>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</si>
  <si>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</si>
  <si>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</si>
  <si>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</si>
  <si>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</si>
  <si>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</si>
  <si>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</si>
  <si>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</si>
  <si>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</si>
  <si>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</si>
  <si>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</si>
  <si>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</si>
  <si>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</si>
  <si>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</si>
  <si>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</si>
  <si>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</si>
  <si>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</si>
  <si>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</si>
  <si>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</si>
  <si>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</si>
  <si>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</si>
  <si>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</si>
  <si>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</si>
  <si>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</si>
  <si>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</si>
  <si>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</si>
  <si>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</si>
  <si>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</si>
  <si>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</si>
  <si>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</si>
  <si>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</si>
  <si>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</si>
  <si>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</si>
  <si>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</si>
  <si>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</si>
  <si>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</si>
  <si>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</si>
  <si>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</si>
  <si>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</si>
  <si>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</si>
  <si>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</si>
  <si>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</si>
  <si>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</si>
  <si>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</si>
  <si>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</si>
  <si>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</si>
  <si>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</si>
  <si>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</si>
  <si>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</si>
  <si>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</si>
  <si>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</si>
  <si>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</si>
  <si>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</si>
  <si>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</si>
  <si>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</si>
  <si>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</si>
  <si>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</si>
  <si>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</si>
  <si>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</si>
  <si>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</si>
  <si>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</si>
  <si>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</si>
  <si>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</si>
  <si>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</si>
  <si>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</si>
  <si>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</si>
  <si>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</si>
  <si>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</si>
  <si>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</si>
  <si>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</si>
  <si>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</si>
  <si>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</si>
  <si>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</si>
  <si>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</si>
  <si>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</si>
  <si>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</si>
  <si>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</si>
  <si>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</si>
  <si>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</si>
  <si>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</si>
  <si>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</si>
  <si>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</si>
  <si>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</si>
  <si>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</si>
  <si>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</si>
  <si>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</si>
  <si>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</si>
  <si>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</si>
  <si>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</si>
  <si>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</si>
  <si>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</si>
  <si>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</si>
  <si>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</si>
  <si>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</si>
  <si>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</si>
  <si>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</si>
  <si>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</si>
  <si>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</si>
  <si>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</si>
  <si>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</si>
  <si>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</si>
  <si>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</si>
  <si>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</si>
  <si>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</si>
  <si>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</si>
  <si>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</si>
  <si>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</si>
  <si>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</si>
  <si>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</si>
  <si>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</si>
  <si>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</si>
  <si>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</si>
  <si>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</si>
  <si>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</si>
  <si>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</si>
  <si>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</si>
  <si>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</si>
  <si>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</si>
  <si>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</si>
  <si>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</si>
  <si>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</si>
  <si>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</si>
  <si>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</si>
  <si>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</si>
  <si>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</si>
  <si>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</si>
  <si>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</si>
  <si>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</si>
  <si>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</si>
  <si>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</si>
  <si>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</si>
  <si>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</si>
  <si>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</si>
  <si>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</si>
  <si>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</si>
  <si>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</si>
  <si>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</si>
  <si>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</si>
  <si>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</si>
  <si>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</si>
  <si>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</si>
  <si>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</si>
  <si>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</si>
  <si>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</si>
  <si>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</si>
  <si>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</si>
  <si>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</si>
  <si>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</si>
  <si>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</si>
  <si>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</si>
  <si>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</si>
  <si>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</si>
  <si>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</si>
  <si>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</si>
  <si>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</si>
  <si>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</si>
  <si>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</si>
  <si>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</si>
  <si>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</si>
  <si>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</si>
  <si>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</si>
  <si>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</si>
  <si>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</si>
  <si>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</si>
  <si>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</si>
  <si>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</si>
  <si>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</si>
  <si>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</si>
  <si>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</si>
  <si>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</si>
  <si>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</si>
  <si>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</si>
  <si>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</si>
  <si>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</si>
  <si>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</si>
  <si>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</si>
  <si>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</si>
  <si>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</si>
  <si>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</si>
  <si>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</si>
  <si>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</si>
  <si>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</si>
  <si>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</si>
  <si>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</si>
  <si>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</si>
  <si>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</si>
  <si>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</si>
  <si>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</si>
  <si>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</si>
  <si>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</si>
  <si>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</si>
  <si>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</si>
  <si>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</si>
  <si>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</si>
  <si>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</si>
  <si>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</si>
  <si>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</si>
  <si>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</si>
  <si>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</si>
  <si>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</si>
  <si>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</si>
  <si>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</si>
  <si>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</si>
  <si>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</si>
  <si>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</si>
  <si>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</si>
  <si>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</si>
  <si>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</si>
  <si>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</si>
  <si>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</si>
  <si>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</si>
  <si>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</si>
  <si>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</si>
  <si>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</si>
  <si>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</si>
  <si>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</si>
  <si>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</si>
  <si>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</si>
  <si>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</si>
  <si>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</si>
  <si>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</si>
  <si>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</si>
  <si>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</si>
  <si>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</si>
  <si>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</si>
  <si>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</si>
  <si>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</si>
  <si>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</si>
  <si>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</si>
  <si>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</si>
  <si>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</si>
  <si>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</si>
  <si>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</si>
  <si>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</si>
  <si>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</si>
  <si>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</si>
  <si>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</si>
  <si>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</si>
  <si>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</si>
  <si>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</si>
  <si>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</si>
  <si>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</si>
  <si>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</si>
  <si>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</si>
  <si>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</si>
  <si>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</si>
  <si>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</si>
  <si>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</si>
  <si>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</si>
  <si>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</si>
  <si>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</si>
  <si>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</si>
  <si>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</si>
  <si>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</si>
  <si>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</si>
  <si>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</si>
  <si>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</si>
  <si>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</si>
  <si>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</si>
  <si>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</si>
  <si>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</si>
  <si>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</si>
  <si>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</si>
  <si>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</si>
  <si>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</si>
  <si>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</si>
  <si>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</si>
  <si>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</si>
  <si>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</si>
  <si>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</si>
  <si>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</si>
  <si>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</si>
  <si>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</si>
  <si>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</si>
  <si>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</si>
  <si>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</si>
  <si>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</si>
  <si>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</si>
  <si>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</si>
  <si>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</si>
  <si>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</si>
  <si>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</si>
  <si>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</si>
  <si>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</si>
  <si>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</si>
  <si>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</si>
  <si>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</si>
  <si>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</si>
  <si>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</si>
  <si>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</si>
  <si>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</si>
  <si>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</si>
  <si>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</si>
  <si>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</si>
  <si>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</si>
  <si>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</si>
  <si>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</si>
  <si>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</si>
  <si>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</si>
  <si>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</si>
  <si>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</si>
  <si>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</si>
  <si>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</si>
  <si>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</si>
  <si>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</si>
  <si>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</si>
  <si>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</si>
  <si>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</si>
  <si>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</si>
  <si>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</si>
  <si>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</si>
  <si>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</si>
  <si>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</si>
  <si>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</si>
  <si>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</si>
  <si>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</si>
  <si>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</si>
  <si>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</si>
  <si>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</si>
  <si>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</si>
  <si>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</si>
  <si>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</si>
  <si>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</si>
  <si>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</si>
  <si>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</si>
  <si>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</si>
  <si>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</si>
  <si>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</si>
  <si>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</si>
  <si>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</si>
  <si>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</si>
  <si>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</si>
  <si>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</si>
  <si>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</si>
  <si>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</si>
  <si>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</si>
  <si>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</si>
  <si>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</si>
  <si>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</si>
  <si>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</si>
  <si>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</si>
  <si>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</si>
  <si>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</si>
  <si>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</si>
  <si>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</si>
  <si>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</si>
  <si>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</si>
  <si>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</si>
  <si>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</si>
  <si>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</si>
  <si>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</si>
  <si>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</si>
  <si>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</si>
  <si>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</si>
  <si>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</si>
  <si>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</si>
  <si>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</si>
  <si>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</si>
  <si>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</si>
  <si>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</si>
  <si>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</si>
  <si>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</si>
  <si>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</si>
  <si>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</si>
  <si>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</si>
  <si>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</si>
  <si>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</si>
  <si>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</si>
  <si>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</si>
  <si>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</si>
  <si>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</si>
  <si>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</si>
  <si>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</si>
  <si>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</si>
  <si>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</si>
  <si>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</si>
  <si>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</si>
  <si>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</si>
  <si>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</si>
  <si>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</si>
  <si>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</si>
  <si>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</si>
  <si>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</si>
  <si>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</si>
  <si>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</si>
  <si>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</si>
  <si>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</si>
  <si>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</si>
  <si>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</si>
  <si>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</si>
  <si>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</si>
  <si>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</si>
  <si>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</si>
  <si>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</si>
  <si>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</si>
  <si>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</si>
  <si>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</si>
  <si>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</si>
  <si>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</si>
  <si>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</si>
  <si>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</si>
  <si>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</si>
  <si>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</si>
  <si>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</si>
  <si>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</si>
  <si>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</si>
  <si>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</si>
  <si>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</si>
  <si>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</si>
  <si>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</si>
  <si>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</si>
  <si>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</si>
  <si>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</si>
  <si>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</si>
  <si>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</si>
  <si>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</si>
  <si>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</si>
  <si>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</si>
  <si>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</si>
  <si>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</si>
  <si>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</si>
  <si>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</si>
  <si>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</si>
  <si>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</si>
  <si>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</si>
  <si>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</si>
  <si>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</si>
  <si>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</si>
  <si>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</si>
  <si>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</si>
  <si>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</si>
  <si>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</si>
  <si>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</si>
  <si>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</si>
  <si>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</si>
  <si>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</si>
  <si>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</si>
  <si>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</si>
  <si>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</si>
  <si>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</si>
  <si>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</si>
  <si>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</si>
  <si>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</si>
  <si>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</si>
  <si>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</si>
  <si>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</si>
  <si>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</si>
  <si>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</si>
  <si>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</si>
  <si>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</si>
  <si>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</si>
  <si>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</si>
  <si>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</si>
  <si>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</si>
  <si>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</si>
  <si>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</si>
  <si>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</si>
  <si>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</si>
  <si>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</si>
  <si>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</si>
  <si>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</si>
  <si>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</si>
  <si>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</si>
  <si>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</si>
  <si>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</si>
  <si>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</si>
  <si>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</si>
  <si>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</si>
  <si>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</si>
  <si>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</si>
  <si>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</si>
  <si>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</si>
  <si>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</si>
  <si>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</si>
  <si>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</si>
  <si>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</si>
  <si>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</si>
  <si>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</si>
  <si>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</si>
  <si>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</si>
  <si>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</si>
  <si>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</si>
  <si>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</si>
  <si>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</si>
  <si>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</si>
  <si>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</si>
  <si>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</si>
  <si>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</si>
  <si>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</si>
  <si>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</si>
  <si>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</si>
  <si>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</si>
  <si>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</si>
  <si>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</si>
  <si>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</si>
  <si>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</si>
  <si>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</si>
  <si>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</si>
  <si>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</si>
  <si>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</si>
  <si>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</si>
  <si>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</si>
  <si>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</si>
  <si>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</si>
  <si>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</si>
  <si>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</si>
  <si>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</si>
  <si>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</si>
  <si>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</si>
  <si>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</si>
  <si>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</si>
  <si>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</si>
  <si>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</si>
  <si>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</si>
  <si>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</si>
  <si>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</si>
  <si>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</si>
  <si>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</si>
  <si>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</si>
  <si>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</si>
  <si>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</si>
  <si>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</si>
  <si>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</si>
  <si>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</si>
  <si>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</si>
  <si>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</si>
  <si>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</si>
  <si>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</si>
  <si>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</si>
  <si>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</si>
  <si>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</si>
  <si>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</si>
  <si>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</si>
  <si>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</si>
  <si>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</si>
  <si>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</si>
  <si>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</si>
  <si>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</si>
  <si>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</si>
  <si>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</si>
  <si>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</si>
  <si>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</si>
  <si>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</si>
  <si>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</si>
  <si>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</si>
  <si>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</si>
  <si>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</si>
  <si>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</si>
  <si>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</si>
  <si>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</si>
  <si>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</si>
  <si>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</si>
  <si>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</si>
  <si>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</si>
  <si>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</si>
  <si>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</si>
  <si>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</si>
  <si>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</si>
  <si>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</si>
  <si>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</si>
  <si>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</si>
  <si>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</si>
  <si>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</si>
  <si>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</si>
  <si>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</si>
  <si>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</si>
  <si>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</si>
  <si>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</si>
  <si>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</si>
  <si>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</si>
  <si>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</si>
  <si>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</si>
  <si>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</si>
  <si>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</si>
  <si>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</si>
  <si>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</si>
  <si>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</si>
  <si>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</si>
  <si>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</si>
  <si>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</si>
  <si>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</si>
  <si>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</si>
  <si>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</si>
  <si>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</si>
  <si>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</si>
  <si>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</si>
  <si>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</si>
  <si>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</si>
  <si>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</si>
  <si>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</si>
  <si>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</si>
  <si>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</si>
  <si>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</si>
  <si>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</si>
  <si>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</si>
  <si>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</si>
  <si>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</si>
  <si>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71016</t>
  </si>
  <si>
    <t>GENK</t>
  </si>
  <si>
    <t>Cultuurgrond (ha)</t>
  </si>
  <si>
    <t>Paarden&amp;pony's 200 - 600 kg</t>
  </si>
  <si>
    <t>Paarden&amp;pony's &lt; 200 kg</t>
  </si>
  <si>
    <t>op basis van VEA (maart 2018) en Inventaris Hernieuwbare Energiebronnen (juni 2018)</t>
  </si>
  <si>
    <t>VEA (juni 2018)</t>
  </si>
  <si>
    <t>ASOTEP</t>
  </si>
  <si>
    <t>Woudstraat 3a, 3600 Genk</t>
  </si>
  <si>
    <t>WKK-0080 Asotep</t>
  </si>
  <si>
    <t>interne verbrandingsmotor</t>
  </si>
  <si>
    <t>WKK interne verbrandinsgmotor (gas)</t>
  </si>
  <si>
    <t>Inter-Energa</t>
  </si>
  <si>
    <t>Tony Caelen</t>
  </si>
  <si>
    <t>Evence CoppÚelaan 53 , 3600 Genk</t>
  </si>
  <si>
    <t>WKK-0385 Tony Caelen</t>
  </si>
  <si>
    <t>stirlingmotor</t>
  </si>
  <si>
    <t>AFI Winterslag vzw</t>
  </si>
  <si>
    <t>Vennestraat 98/1 , 3600 Genk</t>
  </si>
  <si>
    <t>WKK-0436 AFI Winterslag</t>
  </si>
  <si>
    <t>Vennestraat 98 , 3600 Genk</t>
  </si>
  <si>
    <t>Aquafin NV</t>
  </si>
  <si>
    <t>Dijkstraat 8, 2630 Aartselaar</t>
  </si>
  <si>
    <t>BGS-0006 RWZI Genk</t>
  </si>
  <si>
    <t>biogas - RWZI</t>
  </si>
  <si>
    <t>niet WKK interne verbrandingsmotor (gas)</t>
  </si>
  <si>
    <t>Diepenbekerbos 12, 3600 Genk</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</si>
</sst>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481578.25228791672</c:v>
                </c:pt>
                <c:pt idx="1">
                  <c:v>259944.60910891302</c:v>
                </c:pt>
                <c:pt idx="2">
                  <c:v>3846.3490000000002</c:v>
                </c:pt>
                <c:pt idx="3">
                  <c:v>3393.3901902784269</c:v>
                </c:pt>
                <c:pt idx="4">
                  <c:v>545444.01547975757</c:v>
                </c:pt>
                <c:pt idx="5">
                  <c:v>454425.5995025083</c:v>
                </c:pt>
                <c:pt idx="6">
                  <c:v>16487.470024446811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65440"/>
        <c:axId val="158766976"/>
      </c:barChart>
      <c:catAx>
        <c:axId val="158765440"/>
        <c:scaling>
          <c:orientation val="minMax"/>
        </c:scaling>
        <c:axPos val="b"/>
        <c:numFmt formatCode="General" sourceLinked="0"/>
        <c:tickLblPos val="nextTo"/>
        <c:crossAx val="158766976"/>
        <c:crosses val="autoZero"/>
        <c:auto val="1"/>
        <c:lblAlgn val="ctr"/>
        <c:lblOffset val="100"/>
      </c:catAx>
      <c:valAx>
        <c:axId val="158766976"/>
        <c:scaling>
          <c:orientation val="minMax"/>
        </c:scaling>
        <c:axPos val="l"/>
        <c:majorGridlines/>
        <c:numFmt formatCode="#,##0" sourceLinked="1"/>
        <c:tickLblPos val="nextTo"/>
        <c:crossAx val="158765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481578.25228791672</c:v>
                </c:pt>
                <c:pt idx="1">
                  <c:v>259944.60910891302</c:v>
                </c:pt>
                <c:pt idx="2">
                  <c:v>3846.3490000000002</c:v>
                </c:pt>
                <c:pt idx="3">
                  <c:v>3393.3901902784269</c:v>
                </c:pt>
                <c:pt idx="4">
                  <c:v>545444.01547975757</c:v>
                </c:pt>
                <c:pt idx="5">
                  <c:v>454425.5995025083</c:v>
                </c:pt>
                <c:pt idx="6">
                  <c:v>16487.470024446811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105615.00225324693</c:v>
                </c:pt>
                <c:pt idx="2">
                  <c:v>52355.095607607269</c:v>
                </c:pt>
                <c:pt idx="3">
                  <c:v>779.56279980852025</c:v>
                </c:pt>
                <c:pt idx="4">
                  <c:v>820.4090883818177</c:v>
                </c:pt>
                <c:pt idx="5">
                  <c:v>102925.17745962704</c:v>
                </c:pt>
                <c:pt idx="6">
                  <c:v>114881.61463818687</c:v>
                </c:pt>
                <c:pt idx="7">
                  <c:v>4214.7157770782787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53344"/>
        <c:axId val="180183808"/>
      </c:barChart>
      <c:catAx>
        <c:axId val="180153344"/>
        <c:scaling>
          <c:orientation val="minMax"/>
        </c:scaling>
        <c:axPos val="b"/>
        <c:numFmt formatCode="General" sourceLinked="0"/>
        <c:tickLblPos val="nextTo"/>
        <c:crossAx val="180183808"/>
        <c:crosses val="autoZero"/>
        <c:auto val="1"/>
        <c:lblAlgn val="ctr"/>
        <c:lblOffset val="100"/>
      </c:catAx>
      <c:valAx>
        <c:axId val="180183808"/>
        <c:scaling>
          <c:orientation val="minMax"/>
        </c:scaling>
        <c:axPos val="l"/>
        <c:majorGridlines/>
        <c:numFmt formatCode="#,##0" sourceLinked="1"/>
        <c:tickLblPos val="nextTo"/>
        <c:crossAx val="1801533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105615.00225324693</c:v>
                </c:pt>
                <c:pt idx="2">
                  <c:v>52355.095607607269</c:v>
                </c:pt>
                <c:pt idx="3">
                  <c:v>779.56279980852025</c:v>
                </c:pt>
                <c:pt idx="4">
                  <c:v>820.4090883818177</c:v>
                </c:pt>
                <c:pt idx="5">
                  <c:v>102925.17745962704</c:v>
                </c:pt>
                <c:pt idx="6">
                  <c:v>114881.61463818687</c:v>
                </c:pt>
                <c:pt idx="7">
                  <c:v>4214.7157770782787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71016</v>
      </c>
      <c r="B6" s="398"/>
      <c r="C6" s="399"/>
    </row>
    <row r="7" spans="1:7" s="396" customFormat="1" ht="15.75" customHeight="1">
      <c r="A7" s="400" t="str">
        <f>txtMunicipality</f>
        <v>GENK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0.20267604416773419</v>
      </c>
      <c r="C17" s="512">
        <f ca="1">'EF ele_warmte'!B22</f>
        <v>0.23670079635949945</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0.20267604416773419</v>
      </c>
      <c r="C29" s="513">
        <f ca="1">'EF ele_warmte'!B22</f>
        <v>0.23670079635949945</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71016</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25059</v>
      </c>
      <c r="C9" s="338">
        <v>25945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313</v>
      </c>
    </row>
    <row r="15" spans="1:6">
      <c r="A15" s="1295" t="s">
        <v>184</v>
      </c>
      <c r="B15" s="335">
        <v>0</v>
      </c>
    </row>
    <row r="16" spans="1:6">
      <c r="A16" s="1295" t="s">
        <v>6</v>
      </c>
      <c r="B16" s="335">
        <v>0</v>
      </c>
    </row>
    <row r="17" spans="1:6">
      <c r="A17" s="1295" t="s">
        <v>7</v>
      </c>
      <c r="B17" s="335">
        <v>4</v>
      </c>
    </row>
    <row r="18" spans="1:6">
      <c r="A18" s="1295" t="s">
        <v>8</v>
      </c>
      <c r="B18" s="335">
        <v>2</v>
      </c>
    </row>
    <row r="19" spans="1:6">
      <c r="A19" s="1295" t="s">
        <v>9</v>
      </c>
      <c r="B19" s="335">
        <v>3</v>
      </c>
    </row>
    <row r="20" spans="1:6">
      <c r="A20" s="1295" t="s">
        <v>10</v>
      </c>
      <c r="B20" s="335">
        <v>21</v>
      </c>
    </row>
    <row r="21" spans="1:6">
      <c r="A21" s="1295" t="s">
        <v>11</v>
      </c>
      <c r="B21" s="335">
        <v>10</v>
      </c>
    </row>
    <row r="22" spans="1:6">
      <c r="A22" s="1295" t="s">
        <v>12</v>
      </c>
      <c r="B22" s="335">
        <v>0</v>
      </c>
    </row>
    <row r="23" spans="1:6">
      <c r="A23" s="1295" t="s">
        <v>13</v>
      </c>
      <c r="B23" s="335">
        <v>0</v>
      </c>
    </row>
    <row r="24" spans="1:6">
      <c r="A24" s="1295" t="s">
        <v>14</v>
      </c>
      <c r="B24" s="335">
        <v>0</v>
      </c>
    </row>
    <row r="25" spans="1:6">
      <c r="A25" s="1295" t="s">
        <v>15</v>
      </c>
      <c r="B25" s="335">
        <v>2</v>
      </c>
    </row>
    <row r="26" spans="1:6">
      <c r="A26" s="1295" t="s">
        <v>16</v>
      </c>
      <c r="B26" s="335">
        <v>109</v>
      </c>
    </row>
    <row r="27" spans="1:6">
      <c r="A27" s="1295" t="s">
        <v>17</v>
      </c>
      <c r="B27" s="335">
        <v>2</v>
      </c>
    </row>
    <row r="28" spans="1:6" s="341" customFormat="1">
      <c r="A28" s="1296" t="s">
        <v>18</v>
      </c>
      <c r="B28" s="1296">
        <v>50</v>
      </c>
    </row>
    <row r="29" spans="1:6">
      <c r="A29" s="1296" t="s">
        <v>906</v>
      </c>
      <c r="B29" s="1296">
        <v>68</v>
      </c>
      <c r="C29" s="341"/>
      <c r="D29" s="341"/>
      <c r="E29" s="341"/>
      <c r="F29" s="341"/>
    </row>
    <row r="30" spans="1:6">
      <c r="A30" s="1291" t="s">
        <v>907</v>
      </c>
      <c r="B30" s="1291">
        <v>10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5</v>
      </c>
      <c r="F35" s="335">
        <v>236536</v>
      </c>
    </row>
    <row r="36" spans="1:6">
      <c r="A36" s="1295" t="s">
        <v>25</v>
      </c>
      <c r="B36" s="1295" t="s">
        <v>27</v>
      </c>
      <c r="C36" s="335">
        <v>0</v>
      </c>
      <c r="D36" s="335">
        <v>0</v>
      </c>
      <c r="E36" s="335">
        <v>26</v>
      </c>
      <c r="F36" s="335">
        <v>356469</v>
      </c>
    </row>
    <row r="37" spans="1:6">
      <c r="A37" s="1295" t="s">
        <v>25</v>
      </c>
      <c r="B37" s="1295" t="s">
        <v>28</v>
      </c>
      <c r="C37" s="335">
        <v>0</v>
      </c>
      <c r="D37" s="335">
        <v>0</v>
      </c>
      <c r="E37" s="335">
        <v>0</v>
      </c>
      <c r="F37" s="335">
        <v>0</v>
      </c>
    </row>
    <row r="38" spans="1:6">
      <c r="A38" s="1295" t="s">
        <v>25</v>
      </c>
      <c r="B38" s="1295" t="s">
        <v>29</v>
      </c>
      <c r="C38" s="335">
        <v>1</v>
      </c>
      <c r="D38" s="335">
        <v>1494348</v>
      </c>
      <c r="E38" s="335">
        <v>1</v>
      </c>
      <c r="F38" s="335">
        <v>73180</v>
      </c>
    </row>
    <row r="39" spans="1:6">
      <c r="A39" s="1295" t="s">
        <v>30</v>
      </c>
      <c r="B39" s="1295" t="s">
        <v>31</v>
      </c>
      <c r="C39" s="335">
        <v>10749</v>
      </c>
      <c r="D39" s="335">
        <v>181561812</v>
      </c>
      <c r="E39" s="335">
        <v>25641</v>
      </c>
      <c r="F39" s="335">
        <v>121619499</v>
      </c>
    </row>
    <row r="40" spans="1:6">
      <c r="A40" s="1295" t="s">
        <v>30</v>
      </c>
      <c r="B40" s="1295" t="s">
        <v>29</v>
      </c>
      <c r="C40" s="335">
        <v>0</v>
      </c>
      <c r="D40" s="335">
        <v>0</v>
      </c>
      <c r="E40" s="335">
        <v>0</v>
      </c>
      <c r="F40" s="335">
        <v>0</v>
      </c>
    </row>
    <row r="41" spans="1:6">
      <c r="A41" s="1295" t="s">
        <v>32</v>
      </c>
      <c r="B41" s="1295" t="s">
        <v>33</v>
      </c>
      <c r="C41" s="335">
        <v>110</v>
      </c>
      <c r="D41" s="335">
        <v>14977898</v>
      </c>
      <c r="E41" s="335">
        <v>499</v>
      </c>
      <c r="F41" s="335">
        <v>106270417</v>
      </c>
    </row>
    <row r="42" spans="1:6">
      <c r="A42" s="1295" t="s">
        <v>32</v>
      </c>
      <c r="B42" s="1295" t="s">
        <v>34</v>
      </c>
      <c r="C42" s="335">
        <v>0</v>
      </c>
      <c r="D42" s="335">
        <v>0</v>
      </c>
      <c r="E42" s="335">
        <v>7</v>
      </c>
      <c r="F42" s="335">
        <v>53979607</v>
      </c>
    </row>
    <row r="43" spans="1:6">
      <c r="A43" s="1295" t="s">
        <v>32</v>
      </c>
      <c r="B43" s="1295" t="s">
        <v>35</v>
      </c>
      <c r="C43" s="335">
        <v>0</v>
      </c>
      <c r="D43" s="335">
        <v>0</v>
      </c>
      <c r="E43" s="335">
        <v>0</v>
      </c>
      <c r="F43" s="335">
        <v>0</v>
      </c>
    </row>
    <row r="44" spans="1:6">
      <c r="A44" s="1295" t="s">
        <v>32</v>
      </c>
      <c r="B44" s="1295" t="s">
        <v>36</v>
      </c>
      <c r="C44" s="335">
        <v>36</v>
      </c>
      <c r="D44" s="335">
        <v>63975746</v>
      </c>
      <c r="E44" s="335">
        <v>82</v>
      </c>
      <c r="F44" s="335">
        <v>52757259</v>
      </c>
    </row>
    <row r="45" spans="1:6">
      <c r="A45" s="1295" t="s">
        <v>32</v>
      </c>
      <c r="B45" s="1295" t="s">
        <v>37</v>
      </c>
      <c r="C45" s="335">
        <v>6</v>
      </c>
      <c r="D45" s="335">
        <v>652431</v>
      </c>
      <c r="E45" s="335">
        <v>12</v>
      </c>
      <c r="F45" s="335">
        <v>814424</v>
      </c>
    </row>
    <row r="46" spans="1:6">
      <c r="A46" s="1295" t="s">
        <v>32</v>
      </c>
      <c r="B46" s="1295" t="s">
        <v>38</v>
      </c>
      <c r="C46" s="335">
        <v>0</v>
      </c>
      <c r="D46" s="335">
        <v>0</v>
      </c>
      <c r="E46" s="335">
        <v>0</v>
      </c>
      <c r="F46" s="335">
        <v>0</v>
      </c>
    </row>
    <row r="47" spans="1:6">
      <c r="A47" s="1295" t="s">
        <v>32</v>
      </c>
      <c r="B47" s="1295" t="s">
        <v>39</v>
      </c>
      <c r="C47" s="335">
        <v>8</v>
      </c>
      <c r="D47" s="335">
        <v>7037407</v>
      </c>
      <c r="E47" s="335">
        <v>14</v>
      </c>
      <c r="F47" s="335">
        <v>15198314</v>
      </c>
    </row>
    <row r="48" spans="1:6">
      <c r="A48" s="1295" t="s">
        <v>32</v>
      </c>
      <c r="B48" s="1295" t="s">
        <v>29</v>
      </c>
      <c r="C48" s="335">
        <v>3</v>
      </c>
      <c r="D48" s="335">
        <v>6676548</v>
      </c>
      <c r="E48" s="335">
        <v>2</v>
      </c>
      <c r="F48" s="335">
        <v>1049972</v>
      </c>
    </row>
    <row r="49" spans="1:6">
      <c r="A49" s="1295" t="s">
        <v>32</v>
      </c>
      <c r="B49" s="1295" t="s">
        <v>40</v>
      </c>
      <c r="C49" s="335">
        <v>9</v>
      </c>
      <c r="D49" s="335">
        <v>9110331</v>
      </c>
      <c r="E49" s="335">
        <v>10</v>
      </c>
      <c r="F49" s="335">
        <v>7371784</v>
      </c>
    </row>
    <row r="50" spans="1:6">
      <c r="A50" s="1295" t="s">
        <v>32</v>
      </c>
      <c r="B50" s="1295" t="s">
        <v>41</v>
      </c>
      <c r="C50" s="335">
        <v>10</v>
      </c>
      <c r="D50" s="335">
        <v>5631959</v>
      </c>
      <c r="E50" s="335">
        <v>33</v>
      </c>
      <c r="F50" s="335">
        <v>7779699</v>
      </c>
    </row>
    <row r="51" spans="1:6">
      <c r="A51" s="1295" t="s">
        <v>42</v>
      </c>
      <c r="B51" s="1295" t="s">
        <v>43</v>
      </c>
      <c r="C51" s="335">
        <v>14</v>
      </c>
      <c r="D51" s="335">
        <v>1004858</v>
      </c>
      <c r="E51" s="335">
        <v>44</v>
      </c>
      <c r="F51" s="335">
        <v>540728</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359</v>
      </c>
      <c r="F54" s="335">
        <v>3846349</v>
      </c>
    </row>
    <row r="55" spans="1:6">
      <c r="A55" s="1295" t="s">
        <v>46</v>
      </c>
      <c r="B55" s="1295" t="s">
        <v>29</v>
      </c>
      <c r="C55" s="335">
        <v>0</v>
      </c>
      <c r="D55" s="335">
        <v>0</v>
      </c>
      <c r="E55" s="335">
        <v>0</v>
      </c>
      <c r="F55" s="335">
        <v>0</v>
      </c>
    </row>
    <row r="56" spans="1:6">
      <c r="A56" s="1295" t="s">
        <v>48</v>
      </c>
      <c r="B56" s="1295" t="s">
        <v>29</v>
      </c>
      <c r="C56" s="335">
        <v>383</v>
      </c>
      <c r="D56" s="335">
        <v>61718503</v>
      </c>
      <c r="E56" s="335">
        <v>570</v>
      </c>
      <c r="F56" s="335">
        <v>5738521</v>
      </c>
    </row>
    <row r="57" spans="1:6">
      <c r="A57" s="1295" t="s">
        <v>49</v>
      </c>
      <c r="B57" s="1295" t="s">
        <v>50</v>
      </c>
      <c r="C57" s="335">
        <v>117</v>
      </c>
      <c r="D57" s="335">
        <v>8545502</v>
      </c>
      <c r="E57" s="335">
        <v>342</v>
      </c>
      <c r="F57" s="335">
        <v>18831772</v>
      </c>
    </row>
    <row r="58" spans="1:6">
      <c r="A58" s="1295" t="s">
        <v>49</v>
      </c>
      <c r="B58" s="1295" t="s">
        <v>51</v>
      </c>
      <c r="C58" s="335">
        <v>72</v>
      </c>
      <c r="D58" s="335">
        <v>6797265</v>
      </c>
      <c r="E58" s="335">
        <v>168</v>
      </c>
      <c r="F58" s="335">
        <v>4399990</v>
      </c>
    </row>
    <row r="59" spans="1:6">
      <c r="A59" s="1295" t="s">
        <v>49</v>
      </c>
      <c r="B59" s="1295" t="s">
        <v>52</v>
      </c>
      <c r="C59" s="335">
        <v>301</v>
      </c>
      <c r="D59" s="335">
        <v>25160788</v>
      </c>
      <c r="E59" s="335">
        <v>882</v>
      </c>
      <c r="F59" s="335">
        <v>44197924</v>
      </c>
    </row>
    <row r="60" spans="1:6">
      <c r="A60" s="1295" t="s">
        <v>49</v>
      </c>
      <c r="B60" s="1295" t="s">
        <v>53</v>
      </c>
      <c r="C60" s="335">
        <v>133</v>
      </c>
      <c r="D60" s="335">
        <v>9024818</v>
      </c>
      <c r="E60" s="335">
        <v>313</v>
      </c>
      <c r="F60" s="335">
        <v>11755145</v>
      </c>
    </row>
    <row r="61" spans="1:6">
      <c r="A61" s="1295" t="s">
        <v>49</v>
      </c>
      <c r="B61" s="1295" t="s">
        <v>54</v>
      </c>
      <c r="C61" s="335">
        <v>250</v>
      </c>
      <c r="D61" s="335">
        <v>18654973</v>
      </c>
      <c r="E61" s="335">
        <v>1231</v>
      </c>
      <c r="F61" s="335">
        <v>66175898</v>
      </c>
    </row>
    <row r="62" spans="1:6">
      <c r="A62" s="1295" t="s">
        <v>49</v>
      </c>
      <c r="B62" s="1295" t="s">
        <v>55</v>
      </c>
      <c r="C62" s="335">
        <v>34</v>
      </c>
      <c r="D62" s="335">
        <v>6321472</v>
      </c>
      <c r="E62" s="335">
        <v>73</v>
      </c>
      <c r="F62" s="335">
        <v>4823997</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3</v>
      </c>
      <c r="F65" s="335">
        <v>19738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8</v>
      </c>
      <c r="D68" s="335">
        <v>949196</v>
      </c>
      <c r="E68" s="335">
        <v>30</v>
      </c>
      <c r="F68" s="335">
        <v>2710199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270460803</v>
      </c>
      <c r="E73" s="335">
        <v>365270300.52731085</v>
      </c>
    </row>
    <row r="74" spans="1:6">
      <c r="A74" s="1295" t="s">
        <v>64</v>
      </c>
      <c r="B74" s="1295" t="s">
        <v>727</v>
      </c>
      <c r="C74" s="1295" t="s">
        <v>728</v>
      </c>
      <c r="D74" s="335">
        <v>21246629.515327904</v>
      </c>
      <c r="E74" s="335">
        <v>29232180.127648827</v>
      </c>
    </row>
    <row r="75" spans="1:6">
      <c r="A75" s="1295" t="s">
        <v>65</v>
      </c>
      <c r="B75" s="1295" t="s">
        <v>725</v>
      </c>
      <c r="C75" s="1295" t="s">
        <v>729</v>
      </c>
      <c r="D75" s="335">
        <v>68444890</v>
      </c>
      <c r="E75" s="335">
        <v>92688896.622623146</v>
      </c>
    </row>
    <row r="76" spans="1:6">
      <c r="A76" s="1295" t="s">
        <v>65</v>
      </c>
      <c r="B76" s="1295" t="s">
        <v>727</v>
      </c>
      <c r="C76" s="1295" t="s">
        <v>730</v>
      </c>
      <c r="D76" s="335">
        <v>685413.51532790298</v>
      </c>
      <c r="E76" s="335">
        <v>1399040.8102196555</v>
      </c>
    </row>
    <row r="77" spans="1:6">
      <c r="A77" s="1295" t="s">
        <v>66</v>
      </c>
      <c r="B77" s="1295" t="s">
        <v>725</v>
      </c>
      <c r="C77" s="1295" t="s">
        <v>731</v>
      </c>
      <c r="D77" s="335">
        <v>148849567</v>
      </c>
      <c r="E77" s="335">
        <v>180127562.64136457</v>
      </c>
    </row>
    <row r="78" spans="1:6">
      <c r="A78" s="1291" t="s">
        <v>66</v>
      </c>
      <c r="B78" s="1291" t="s">
        <v>727</v>
      </c>
      <c r="C78" s="1291" t="s">
        <v>732</v>
      </c>
      <c r="D78" s="1291">
        <v>27948763</v>
      </c>
      <c r="E78" s="1291">
        <v>32778679.392041236</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4355792.969344194</v>
      </c>
      <c r="C83" s="335">
        <v>4182154.5945313326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11592.973679999999</v>
      </c>
    </row>
    <row r="91" spans="1:6">
      <c r="A91" s="1295" t="s">
        <v>68</v>
      </c>
      <c r="B91" s="335">
        <v>9537.6020000000008</v>
      </c>
    </row>
    <row r="92" spans="1:6">
      <c r="A92" s="1291" t="s">
        <v>69</v>
      </c>
      <c r="B92" s="338">
        <v>22736.81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3815</v>
      </c>
    </row>
    <row r="98" spans="1:6">
      <c r="A98" s="1295" t="s">
        <v>72</v>
      </c>
      <c r="B98" s="335">
        <v>9</v>
      </c>
    </row>
    <row r="99" spans="1:6">
      <c r="A99" s="1295" t="s">
        <v>73</v>
      </c>
      <c r="B99" s="335">
        <v>73</v>
      </c>
    </row>
    <row r="100" spans="1:6">
      <c r="A100" s="1295" t="s">
        <v>74</v>
      </c>
      <c r="B100" s="335">
        <v>4328</v>
      </c>
    </row>
    <row r="101" spans="1:6">
      <c r="A101" s="1295" t="s">
        <v>75</v>
      </c>
      <c r="B101" s="335">
        <v>91</v>
      </c>
    </row>
    <row r="102" spans="1:6">
      <c r="A102" s="1295" t="s">
        <v>76</v>
      </c>
      <c r="B102" s="335">
        <v>353</v>
      </c>
    </row>
    <row r="103" spans="1:6">
      <c r="A103" s="1295" t="s">
        <v>77</v>
      </c>
      <c r="B103" s="335">
        <v>446</v>
      </c>
    </row>
    <row r="104" spans="1:6">
      <c r="A104" s="1295" t="s">
        <v>78</v>
      </c>
      <c r="B104" s="335">
        <v>12961</v>
      </c>
    </row>
    <row r="105" spans="1:6">
      <c r="A105" s="1291" t="s">
        <v>79</v>
      </c>
      <c r="B105" s="1291">
        <v>14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30</v>
      </c>
      <c r="C123" s="335">
        <v>42</v>
      </c>
    </row>
    <row r="124" spans="1:6">
      <c r="A124" s="1291" t="s">
        <v>89</v>
      </c>
      <c r="B124" s="335">
        <v>1</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532</v>
      </c>
    </row>
    <row r="130" spans="1:6">
      <c r="A130" s="1295" t="s">
        <v>295</v>
      </c>
      <c r="B130" s="335">
        <v>3</v>
      </c>
    </row>
    <row r="131" spans="1:6">
      <c r="A131" s="1295" t="s">
        <v>296</v>
      </c>
      <c r="B131" s="335">
        <v>4</v>
      </c>
    </row>
    <row r="132" spans="1:6">
      <c r="A132" s="1291" t="s">
        <v>297</v>
      </c>
      <c r="B132" s="338">
        <v>41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537737.03436187503</v>
      </c>
      <c r="C3" s="43" t="s">
        <v>170</v>
      </c>
      <c r="D3" s="43"/>
      <c r="E3" s="156"/>
      <c r="F3" s="43"/>
      <c r="G3" s="43"/>
      <c r="H3" s="43"/>
      <c r="I3" s="43"/>
      <c r="J3" s="43"/>
      <c r="K3" s="96"/>
    </row>
    <row r="4" spans="1:11">
      <c r="A4" s="366" t="s">
        <v>171</v>
      </c>
      <c r="B4" s="49">
        <f>IF(ISERROR('SEAP template'!B78),0,'SEAP template'!B78)</f>
        <v>44744.885680000007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35.150068259385669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0.20267604416773419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54.01850316918577</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228.21428571428572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0.23670079635949945</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3846.3490000000002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3846.3490000000002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0.20267604416773419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779.56279980852025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121619.499</v>
      </c>
      <c r="C5" s="17">
        <f>IF(ISERROR('Eigen informatie GS &amp; warmtenet'!B57),0,'Eigen informatie GS &amp; warmtenet'!B57)</f>
        <v>0</v>
      </c>
      <c r="D5" s="30">
        <f>(SUM(HH_hh_gas_kWh,HH_rest_gas_kWh)/1000)*0.902</f>
        <v>163768.75442400001</v>
      </c>
      <c r="E5" s="17">
        <f>B46*B57</f>
        <v>2545.72902427193</v>
      </c>
      <c r="F5" s="17">
        <f>B51*B62</f>
        <v>169937.94372996711</v>
      </c>
      <c r="G5" s="18"/>
      <c r="H5" s="17"/>
      <c r="I5" s="17"/>
      <c r="J5" s="17">
        <f>B50*B61+C50*C61</f>
        <v>0</v>
      </c>
      <c r="K5" s="17"/>
      <c r="L5" s="17"/>
      <c r="M5" s="17"/>
      <c r="N5" s="17">
        <f>B48*B59+C48*C59</f>
        <v>11897.007443010958</v>
      </c>
      <c r="O5" s="17">
        <f>B69*B70*B71</f>
        <v>898.91666666666674</v>
      </c>
      <c r="P5" s="17">
        <f>B77*B78*B79/1000-B77*B78*B79/1000/B80</f>
        <v>1372.8</v>
      </c>
    </row>
    <row r="6" spans="1:16">
      <c r="A6" s="16" t="s">
        <v>634</v>
      </c>
      <c r="B6" s="783">
        <f>kWh_PV_kleiner_dan_10kW</f>
        <v>9537.6020000000008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131157.101</v>
      </c>
      <c r="C8" s="21">
        <f>C5</f>
        <v>0</v>
      </c>
      <c r="D8" s="21">
        <f>D5</f>
        <v>163768.75442400001</v>
      </c>
      <c r="E8" s="21">
        <f>E5</f>
        <v>2545.72902427193</v>
      </c>
      <c r="F8" s="21">
        <f>F5</f>
        <v>169937.94372996711</v>
      </c>
      <c r="G8" s="21"/>
      <c r="H8" s="21"/>
      <c r="I8" s="21"/>
      <c r="J8" s="21">
        <f>J5</f>
        <v>0</v>
      </c>
      <c r="K8" s="21"/>
      <c r="L8" s="21">
        <f>L5</f>
        <v>0</v>
      </c>
      <c r="M8" s="21">
        <f>M5</f>
        <v>0</v>
      </c>
      <c r="N8" s="21">
        <f>N5</f>
        <v>11897.007443010958</v>
      </c>
      <c r="O8" s="21">
        <f>O5</f>
        <v>898.91666666666674</v>
      </c>
      <c r="P8" s="21">
        <f>P5</f>
        <v>1372.8</v>
      </c>
    </row>
    <row r="9" spans="1:16">
      <c r="B9" s="19"/>
      <c r="C9" s="19"/>
      <c r="D9" s="261"/>
      <c r="E9" s="19"/>
      <c r="F9" s="19"/>
      <c r="G9" s="19"/>
      <c r="H9" s="19"/>
      <c r="I9" s="19"/>
      <c r="J9" s="19"/>
      <c r="K9" s="19"/>
      <c r="L9" s="19"/>
      <c r="M9" s="19"/>
      <c r="N9" s="19"/>
      <c r="O9" s="19"/>
      <c r="P9" s="19"/>
    </row>
    <row r="10" spans="1:16">
      <c r="A10" s="24" t="s">
        <v>214</v>
      </c>
      <c r="B10" s="25">
        <f ca="1">'EF ele_warmte'!B12</f>
        <v>0.20267604416773419</v>
      </c>
      <c r="C10" s="25">
        <f ca="1">'EF ele_warmte'!B22</f>
        <v>0.23670079635949945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26582.402395187972</v>
      </c>
      <c r="C12" s="23">
        <f ca="1">C10*C8</f>
        <v>0</v>
      </c>
      <c r="D12" s="23">
        <f>D8*D10</f>
        <v>33081.288393648007</v>
      </c>
      <c r="E12" s="23">
        <f>E10*E8</f>
        <v>577.88048850972814</v>
      </c>
      <c r="F12" s="23">
        <f>F10*F8</f>
        <v>45373.430975901225</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3815</v>
      </c>
      <c r="C18" s="168" t="s">
        <v>111</v>
      </c>
      <c r="D18" s="230"/>
      <c r="E18" s="15"/>
    </row>
    <row r="19" spans="1:7">
      <c r="A19" s="173" t="s">
        <v>72</v>
      </c>
      <c r="B19" s="37">
        <f>aantalw2001_ander</f>
        <v>9</v>
      </c>
      <c r="C19" s="168" t="s">
        <v>111</v>
      </c>
      <c r="D19" s="231"/>
      <c r="E19" s="15"/>
    </row>
    <row r="20" spans="1:7">
      <c r="A20" s="173" t="s">
        <v>73</v>
      </c>
      <c r="B20" s="37">
        <f>aantalw2001_propaan</f>
        <v>73</v>
      </c>
      <c r="C20" s="169">
        <f>IF(ISERROR(B20/SUM($B$20,$B$21,$B$22)*100),0,B20/SUM($B$20,$B$21,$B$22)*100)</f>
        <v>1.6251113089937665</v>
      </c>
      <c r="D20" s="231"/>
      <c r="E20" s="15"/>
    </row>
    <row r="21" spans="1:7">
      <c r="A21" s="173" t="s">
        <v>74</v>
      </c>
      <c r="B21" s="37">
        <f>aantalw2001_elektriciteit</f>
        <v>4328</v>
      </c>
      <c r="C21" s="169">
        <f>IF(ISERROR(B21/SUM($B$20,$B$21,$B$22)*100),0,B21/SUM($B$20,$B$21,$B$22)*100)</f>
        <v>96.349065004452356</v>
      </c>
      <c r="D21" s="231"/>
      <c r="E21" s="15"/>
    </row>
    <row r="22" spans="1:7">
      <c r="A22" s="173" t="s">
        <v>75</v>
      </c>
      <c r="B22" s="37">
        <f>aantalw2001_hout</f>
        <v>91</v>
      </c>
      <c r="C22" s="169">
        <f>IF(ISERROR(B22/SUM($B$20,$B$21,$B$22)*100),0,B22/SUM($B$20,$B$21,$B$22)*100)</f>
        <v>2.0258236865538737</v>
      </c>
      <c r="D22" s="231"/>
      <c r="E22" s="15"/>
    </row>
    <row r="23" spans="1:7">
      <c r="A23" s="173" t="s">
        <v>76</v>
      </c>
      <c r="B23" s="37">
        <f>aantalw2001_niet_gespec</f>
        <v>353</v>
      </c>
      <c r="C23" s="168" t="s">
        <v>111</v>
      </c>
      <c r="D23" s="230"/>
      <c r="E23" s="15"/>
    </row>
    <row r="24" spans="1:7">
      <c r="A24" s="173" t="s">
        <v>77</v>
      </c>
      <c r="B24" s="37">
        <f>aantalw2001_steenkool</f>
        <v>446</v>
      </c>
      <c r="C24" s="168" t="s">
        <v>111</v>
      </c>
      <c r="D24" s="231"/>
      <c r="E24" s="15"/>
    </row>
    <row r="25" spans="1:7">
      <c r="A25" s="173" t="s">
        <v>78</v>
      </c>
      <c r="B25" s="37">
        <f>aantalw2001_stookolie</f>
        <v>12961</v>
      </c>
      <c r="C25" s="168" t="s">
        <v>111</v>
      </c>
      <c r="D25" s="230"/>
      <c r="E25" s="52"/>
    </row>
    <row r="26" spans="1:7">
      <c r="A26" s="173" t="s">
        <v>79</v>
      </c>
      <c r="B26" s="37">
        <f>aantalw2001_WP</f>
        <v>14</v>
      </c>
      <c r="C26" s="168" t="s">
        <v>111</v>
      </c>
      <c r="D26" s="230"/>
      <c r="E26" s="15"/>
    </row>
    <row r="27" spans="1:7" s="15" customFormat="1">
      <c r="A27" s="173"/>
      <c r="B27" s="29"/>
      <c r="C27" s="36"/>
      <c r="D27" s="230"/>
    </row>
    <row r="28" spans="1:7" s="15" customFormat="1">
      <c r="A28" s="232" t="s">
        <v>745</v>
      </c>
      <c r="B28" s="37">
        <f>aantalHuishoudens2011</f>
        <v>25059</v>
      </c>
      <c r="C28" s="36"/>
      <c r="D28" s="230"/>
    </row>
    <row r="29" spans="1:7" s="15" customFormat="1">
      <c r="A29" s="232" t="s">
        <v>746</v>
      </c>
      <c r="B29" s="37">
        <f>SUM(HH_hh_gas_aantal,HH_rest_gas_aantal)</f>
        <v>10749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10749</v>
      </c>
      <c r="C32" s="169">
        <f>IF(ISERROR(B32/SUM($B$32,$B$34,$B$35,$B$36,$B$38,$B$39)*100),0,B32/SUM($B$32,$B$34,$B$35,$B$36,$B$38,$B$39)*100)</f>
        <v>43.01836955216713</v>
      </c>
      <c r="D32" s="235"/>
      <c r="G32" s="15"/>
    </row>
    <row r="33" spans="1:7">
      <c r="A33" s="173" t="s">
        <v>72</v>
      </c>
      <c r="B33" s="34" t="s">
        <v>111</v>
      </c>
      <c r="C33" s="169"/>
      <c r="D33" s="235"/>
      <c r="G33" s="15"/>
    </row>
    <row r="34" spans="1:7">
      <c r="A34" s="173" t="s">
        <v>73</v>
      </c>
      <c r="B34" s="33">
        <f>IF((($B$28-$B$32-$B$39-$B$77-$B$38)*C20/100)&lt;0,0,($B$28-$B$32-$B$39-$B$77-$B$38)*C20/100)</f>
        <v>122.16936776491541</v>
      </c>
      <c r="C34" s="169">
        <f>IF(ISERROR(B34/SUM($B$32,$B$34,$B$35,$B$36,$B$38,$B$39)*100),0,B34/SUM($B$32,$B$34,$B$35,$B$36,$B$38,$B$39)*100)</f>
        <v>0.48893171555174852</v>
      </c>
      <c r="D34" s="235"/>
      <c r="G34" s="15"/>
    </row>
    <row r="35" spans="1:7">
      <c r="A35" s="173" t="s">
        <v>74</v>
      </c>
      <c r="B35" s="33">
        <f>IF((($B$28-$B$32-$B$39-$B$77-$B$38)*C21/100)&lt;0,0,($B$28-$B$32-$B$39-$B$77-$B$38)*C21/100)</f>
        <v>7243.1373107747104</v>
      </c>
      <c r="C35" s="169">
        <f>IF(ISERROR(B35/SUM($B$32,$B$34,$B$35,$B$36,$B$38,$B$39)*100),0,B35/SUM($B$32,$B$34,$B$35,$B$36,$B$38,$B$39)*100)</f>
        <v>28.987622806958456</v>
      </c>
      <c r="D35" s="235"/>
      <c r="G35" s="15"/>
    </row>
    <row r="36" spans="1:7">
      <c r="A36" s="173" t="s">
        <v>75</v>
      </c>
      <c r="B36" s="33">
        <f>IF((($B$28-$B$32-$B$39-$B$77-$B$38)*C22/100)&lt;0,0,($B$28-$B$32-$B$39-$B$77-$B$38)*C22/100)</f>
        <v>152.29332146037402</v>
      </c>
      <c r="C36" s="169">
        <f>IF(ISERROR(B36/SUM($B$32,$B$34,$B$35,$B$36,$B$38,$B$39)*100),0,B36/SUM($B$32,$B$34,$B$35,$B$36,$B$38,$B$39)*100)</f>
        <v>0.60949022075628934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6720.4</v>
      </c>
      <c r="C39" s="169">
        <f>IF(ISERROR(B39/SUM($B$32,$B$34,$B$35,$B$36,$B$38,$B$39)*100),0,B39/SUM($B$32,$B$34,$B$35,$B$36,$B$38,$B$39)*100)</f>
        <v>26.895585704566372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10749</v>
      </c>
      <c r="C44" s="34" t="s">
        <v>111</v>
      </c>
      <c r="D44" s="176"/>
    </row>
    <row r="45" spans="1:7">
      <c r="A45" s="173" t="s">
        <v>72</v>
      </c>
      <c r="B45" s="33" t="str">
        <f t="shared" si="0"/>
        <v>-</v>
      </c>
      <c r="C45" s="34" t="s">
        <v>111</v>
      </c>
      <c r="D45" s="176"/>
    </row>
    <row r="46" spans="1:7">
      <c r="A46" s="173" t="s">
        <v>73</v>
      </c>
      <c r="B46" s="33">
        <f t="shared" si="0"/>
        <v>122.16936776491541</v>
      </c>
      <c r="C46" s="34" t="s">
        <v>111</v>
      </c>
      <c r="D46" s="176"/>
    </row>
    <row r="47" spans="1:7">
      <c r="A47" s="173" t="s">
        <v>74</v>
      </c>
      <c r="B47" s="33">
        <f t="shared" si="0"/>
        <v>7243.1373107747104</v>
      </c>
      <c r="C47" s="34" t="s">
        <v>111</v>
      </c>
      <c r="D47" s="176"/>
    </row>
    <row r="48" spans="1:7">
      <c r="A48" s="173" t="s">
        <v>75</v>
      </c>
      <c r="B48" s="33">
        <f t="shared" si="0"/>
        <v>152.29332146037402</v>
      </c>
      <c r="C48" s="33">
        <f>B48*10</f>
        <v>1522.9332146037402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6720.4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575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150184.72600000002</v>
      </c>
      <c r="C5" s="17">
        <f>IF(ISERROR('Eigen informatie GS &amp; warmtenet'!B58),0,'Eigen informatie GS &amp; warmtenet'!B58)</f>
        <v>0</v>
      </c>
      <c r="D5" s="30">
        <f>SUM(D6:D12)</f>
        <v>67203.345835999993</v>
      </c>
      <c r="E5" s="17">
        <f>SUM(E6:E12)</f>
        <v>1652.0995443926802</v>
      </c>
      <c r="F5" s="17">
        <f>SUM(F6:F12)</f>
        <v>29189.248124056936</v>
      </c>
      <c r="G5" s="18"/>
      <c r="H5" s="17"/>
      <c r="I5" s="17"/>
      <c r="J5" s="17">
        <f>SUM(J6:J12)</f>
        <v>0</v>
      </c>
      <c r="K5" s="17"/>
      <c r="L5" s="17"/>
      <c r="M5" s="17"/>
      <c r="N5" s="17">
        <f>SUM(N6:N12)</f>
        <v>13325.590080653848</v>
      </c>
      <c r="O5" s="17">
        <f>B38*B39*B40</f>
        <v>4.6900000000000004</v>
      </c>
      <c r="P5" s="17">
        <f>B46*B47*B48/1000-B46*B47*B48/1000/B49</f>
        <v>76.266666666666666</v>
      </c>
      <c r="R5" s="32"/>
    </row>
    <row r="6" spans="1:18">
      <c r="A6" s="32" t="s">
        <v>54</v>
      </c>
      <c r="B6" s="37">
        <f>B26</f>
        <v>66175.898000000001</v>
      </c>
      <c r="C6" s="33"/>
      <c r="D6" s="37">
        <f>IF(ISERROR(TER_kantoor_gas_kWh/1000),0,TER_kantoor_gas_kWh/1000)*0.902</f>
        <v>16826.785646</v>
      </c>
      <c r="E6" s="33">
        <f>$C$26*'E Balans VL '!I12/100/3.6*1000000</f>
        <v>257.10737398391183</v>
      </c>
      <c r="F6" s="33">
        <f>$C$26*('E Balans VL '!L12+'E Balans VL '!N12)/100/3.6*1000000</f>
        <v>10064.751933135976</v>
      </c>
      <c r="G6" s="34"/>
      <c r="H6" s="33"/>
      <c r="I6" s="33"/>
      <c r="J6" s="33">
        <f>$C$26*('E Balans VL '!D12+'E Balans VL '!E12)/100/3.6*1000000</f>
        <v>0</v>
      </c>
      <c r="K6" s="33"/>
      <c r="L6" s="33"/>
      <c r="M6" s="33"/>
      <c r="N6" s="33">
        <f>$C$26*'E Balans VL '!Y12/100/3.6*1000000</f>
        <v>36.470847475345941</v>
      </c>
      <c r="O6" s="33"/>
      <c r="P6" s="33"/>
      <c r="R6" s="32"/>
    </row>
    <row r="7" spans="1:18">
      <c r="A7" s="32" t="s">
        <v>53</v>
      </c>
      <c r="B7" s="37">
        <f t="shared" ref="B7:B12" si="0">B27</f>
        <v>11755.145</v>
      </c>
      <c r="C7" s="33"/>
      <c r="D7" s="37">
        <f>IF(ISERROR(TER_horeca_gas_kWh/1000),0,TER_horeca_gas_kWh/1000)*0.902</f>
        <v>8140.3858359999995</v>
      </c>
      <c r="E7" s="33">
        <f>$C$27*'E Balans VL '!I9/100/3.6*1000000</f>
        <v>662.1704606550652</v>
      </c>
      <c r="F7" s="33">
        <f>$C$27*('E Balans VL '!L9+'E Balans VL '!N9)/100/3.6*1000000</f>
        <v>3389.48005183553</v>
      </c>
      <c r="G7" s="34"/>
      <c r="H7" s="33"/>
      <c r="I7" s="33"/>
      <c r="J7" s="33">
        <f>$C$27*('E Balans VL '!D9+'E Balans VL '!E9)/100/3.6*1000000</f>
        <v>0</v>
      </c>
      <c r="K7" s="33"/>
      <c r="L7" s="33"/>
      <c r="M7" s="33"/>
      <c r="N7" s="33">
        <f>$C$27*'E Balans VL '!Y9/100/3.6*1000000</f>
        <v>3.2455344490192348</v>
      </c>
      <c r="O7" s="33"/>
      <c r="P7" s="33"/>
      <c r="R7" s="32"/>
    </row>
    <row r="8" spans="1:18">
      <c r="A8" s="6" t="s">
        <v>52</v>
      </c>
      <c r="B8" s="37">
        <f t="shared" si="0"/>
        <v>44197.923999999999</v>
      </c>
      <c r="C8" s="33"/>
      <c r="D8" s="37">
        <f>IF(ISERROR(TER_handel_gas_kWh/1000),0,TER_handel_gas_kWh/1000)*0.902</f>
        <v>22695.030776</v>
      </c>
      <c r="E8" s="33">
        <f>$C$28*'E Balans VL '!I13/100/3.6*1000000</f>
        <v>637.04203347988971</v>
      </c>
      <c r="F8" s="33">
        <f>$C$28*('E Balans VL '!L13+'E Balans VL '!N13)/100/3.6*1000000</f>
        <v>7678.2086989939644</v>
      </c>
      <c r="G8" s="34"/>
      <c r="H8" s="33"/>
      <c r="I8" s="33"/>
      <c r="J8" s="33">
        <f>$C$28*('E Balans VL '!D13+'E Balans VL '!E13)/100/3.6*1000000</f>
        <v>0</v>
      </c>
      <c r="K8" s="33"/>
      <c r="L8" s="33"/>
      <c r="M8" s="33"/>
      <c r="N8" s="33">
        <f>$C$28*'E Balans VL '!Y13/100/3.6*1000000</f>
        <v>132.42190051825685</v>
      </c>
      <c r="O8" s="33"/>
      <c r="P8" s="33"/>
      <c r="R8" s="32"/>
    </row>
    <row r="9" spans="1:18">
      <c r="A9" s="32" t="s">
        <v>51</v>
      </c>
      <c r="B9" s="37">
        <f t="shared" si="0"/>
        <v>4399.99</v>
      </c>
      <c r="C9" s="33"/>
      <c r="D9" s="37">
        <f>IF(ISERROR(TER_gezond_gas_kWh/1000),0,TER_gezond_gas_kWh/1000)*0.902</f>
        <v>6131.1330300000009</v>
      </c>
      <c r="E9" s="33">
        <f>$C$29*'E Balans VL '!I10/100/3.6*1000000</f>
        <v>4.7003297555268331</v>
      </c>
      <c r="F9" s="33">
        <f>$C$29*('E Balans VL '!L10+'E Balans VL '!N10)/100/3.6*1000000</f>
        <v>717.77208971400194</v>
      </c>
      <c r="G9" s="34"/>
      <c r="H9" s="33"/>
      <c r="I9" s="33"/>
      <c r="J9" s="33">
        <f>$C$29*('E Balans VL '!D10+'E Balans VL '!E10)/100/3.6*1000000</f>
        <v>0</v>
      </c>
      <c r="K9" s="33"/>
      <c r="L9" s="33"/>
      <c r="M9" s="33"/>
      <c r="N9" s="33">
        <f>$C$29*'E Balans VL '!Y10/100/3.6*1000000</f>
        <v>45.29538646579293</v>
      </c>
      <c r="O9" s="33"/>
      <c r="P9" s="33"/>
      <c r="R9" s="32"/>
    </row>
    <row r="10" spans="1:18">
      <c r="A10" s="32" t="s">
        <v>50</v>
      </c>
      <c r="B10" s="37">
        <f t="shared" si="0"/>
        <v>18831.772000000001</v>
      </c>
      <c r="C10" s="33"/>
      <c r="D10" s="37">
        <f>IF(ISERROR(TER_ander_gas_kWh/1000),0,TER_ander_gas_kWh/1000)*0.902</f>
        <v>7708.0428040000006</v>
      </c>
      <c r="E10" s="33">
        <f>$C$30*'E Balans VL '!I14/100/3.6*1000000</f>
        <v>86.604454902834689</v>
      </c>
      <c r="F10" s="33">
        <f>$C$30*('E Balans VL '!L14+'E Balans VL '!N14)/100/3.6*1000000</f>
        <v>5644.4760758772609</v>
      </c>
      <c r="G10" s="34"/>
      <c r="H10" s="33"/>
      <c r="I10" s="33"/>
      <c r="J10" s="33">
        <f>$C$30*('E Balans VL '!D14+'E Balans VL '!E14)/100/3.6*1000000</f>
        <v>0</v>
      </c>
      <c r="K10" s="33"/>
      <c r="L10" s="33"/>
      <c r="M10" s="33"/>
      <c r="N10" s="33">
        <f>$C$30*'E Balans VL '!Y14/100/3.6*1000000</f>
        <v>13108.156411745433</v>
      </c>
      <c r="O10" s="33"/>
      <c r="P10" s="33"/>
      <c r="R10" s="32"/>
    </row>
    <row r="11" spans="1:18">
      <c r="A11" s="32" t="s">
        <v>55</v>
      </c>
      <c r="B11" s="37">
        <f t="shared" si="0"/>
        <v>4823.9970000000003</v>
      </c>
      <c r="C11" s="33"/>
      <c r="D11" s="37">
        <f>IF(ISERROR(TER_onderwijs_gas_kWh/1000),0,TER_onderwijs_gas_kWh/1000)*0.902</f>
        <v>5701.9677439999996</v>
      </c>
      <c r="E11" s="33">
        <f>$C$31*'E Balans VL '!I11/100/3.6*1000000</f>
        <v>4.4748916154516243</v>
      </c>
      <c r="F11" s="33">
        <f>$C$31*('E Balans VL '!L11+'E Balans VL '!N11)/100/3.6*1000000</f>
        <v>1694.5592745002032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1021.5</v>
      </c>
      <c r="C13" s="249">
        <f ca="1">'lokale energieproductie'!O91+'lokale energieproductie'!O60</f>
        <v>205.71428571428572</v>
      </c>
      <c r="D13" s="312">
        <f ca="1">('lokale energieproductie'!P60+'lokale energieproductie'!P91)*(-1)</f>
        <v>-411.42857142857144</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-2507.1428571428573</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151206.22600000002</v>
      </c>
      <c r="C16" s="21">
        <f t="shared" ca="1" si="1"/>
        <v>205.71428571428572</v>
      </c>
      <c r="D16" s="21">
        <f t="shared" ca="1" si="1"/>
        <v>66791.917264571428</v>
      </c>
      <c r="E16" s="21">
        <f t="shared" si="1"/>
        <v>1652.0995443926802</v>
      </c>
      <c r="F16" s="21">
        <f t="shared" ca="1" si="1"/>
        <v>29189.248124056936</v>
      </c>
      <c r="G16" s="21">
        <f t="shared" si="1"/>
        <v>0</v>
      </c>
      <c r="H16" s="21">
        <f t="shared" si="1"/>
        <v>0</v>
      </c>
      <c r="I16" s="21">
        <f t="shared" si="1"/>
        <v>0</v>
      </c>
      <c r="J16" s="21">
        <f t="shared" si="1"/>
        <v>0</v>
      </c>
      <c r="K16" s="21">
        <f t="shared" si="1"/>
        <v>0</v>
      </c>
      <c r="L16" s="21">
        <f t="shared" ca="1" si="1"/>
        <v>0</v>
      </c>
      <c r="M16" s="21">
        <f t="shared" si="1"/>
        <v>0</v>
      </c>
      <c r="N16" s="21">
        <f t="shared" ca="1" si="1"/>
        <v>10818.447223510992</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0.20267604416773419</v>
      </c>
      <c r="C18" s="25">
        <f ca="1">'EF ele_warmte'!B22</f>
        <v>0.23670079635949945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30645.879739212403</v>
      </c>
      <c r="C20" s="23">
        <f t="shared" ref="C20:P20" ca="1" si="2">C16*C18</f>
        <v>48.692735251097034</v>
      </c>
      <c r="D20" s="23">
        <f t="shared" ca="1" si="2"/>
        <v>13491.967287443429</v>
      </c>
      <c r="E20" s="23">
        <f t="shared" si="2"/>
        <v>375.02659657713843</v>
      </c>
      <c r="F20" s="23">
        <f t="shared" ca="1" si="2"/>
        <v>7793.5292491232021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66175.898000000001</v>
      </c>
      <c r="C26" s="39">
        <f>IF(ISERROR(B26*3.6/1000000/'E Balans VL '!Z12*100),0,B26*3.6/1000000/'E Balans VL '!Z12*100)</f>
        <v>1.4056088527986212</v>
      </c>
      <c r="D26" s="239" t="s">
        <v>692</v>
      </c>
      <c r="F26" s="6"/>
    </row>
    <row r="27" spans="1:18">
      <c r="A27" s="233" t="s">
        <v>53</v>
      </c>
      <c r="B27" s="33">
        <f>IF(ISERROR(TER_horeca_ele_kWh/1000),0,TER_horeca_ele_kWh/1000)</f>
        <v>11755.145</v>
      </c>
      <c r="C27" s="39">
        <f>IF(ISERROR(B27*3.6/1000000/'E Balans VL '!Z9*100),0,B27*3.6/1000000/'E Balans VL '!Z9*100)</f>
        <v>0.91403411350342834</v>
      </c>
      <c r="D27" s="239" t="s">
        <v>692</v>
      </c>
      <c r="F27" s="6"/>
    </row>
    <row r="28" spans="1:18">
      <c r="A28" s="173" t="s">
        <v>52</v>
      </c>
      <c r="B28" s="33">
        <f>IF(ISERROR(TER_handel_ele_kWh/1000),0,TER_handel_ele_kWh/1000)</f>
        <v>44197.923999999999</v>
      </c>
      <c r="C28" s="39">
        <f>IF(ISERROR(B28*3.6/1000000/'E Balans VL '!Z13*100),0,B28*3.6/1000000/'E Balans VL '!Z13*100)</f>
        <v>1.264554621393148</v>
      </c>
      <c r="D28" s="239" t="s">
        <v>692</v>
      </c>
      <c r="F28" s="6"/>
    </row>
    <row r="29" spans="1:18">
      <c r="A29" s="233" t="s">
        <v>51</v>
      </c>
      <c r="B29" s="33">
        <f>IF(ISERROR(TER_gezond_ele_kWh/1000),0,TER_gezond_ele_kWh/1000)</f>
        <v>4399.99</v>
      </c>
      <c r="C29" s="39">
        <f>IF(ISERROR(B29*3.6/1000000/'E Balans VL '!Z10*100),0,B29*3.6/1000000/'E Balans VL '!Z10*100)</f>
        <v>0.47970115350534975</v>
      </c>
      <c r="D29" s="239" t="s">
        <v>692</v>
      </c>
      <c r="F29" s="6"/>
    </row>
    <row r="30" spans="1:18">
      <c r="A30" s="233" t="s">
        <v>50</v>
      </c>
      <c r="B30" s="33">
        <f>IF(ISERROR(TER_ander_ele_kWh/1000),0,TER_ander_ele_kWh/1000)</f>
        <v>18831.772000000001</v>
      </c>
      <c r="C30" s="39">
        <f>IF(ISERROR(B30*3.6/1000000/'E Balans VL '!Z14*100),0,B30*3.6/1000000/'E Balans VL '!Z14*100)</f>
        <v>1.3780663560978879</v>
      </c>
      <c r="D30" s="239" t="s">
        <v>692</v>
      </c>
      <c r="F30" s="6"/>
    </row>
    <row r="31" spans="1:18">
      <c r="A31" s="233" t="s">
        <v>55</v>
      </c>
      <c r="B31" s="33">
        <f>IF(ISERROR(TER_onderwijs_ele_kWh/1000),0,TER_onderwijs_ele_kWh/1000)</f>
        <v>4823.9970000000003</v>
      </c>
      <c r="C31" s="39">
        <f>IF(ISERROR(B31*3.6/1000000/'E Balans VL '!Z11*100),0,B31*3.6/1000000/'E Balans VL '!Z11*100)</f>
        <v>0.96890337965139339</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4</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245221.47600000002</v>
      </c>
      <c r="C5" s="17">
        <f>IF(ISERROR('Eigen informatie GS &amp; warmtenet'!B59),0,'Eigen informatie GS &amp; warmtenet'!B59)</f>
        <v>0</v>
      </c>
      <c r="D5" s="30">
        <f>SUM(D6:D15)</f>
        <v>97472.212639999983</v>
      </c>
      <c r="E5" s="17">
        <f>SUM(E6:E15)</f>
        <v>31395.491376258888</v>
      </c>
      <c r="F5" s="17">
        <f>SUM(F6:F15)</f>
        <v>98898.578680292296</v>
      </c>
      <c r="G5" s="18"/>
      <c r="H5" s="17"/>
      <c r="I5" s="17"/>
      <c r="J5" s="17">
        <f>SUM(J6:J15)</f>
        <v>7.2733210317867876</v>
      </c>
      <c r="K5" s="17"/>
      <c r="L5" s="17"/>
      <c r="M5" s="17"/>
      <c r="N5" s="17">
        <f>SUM(N6:N15)</f>
        <v>72448.983462174569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52757.258999999998</v>
      </c>
      <c r="C8" s="33"/>
      <c r="D8" s="37">
        <f>IF( ISERROR(IND_metaal_Gas_kWH/1000),0,IND_metaal_Gas_kWH/1000)*0.902</f>
        <v>57706.122891999999</v>
      </c>
      <c r="E8" s="33">
        <f>C30*'E Balans VL '!I18/100/3.6*1000000</f>
        <v>1515.3865049366862</v>
      </c>
      <c r="F8" s="33">
        <f>C30*'E Balans VL '!L18/100/3.6*1000000+C30*'E Balans VL '!N18/100/3.6*1000000</f>
        <v>13531.222265590204</v>
      </c>
      <c r="G8" s="34"/>
      <c r="H8" s="33"/>
      <c r="I8" s="33"/>
      <c r="J8" s="40">
        <f>C30*'E Balans VL '!D18/100/3.6*1000000+C30*'E Balans VL '!E18/100/3.6*1000000</f>
        <v>0</v>
      </c>
      <c r="K8" s="33"/>
      <c r="L8" s="33"/>
      <c r="M8" s="33"/>
      <c r="N8" s="33">
        <f>C30*'E Balans VL '!Y18/100/3.6*1000000</f>
        <v>1432.4672746732931</v>
      </c>
      <c r="O8" s="33"/>
      <c r="P8" s="33"/>
      <c r="R8" s="32"/>
    </row>
    <row r="9" spans="1:18">
      <c r="A9" s="6" t="s">
        <v>33</v>
      </c>
      <c r="B9" s="37">
        <f t="shared" si="0"/>
        <v>106270.417</v>
      </c>
      <c r="C9" s="33"/>
      <c r="D9" s="37">
        <f>IF( ISERROR(IND_andere_gas_kWh/1000),0,IND_andere_gas_kWh/1000)*0.902</f>
        <v>13510.063995999999</v>
      </c>
      <c r="E9" s="33">
        <f>C31*'E Balans VL '!I19/100/3.6*1000000</f>
        <v>28764.789006859031</v>
      </c>
      <c r="F9" s="33">
        <f>C31*'E Balans VL '!L19/100/3.6*1000000+C31*'E Balans VL '!N19/100/3.6*1000000</f>
        <v>70787.343481248055</v>
      </c>
      <c r="G9" s="34"/>
      <c r="H9" s="33"/>
      <c r="I9" s="33"/>
      <c r="J9" s="40">
        <f>C31*'E Balans VL '!D19/100/3.6*1000000+C31*'E Balans VL '!E19/100/3.6*1000000</f>
        <v>0</v>
      </c>
      <c r="K9" s="33"/>
      <c r="L9" s="33"/>
      <c r="M9" s="33"/>
      <c r="N9" s="33">
        <f>C31*'E Balans VL '!Y19/100/3.6*1000000</f>
        <v>34695.525847744291</v>
      </c>
      <c r="O9" s="33"/>
      <c r="P9" s="33"/>
      <c r="R9" s="32"/>
    </row>
    <row r="10" spans="1:18">
      <c r="A10" s="6" t="s">
        <v>41</v>
      </c>
      <c r="B10" s="37">
        <f t="shared" si="0"/>
        <v>7779.6989999999996</v>
      </c>
      <c r="C10" s="33"/>
      <c r="D10" s="37">
        <f>IF( ISERROR(IND_voed_gas_kWh/1000),0,IND_voed_gas_kWh/1000)*0.902</f>
        <v>5080.0270179999998</v>
      </c>
      <c r="E10" s="33">
        <f>C32*'E Balans VL '!I20/100/3.6*1000000</f>
        <v>634.53012383336261</v>
      </c>
      <c r="F10" s="33">
        <f>C32*'E Balans VL '!L20/100/3.6*1000000+C32*'E Balans VL '!N20/100/3.6*1000000</f>
        <v>11600.237045139555</v>
      </c>
      <c r="G10" s="34"/>
      <c r="H10" s="33"/>
      <c r="I10" s="33"/>
      <c r="J10" s="40">
        <f>C32*'E Balans VL '!D20/100/3.6*1000000+C32*'E Balans VL '!E20/100/3.6*1000000</f>
        <v>0.10291597448223683</v>
      </c>
      <c r="K10" s="33"/>
      <c r="L10" s="33"/>
      <c r="M10" s="33"/>
      <c r="N10" s="33">
        <f>C32*'E Balans VL '!Y20/100/3.6*1000000</f>
        <v>2285.4010502227607</v>
      </c>
      <c r="O10" s="33"/>
      <c r="P10" s="33"/>
      <c r="R10" s="32"/>
    </row>
    <row r="11" spans="1:18">
      <c r="A11" s="6" t="s">
        <v>40</v>
      </c>
      <c r="B11" s="37">
        <f t="shared" si="0"/>
        <v>7371.7839999999997</v>
      </c>
      <c r="C11" s="33"/>
      <c r="D11" s="37">
        <f>IF( ISERROR(IND_textiel_gas_kWh/1000),0,IND_textiel_gas_kWh/1000)*0.902</f>
        <v>8217.5185620000011</v>
      </c>
      <c r="E11" s="33">
        <f>C33*'E Balans VL '!I21/100/3.6*1000000</f>
        <v>1.4612384133609564</v>
      </c>
      <c r="F11" s="33">
        <f>C33*'E Balans VL '!L21/100/3.6*1000000+C33*'E Balans VL '!N21/100/3.6*1000000</f>
        <v>271.51169880578874</v>
      </c>
      <c r="G11" s="34"/>
      <c r="H11" s="33"/>
      <c r="I11" s="33"/>
      <c r="J11" s="40">
        <f>C33*'E Balans VL '!D21/100/3.6*1000000+C33*'E Balans VL '!E21/100/3.6*1000000</f>
        <v>0</v>
      </c>
      <c r="K11" s="33"/>
      <c r="L11" s="33"/>
      <c r="M11" s="33"/>
      <c r="N11" s="33">
        <f>C33*'E Balans VL '!Y21/100/3.6*1000000</f>
        <v>34.276934653233845</v>
      </c>
      <c r="O11" s="33"/>
      <c r="P11" s="33"/>
      <c r="R11" s="32"/>
    </row>
    <row r="12" spans="1:18">
      <c r="A12" s="6" t="s">
        <v>37</v>
      </c>
      <c r="B12" s="37">
        <f t="shared" si="0"/>
        <v>814.42399999999998</v>
      </c>
      <c r="C12" s="33"/>
      <c r="D12" s="37">
        <f>IF( ISERROR(IND_min_gas_kWh/1000),0,IND_min_gas_kWh/1000)*0.902</f>
        <v>588.49276200000008</v>
      </c>
      <c r="E12" s="33">
        <f>C34*'E Balans VL '!I22/100/3.6*1000000</f>
        <v>6.3441855045638862</v>
      </c>
      <c r="F12" s="33">
        <f>C34*'E Balans VL '!L22/100/3.6*1000000+C34*'E Balans VL '!N22/100/3.6*1000000</f>
        <v>307.15068491662532</v>
      </c>
      <c r="G12" s="34"/>
      <c r="H12" s="33"/>
      <c r="I12" s="33"/>
      <c r="J12" s="40">
        <f>C34*'E Balans VL '!D22/100/3.6*1000000+C34*'E Balans VL '!E22/100/3.6*1000000</f>
        <v>4.4792607925255066</v>
      </c>
      <c r="K12" s="33"/>
      <c r="L12" s="33"/>
      <c r="M12" s="33"/>
      <c r="N12" s="33">
        <f>C34*'E Balans VL '!Y22/100/3.6*1000000</f>
        <v>0</v>
      </c>
      <c r="O12" s="33"/>
      <c r="P12" s="33"/>
      <c r="R12" s="32"/>
    </row>
    <row r="13" spans="1:18">
      <c r="A13" s="6" t="s">
        <v>39</v>
      </c>
      <c r="B13" s="37">
        <f t="shared" si="0"/>
        <v>15198.314</v>
      </c>
      <c r="C13" s="33"/>
      <c r="D13" s="37">
        <f>IF( ISERROR(IND_papier_gas_kWh/1000),0,IND_papier_gas_kWh/1000)*0.902</f>
        <v>6347.7411140000004</v>
      </c>
      <c r="E13" s="33">
        <f>C35*'E Balans VL '!I23/100/3.6*1000000</f>
        <v>159.2300270990637</v>
      </c>
      <c r="F13" s="33">
        <f>C35*'E Balans VL '!L23/100/3.6*1000000+C35*'E Balans VL '!N23/100/3.6*1000000</f>
        <v>1134.1008845208651</v>
      </c>
      <c r="G13" s="34"/>
      <c r="H13" s="33"/>
      <c r="I13" s="33"/>
      <c r="J13" s="40">
        <f>C35*'E Balans VL '!D23/100/3.6*1000000+C35*'E Balans VL '!E23/100/3.6*1000000</f>
        <v>0</v>
      </c>
      <c r="K13" s="33"/>
      <c r="L13" s="33"/>
      <c r="M13" s="33"/>
      <c r="N13" s="33">
        <f>C35*'E Balans VL '!Y23/100/3.6*1000000</f>
        <v>32484.809823184321</v>
      </c>
      <c r="O13" s="33"/>
      <c r="P13" s="33"/>
      <c r="R13" s="32"/>
    </row>
    <row r="14" spans="1:18">
      <c r="A14" s="6" t="s">
        <v>34</v>
      </c>
      <c r="B14" s="37">
        <f t="shared" si="0"/>
        <v>53979.607000000004</v>
      </c>
      <c r="C14" s="33"/>
      <c r="D14" s="37">
        <f>IF( ISERROR(IND_chemie_gas_kWh/1000),0,IND_chemie_gas_kWh/1000)*0.902</f>
        <v>0</v>
      </c>
      <c r="E14" s="33">
        <f>C36*'E Balans VL '!I24/100/3.6*1000000</f>
        <v>255.17427833244378</v>
      </c>
      <c r="F14" s="33">
        <f>C36*'E Balans VL '!L24/100/3.6*1000000+C36*'E Balans VL '!N24/100/3.6*1000000</f>
        <v>1020.185598149234</v>
      </c>
      <c r="G14" s="34"/>
      <c r="H14" s="33"/>
      <c r="I14" s="33"/>
      <c r="J14" s="40">
        <f>C36*'E Balans VL '!D24/100/3.6*1000000+C36*'E Balans VL '!E24/100/3.6*1000000</f>
        <v>0</v>
      </c>
      <c r="K14" s="33"/>
      <c r="L14" s="33"/>
      <c r="M14" s="33"/>
      <c r="N14" s="33">
        <f>C36*'E Balans VL '!Y24/100/3.6*1000000</f>
        <v>1310.4422432677368</v>
      </c>
      <c r="O14" s="33"/>
      <c r="P14" s="33"/>
      <c r="R14" s="32"/>
    </row>
    <row r="15" spans="1:18">
      <c r="A15" s="6" t="s">
        <v>270</v>
      </c>
      <c r="B15" s="37">
        <f t="shared" si="0"/>
        <v>1049.972</v>
      </c>
      <c r="C15" s="33"/>
      <c r="D15" s="37">
        <f>IF( ISERROR(IND_rest_gas_kWh/1000),0,IND_rest_gas_kWh/1000)*0.902</f>
        <v>6022.2462960000003</v>
      </c>
      <c r="E15" s="33">
        <f>C37*'E Balans VL '!I15/100/3.6*1000000</f>
        <v>58.576011280373649</v>
      </c>
      <c r="F15" s="33">
        <f>C37*'E Balans VL '!L15/100/3.6*1000000+C37*'E Balans VL '!N15/100/3.6*1000000</f>
        <v>246.82702192195597</v>
      </c>
      <c r="G15" s="34"/>
      <c r="H15" s="33"/>
      <c r="I15" s="33"/>
      <c r="J15" s="40">
        <f>C37*'E Balans VL '!D15/100/3.6*1000000+C37*'E Balans VL '!E15/100/3.6*1000000</f>
        <v>2.6911442647790449</v>
      </c>
      <c r="K15" s="33"/>
      <c r="L15" s="33"/>
      <c r="M15" s="33"/>
      <c r="N15" s="33">
        <f>C37*'E Balans VL '!Y15/100/3.6*1000000</f>
        <v>206.06028842892999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245221.47600000002</v>
      </c>
      <c r="C18" s="21">
        <f>C5+C16</f>
        <v>0</v>
      </c>
      <c r="D18" s="21">
        <f>MAX((D5+D16),0)</f>
        <v>97472.212639999983</v>
      </c>
      <c r="E18" s="21">
        <f>MAX((E5+E16),0)</f>
        <v>31395.491376258888</v>
      </c>
      <c r="F18" s="21">
        <f>MAX((F5+F16),0)</f>
        <v>98898.578680292296</v>
      </c>
      <c r="G18" s="21"/>
      <c r="H18" s="21"/>
      <c r="I18" s="21"/>
      <c r="J18" s="21">
        <f>MAX((J5+J16),0)</f>
        <v>7.2733210317867876</v>
      </c>
      <c r="K18" s="21"/>
      <c r="L18" s="21">
        <f>MAX((L5+L16),0)</f>
        <v>0</v>
      </c>
      <c r="M18" s="21"/>
      <c r="N18" s="21">
        <f>MAX((N5+N16),0)</f>
        <v>72448.983462174569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0.20267604416773419</v>
      </c>
      <c r="C20" s="25">
        <f ca="1">'EF ele_warmte'!B22</f>
        <v>0.23670079635949945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49700.518700652974</v>
      </c>
      <c r="C22" s="23">
        <f ca="1">C18*C20</f>
        <v>0</v>
      </c>
      <c r="D22" s="23">
        <f>D18*D20</f>
        <v>19689.386953279998</v>
      </c>
      <c r="E22" s="23">
        <f>E18*E20</f>
        <v>7126.7765424107674</v>
      </c>
      <c r="F22" s="23">
        <f>F18*F20</f>
        <v>26405.920507638046</v>
      </c>
      <c r="G22" s="23"/>
      <c r="H22" s="23"/>
      <c r="I22" s="23"/>
      <c r="J22" s="23">
        <f>J18*J20</f>
        <v>2.5747556452525227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52757.258999999998</v>
      </c>
      <c r="C30" s="39">
        <f>IF(ISERROR(B30*3.6/1000000/'E Balans VL '!Z18*100),0,B30*3.6/1000000/'E Balans VL '!Z18*100)</f>
        <v>5.1911796106640287</v>
      </c>
      <c r="D30" s="239" t="s">
        <v>692</v>
      </c>
    </row>
    <row r="31" spans="1:18">
      <c r="A31" s="6" t="s">
        <v>33</v>
      </c>
      <c r="B31" s="37">
        <f>IF( ISERROR(IND_ander_ele_kWh/1000),0,IND_ander_ele_kWh/1000)</f>
        <v>106270.417</v>
      </c>
      <c r="C31" s="39">
        <f>IF(ISERROR(B31*3.6/1000000/'E Balans VL '!Z19*100),0,B31*3.6/1000000/'E Balans VL '!Z19*100)</f>
        <v>4.6279918892734093</v>
      </c>
      <c r="D31" s="239" t="s">
        <v>692</v>
      </c>
    </row>
    <row r="32" spans="1:18">
      <c r="A32" s="173" t="s">
        <v>41</v>
      </c>
      <c r="B32" s="37">
        <f>IF( ISERROR(IND_voed_ele_kWh/1000),0,IND_voed_ele_kWh/1000)</f>
        <v>7779.6989999999996</v>
      </c>
      <c r="C32" s="39">
        <f>IF(ISERROR(B32*3.6/1000000/'E Balans VL '!Z20*100),0,B32*3.6/1000000/'E Balans VL '!Z20*100)</f>
        <v>1.4760856897850119</v>
      </c>
      <c r="D32" s="239" t="s">
        <v>692</v>
      </c>
    </row>
    <row r="33" spans="1:5">
      <c r="A33" s="173" t="s">
        <v>40</v>
      </c>
      <c r="B33" s="37">
        <f>IF( ISERROR(IND_textiel_ele_kWh/1000),0,IND_textiel_ele_kWh/1000)</f>
        <v>7371.7839999999997</v>
      </c>
      <c r="C33" s="39">
        <f>IF(ISERROR(B33*3.6/1000000/'E Balans VL '!Z21*100),0,B33*3.6/1000000/'E Balans VL '!Z21*100)</f>
        <v>0.4208914822008385</v>
      </c>
      <c r="D33" s="239" t="s">
        <v>692</v>
      </c>
    </row>
    <row r="34" spans="1:5">
      <c r="A34" s="173" t="s">
        <v>37</v>
      </c>
      <c r="B34" s="37">
        <f>IF( ISERROR(IND_min_ele_kWh/1000),0,IND_min_ele_kWh/1000)</f>
        <v>814.42399999999998</v>
      </c>
      <c r="C34" s="39">
        <f>IF(ISERROR(B34*3.6/1000000/'E Balans VL '!Z22*100),0,B34*3.6/1000000/'E Balans VL '!Z22*100)</f>
        <v>0.11451619259089679</v>
      </c>
      <c r="D34" s="239" t="s">
        <v>692</v>
      </c>
    </row>
    <row r="35" spans="1:5">
      <c r="A35" s="173" t="s">
        <v>39</v>
      </c>
      <c r="B35" s="37">
        <f>IF( ISERROR(IND_papier_ele_kWh/1000),0,IND_papier_ele_kWh/1000)</f>
        <v>15198.314</v>
      </c>
      <c r="C35" s="39">
        <f>IF(ISERROR(B35*3.6/1000000/'E Balans VL '!Z22*100),0,B35*3.6/1000000/'E Balans VL '!Z22*100)</f>
        <v>2.1370355651121815</v>
      </c>
      <c r="D35" s="239" t="s">
        <v>692</v>
      </c>
    </row>
    <row r="36" spans="1:5">
      <c r="A36" s="173" t="s">
        <v>34</v>
      </c>
      <c r="B36" s="37">
        <f>IF( ISERROR(IND_chemie_ele_kWh/1000),0,IND_chemie_ele_kWh/1000)</f>
        <v>53979.607000000004</v>
      </c>
      <c r="C36" s="39">
        <f>IF(ISERROR(B36*3.6/1000000/'E Balans VL '!Z24*100),0,B36*3.6/1000000/'E Balans VL '!Z24*100)</f>
        <v>1.5731252546112648</v>
      </c>
      <c r="D36" s="239" t="s">
        <v>692</v>
      </c>
    </row>
    <row r="37" spans="1:5">
      <c r="A37" s="173" t="s">
        <v>270</v>
      </c>
      <c r="B37" s="37">
        <f>IF( ISERROR(IND_rest_ele_kWh/1000),0,IND_rest_ele_kWh/1000)</f>
        <v>1049.972</v>
      </c>
      <c r="C37" s="39">
        <f>IF(ISERROR(B37*3.6/1000000/'E Balans VL '!Z15*100),0,B37*3.6/1000000/'E Balans VL '!Z15*100)</f>
        <v>8.0913238914458539E-3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540.72799999999995</v>
      </c>
      <c r="C5" s="17">
        <f>'Eigen informatie GS &amp; warmtenet'!B60</f>
        <v>0</v>
      </c>
      <c r="D5" s="30">
        <f>IF(ISERROR(SUM(LB_lb_gas_kWh,LB_rest_gas_kWh)/1000),0,SUM(LB_lb_gas_kWh,LB_rest_gas_kWh)/1000)*0.902</f>
        <v>906.38191599999993</v>
      </c>
      <c r="E5" s="17">
        <f>B17*'E Balans VL '!I25/3.6*1000000/100</f>
        <v>6.813869399296971</v>
      </c>
      <c r="F5" s="17">
        <f>B17*('E Balans VL '!L25/3.6*1000000+'E Balans VL '!N25/3.6*1000000)/100</f>
        <v>1865.6470604580943</v>
      </c>
      <c r="G5" s="18"/>
      <c r="H5" s="17"/>
      <c r="I5" s="17"/>
      <c r="J5" s="17">
        <f>('E Balans VL '!D25+'E Balans VL '!E25)/3.6*1000000*landbouw!B17/100</f>
        <v>81.319344421036021</v>
      </c>
      <c r="K5" s="17"/>
      <c r="L5" s="17">
        <f>L6*(-1)</f>
        <v>0</v>
      </c>
      <c r="M5" s="17"/>
      <c r="N5" s="17">
        <f>N6*(-1)</f>
        <v>0</v>
      </c>
      <c r="O5" s="17"/>
      <c r="P5" s="17"/>
      <c r="R5" s="32"/>
    </row>
    <row r="6" spans="1:18">
      <c r="A6" s="16" t="s">
        <v>497</v>
      </c>
      <c r="B6" s="17" t="s">
        <v>211</v>
      </c>
      <c r="C6" s="17">
        <f>'lokale energieproductie'!O92+'lokale energieproductie'!O61</f>
        <v>22.5</v>
      </c>
      <c r="D6" s="312">
        <f>('lokale energieproductie'!P61+'lokale energieproductie'!P92)*(-1)</f>
        <v>-30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540.72799999999995</v>
      </c>
      <c r="C8" s="21">
        <f>C5+C6</f>
        <v>22.5</v>
      </c>
      <c r="D8" s="21">
        <f>MAX((D5+D6),0)</f>
        <v>876.38191599999993</v>
      </c>
      <c r="E8" s="21">
        <f>MAX((E5+E6),0)</f>
        <v>6.813869399296971</v>
      </c>
      <c r="F8" s="21">
        <f>MAX((F5+F6),0)</f>
        <v>1865.6470604580943</v>
      </c>
      <c r="G8" s="21"/>
      <c r="H8" s="21"/>
      <c r="I8" s="21"/>
      <c r="J8" s="21">
        <f>MAX((J5+J6),0)</f>
        <v>81.319344421036021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0.20267604416773419</v>
      </c>
      <c r="C10" s="31">
        <f ca="1">'EF ele_warmte'!B22</f>
        <v>0.23670079635949945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109.59261201073056</v>
      </c>
      <c r="C12" s="23">
        <f ca="1">C8*C10</f>
        <v>5.3257679180887374</v>
      </c>
      <c r="D12" s="23">
        <f>D8*D10</f>
        <v>177.029147032</v>
      </c>
      <c r="E12" s="23">
        <f>E8*E10</f>
        <v>1.5467483536404125</v>
      </c>
      <c r="F12" s="23">
        <f>F8*F10</f>
        <v>498.1277651423112</v>
      </c>
      <c r="G12" s="23"/>
      <c r="H12" s="23"/>
      <c r="I12" s="23"/>
      <c r="J12" s="23">
        <f>J8*J10</f>
        <v>28.78704792504675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7.5414513242709008E-2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3.7977970084992867</v>
      </c>
      <c r="C26" s="249">
        <f>B26*'GWP N2O_CH4'!B5</f>
        <v>79.753737178485025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0.29973221201635486</v>
      </c>
      <c r="C27" s="249">
        <f>B27*'GWP N2O_CH4'!B5</f>
        <v>6.2943764523434522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3.6624686672644104E-2</v>
      </c>
      <c r="C28" s="249">
        <f>B28*'GWP N2O_CH4'!B4</f>
        <v>11.353652868519672</v>
      </c>
      <c r="D28" s="50"/>
    </row>
    <row r="29" spans="1:4">
      <c r="A29" s="41" t="s">
        <v>277</v>
      </c>
      <c r="B29" s="249">
        <f>B34*'ha_N2O bodem landbouw'!B4</f>
        <v>1.8644233607273668</v>
      </c>
      <c r="C29" s="249">
        <f>B29*'GWP N2O_CH4'!B4</f>
        <v>577.97124182548373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4.6552788333544036E-4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9.5880102750430164E-5</v>
      </c>
      <c r="C5" s="448" t="s">
        <v>211</v>
      </c>
      <c r="D5" s="433">
        <f>SUM(D6:D11)</f>
        <v>1.525052387115439E-4</v>
      </c>
      <c r="E5" s="433">
        <f>SUM(E6:E11)</f>
        <v>5.0438417377348301E-3</v>
      </c>
      <c r="F5" s="446" t="s">
        <v>211</v>
      </c>
      <c r="G5" s="433">
        <f>SUM(G6:G11)</f>
        <v>1.3283091664438214</v>
      </c>
      <c r="H5" s="433">
        <f>SUM(H6:H11)</f>
        <v>0.23180752821022874</v>
      </c>
      <c r="I5" s="448" t="s">
        <v>211</v>
      </c>
      <c r="J5" s="448" t="s">
        <v>211</v>
      </c>
      <c r="K5" s="448" t="s">
        <v>211</v>
      </c>
      <c r="L5" s="448" t="s">
        <v>211</v>
      </c>
      <c r="M5" s="433">
        <f>SUM(M6:M11)</f>
        <v>7.0523236475782722E-2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5.3165617489402062E-5</v>
      </c>
      <c r="C6" s="887"/>
      <c r="D6" s="887">
        <f>vkm_2011_GW_PW*SUMIFS(TableVerdeelsleutelVkm[CNG],TableVerdeelsleutelVkm[Voertuigtype],"Lichte voertuigen")*SUMIFS(TableECFTransport[EnergieConsumptieFactor (PJ per km)],TableECFTransport[Index],CONCATENATE($A6,"_CNG_CNG"))</f>
        <v>7.5292912529129297E-5</v>
      </c>
      <c r="E6" s="887">
        <f>vkm_2011_GW_PW*SUMIFS(TableVerdeelsleutelVkm[LPG],TableVerdeelsleutelVkm[Voertuigtype],"Lichte voertuigen")*SUMIFS(TableECFTransport[EnergieConsumptieFactor (PJ per km)],TableECFTransport[Index],CONCATENATE($A6,"_LPG_LPG"))</f>
        <v>2.3647025117280646E-3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0.42500179173449143</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0.11388264991574373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2.4380854024050203E-2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0.20056283626297916</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7.1257896536947829E-5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9.0507660629519805E-3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1.3454499877544917E-5</v>
      </c>
      <c r="C8" s="887"/>
      <c r="D8" s="436">
        <f>vkm_2011_NGW_PW*SUMIFS(TableVerdeelsleutelVkm[CNG],TableVerdeelsleutelVkm[Voertuigtype],"Lichte voertuigen")*SUMIFS(TableECFTransport[EnergieConsumptieFactor (PJ per km)],TableECFTransport[Index],CONCATENATE($A8,"_CNG_CNG"))</f>
        <v>3.3945388013785931E-5</v>
      </c>
      <c r="E8" s="436">
        <f>vkm_2011_NGW_PW*SUMIFS(TableVerdeelsleutelVkm[LPG],TableVerdeelsleutelVkm[Voertuigtype],"Lichte voertuigen")*SUMIFS(TableECFTransport[EnergieConsumptieFactor (PJ per km)],TableECFTransport[Index],CONCATENATE($A8,"_LPG_LPG"))</f>
        <v>9.8196374939113072E-4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0.16645237762093276</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4.9541287166080986E-2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9.774687842639268E-3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8.2535237430114445E-3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2.7748955621248807E-6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3.7244820236163228E-4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2.9259985383483179E-5</v>
      </c>
      <c r="C10" s="887"/>
      <c r="D10" s="436">
        <f>vkm_2011_SW_PW*SUMIFS(TableVerdeelsleutelVkm[CNG],TableVerdeelsleutelVkm[Voertuigtype],"Lichte voertuigen")*SUMIFS(TableECFTransport[EnergieConsumptieFactor (PJ per km)],TableECFTransport[Index],CONCATENATE($A10,"_CNG_CNG"))</f>
        <v>4.3266938168628683E-5</v>
      </c>
      <c r="E10" s="436">
        <f>vkm_2011_SW_PW*SUMIFS(TableVerdeelsleutelVkm[LPG],TableVerdeelsleutelVkm[Voertuigtype],"Lichte voertuigen")*SUMIFS(TableECFTransport[EnergieConsumptieFactor (PJ per km)],TableECFTransport[Index],CONCATENATE($A10,"_LPG_LPG"))</f>
        <v>1.6971754766156345E-3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0.2762502736918318</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6.8213087150470753E-2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1.5581747580100754E-2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0.25178836339057453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9.6471185834166623E-5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1.1362732763678883E-2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26.63336187511949</v>
      </c>
      <c r="C14" s="21"/>
      <c r="D14" s="21">
        <f t="shared" ref="D14:M14" si="0">((D5)*10^9/3600)+D12</f>
        <v>42.362566308762197</v>
      </c>
      <c r="E14" s="21">
        <f t="shared" si="0"/>
        <v>1401.0671493707862</v>
      </c>
      <c r="F14" s="21"/>
      <c r="G14" s="21">
        <f t="shared" si="0"/>
        <v>368974.76845661708</v>
      </c>
      <c r="H14" s="21">
        <f t="shared" si="0"/>
        <v>64390.980058396875</v>
      </c>
      <c r="I14" s="21"/>
      <c r="J14" s="21"/>
      <c r="K14" s="21"/>
      <c r="L14" s="21"/>
      <c r="M14" s="21">
        <f t="shared" si="0"/>
        <v>19589.787909939645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0.20267604416773419</v>
      </c>
      <c r="C16" s="56">
        <f ca="1">'EF ele_warmte'!B22</f>
        <v>0.23670079635949945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5.3979444277369657</v>
      </c>
      <c r="C18" s="23"/>
      <c r="D18" s="23">
        <f t="shared" ref="D18:M18" si="1">D14*D16</f>
        <v>8.5572383943699641</v>
      </c>
      <c r="E18" s="23">
        <f t="shared" si="1"/>
        <v>318.04224290716849</v>
      </c>
      <c r="F18" s="23"/>
      <c r="G18" s="23">
        <f t="shared" si="1"/>
        <v>98516.263177916771</v>
      </c>
      <c r="H18" s="23">
        <f t="shared" si="1"/>
        <v>16033.354034540822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5.6827628454988018E-2</v>
      </c>
      <c r="H50" s="323">
        <f t="shared" si="2"/>
        <v>0</v>
      </c>
      <c r="I50" s="323">
        <f t="shared" si="2"/>
        <v>0</v>
      </c>
      <c r="J50" s="323">
        <f t="shared" si="2"/>
        <v>0</v>
      </c>
      <c r="K50" s="323">
        <f t="shared" si="2"/>
        <v>0</v>
      </c>
      <c r="L50" s="323">
        <f t="shared" si="2"/>
        <v>0</v>
      </c>
      <c r="M50" s="323">
        <f t="shared" si="2"/>
        <v>2.5272636330204998E-3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5.6827628454988018E-2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2.5272636330204998E-3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15785.452348607783</v>
      </c>
      <c r="H54" s="21">
        <f t="shared" si="3"/>
        <v>0</v>
      </c>
      <c r="I54" s="21">
        <f t="shared" si="3"/>
        <v>0</v>
      </c>
      <c r="J54" s="21">
        <f t="shared" si="3"/>
        <v>0</v>
      </c>
      <c r="K54" s="21">
        <f t="shared" si="3"/>
        <v>0</v>
      </c>
      <c r="L54" s="21">
        <f t="shared" si="3"/>
        <v>0</v>
      </c>
      <c r="M54" s="21">
        <f t="shared" si="3"/>
        <v>702.01767583902767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0.20267604416773419</v>
      </c>
      <c r="C56" s="56">
        <f ca="1">'EF ele_warmte'!B22</f>
        <v>0.23670079635949945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4214.7157770782787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155052.57500000001</v>
      </c>
      <c r="D10" s="690">
        <f ca="1">tertiair!C16</f>
        <v>205.71428571428572</v>
      </c>
      <c r="E10" s="690">
        <f ca="1">tertiair!D16</f>
        <v>66791.917264571428</v>
      </c>
      <c r="F10" s="690">
        <f>tertiair!E16</f>
        <v>1652.0995443926802</v>
      </c>
      <c r="G10" s="690">
        <f ca="1">tertiair!F16</f>
        <v>29189.248124056936</v>
      </c>
      <c r="H10" s="690">
        <f>tertiair!G16</f>
        <v>0</v>
      </c>
      <c r="I10" s="690">
        <f>tertiair!H16</f>
        <v>0</v>
      </c>
      <c r="J10" s="690">
        <f>tertiair!I16</f>
        <v>0</v>
      </c>
      <c r="K10" s="690">
        <f>tertiair!J16</f>
        <v>0</v>
      </c>
      <c r="L10" s="690">
        <f>tertiair!K16</f>
        <v>0</v>
      </c>
      <c r="M10" s="690">
        <f ca="1">tertiair!L16</f>
        <v>0</v>
      </c>
      <c r="N10" s="690">
        <f>tertiair!M16</f>
        <v>0</v>
      </c>
      <c r="O10" s="690">
        <f ca="1">tertiair!N16</f>
        <v>10818.447223510992</v>
      </c>
      <c r="P10" s="690">
        <f>tertiair!O16</f>
        <v>4.6900000000000004</v>
      </c>
      <c r="Q10" s="691">
        <f>tertiair!P16</f>
        <v>76.266666666666666</v>
      </c>
      <c r="R10" s="693">
        <f ca="1">SUM(C10:Q10)</f>
        <v>263790.95810891298</v>
      </c>
      <c r="S10" s="67"/>
    </row>
    <row r="11" spans="1:19" s="458" customFormat="1">
      <c r="A11" s="805" t="s">
        <v>225</v>
      </c>
      <c r="B11" s="810"/>
      <c r="C11" s="690">
        <f>huishoudens!B8</f>
        <v>131157.101</v>
      </c>
      <c r="D11" s="690">
        <f>huishoudens!C8</f>
        <v>0</v>
      </c>
      <c r="E11" s="690">
        <f>huishoudens!D8</f>
        <v>163768.75442400001</v>
      </c>
      <c r="F11" s="690">
        <f>huishoudens!E8</f>
        <v>2545.72902427193</v>
      </c>
      <c r="G11" s="690">
        <f>huishoudens!F8</f>
        <v>169937.94372996711</v>
      </c>
      <c r="H11" s="690">
        <f>huishoudens!G8</f>
        <v>0</v>
      </c>
      <c r="I11" s="690">
        <f>huishoudens!H8</f>
        <v>0</v>
      </c>
      <c r="J11" s="690">
        <f>huishoudens!I8</f>
        <v>0</v>
      </c>
      <c r="K11" s="690">
        <f>huishoudens!J8</f>
        <v>0</v>
      </c>
      <c r="L11" s="690">
        <f>huishoudens!K8</f>
        <v>0</v>
      </c>
      <c r="M11" s="690">
        <f>huishoudens!L8</f>
        <v>0</v>
      </c>
      <c r="N11" s="690">
        <f>huishoudens!M8</f>
        <v>0</v>
      </c>
      <c r="O11" s="690">
        <f>huishoudens!N8</f>
        <v>11897.007443010958</v>
      </c>
      <c r="P11" s="690">
        <f>huishoudens!O8</f>
        <v>898.91666666666674</v>
      </c>
      <c r="Q11" s="691">
        <f>huishoudens!P8</f>
        <v>1372.8</v>
      </c>
      <c r="R11" s="693">
        <f>SUM(C11:Q11)</f>
        <v>481578.25228791672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245221.47600000002</v>
      </c>
      <c r="D13" s="690">
        <f>industrie!C18</f>
        <v>0</v>
      </c>
      <c r="E13" s="690">
        <f>industrie!D18</f>
        <v>97472.212639999983</v>
      </c>
      <c r="F13" s="690">
        <f>industrie!E18</f>
        <v>31395.491376258888</v>
      </c>
      <c r="G13" s="690">
        <f>industrie!F18</f>
        <v>98898.578680292296</v>
      </c>
      <c r="H13" s="690">
        <f>industrie!G18</f>
        <v>0</v>
      </c>
      <c r="I13" s="690">
        <f>industrie!H18</f>
        <v>0</v>
      </c>
      <c r="J13" s="690">
        <f>industrie!I18</f>
        <v>0</v>
      </c>
      <c r="K13" s="690">
        <f>industrie!J18</f>
        <v>7.2733210317867876</v>
      </c>
      <c r="L13" s="690">
        <f>industrie!K18</f>
        <v>0</v>
      </c>
      <c r="M13" s="690">
        <f>industrie!L18</f>
        <v>0</v>
      </c>
      <c r="N13" s="690">
        <f>industrie!M18</f>
        <v>0</v>
      </c>
      <c r="O13" s="690">
        <f>industrie!N18</f>
        <v>72448.983462174569</v>
      </c>
      <c r="P13" s="690">
        <f>industrie!O18</f>
        <v>0</v>
      </c>
      <c r="Q13" s="691">
        <f>industrie!P18</f>
        <v>0</v>
      </c>
      <c r="R13" s="693">
        <f>SUM(C13:Q13)</f>
        <v>545444.01547975757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531431.152</v>
      </c>
      <c r="D16" s="725">
        <f t="shared" ref="D16:R16" ca="1" si="0">SUM(D9:D15)</f>
        <v>205.71428571428572</v>
      </c>
      <c r="E16" s="725">
        <f t="shared" ca="1" si="0"/>
        <v>328032.88432857144</v>
      </c>
      <c r="F16" s="725">
        <f t="shared" si="0"/>
        <v>35593.319944923496</v>
      </c>
      <c r="G16" s="725">
        <f t="shared" ca="1" si="0"/>
        <v>298025.77053431631</v>
      </c>
      <c r="H16" s="725">
        <f t="shared" si="0"/>
        <v>0</v>
      </c>
      <c r="I16" s="725">
        <f t="shared" si="0"/>
        <v>0</v>
      </c>
      <c r="J16" s="725">
        <f t="shared" si="0"/>
        <v>0</v>
      </c>
      <c r="K16" s="725">
        <f t="shared" si="0"/>
        <v>7.2733210317867876</v>
      </c>
      <c r="L16" s="725">
        <f t="shared" si="0"/>
        <v>0</v>
      </c>
      <c r="M16" s="725">
        <f t="shared" ca="1" si="0"/>
        <v>0</v>
      </c>
      <c r="N16" s="725">
        <f t="shared" si="0"/>
        <v>0</v>
      </c>
      <c r="O16" s="725">
        <f t="shared" ca="1" si="0"/>
        <v>95164.438128696522</v>
      </c>
      <c r="P16" s="725">
        <f t="shared" si="0"/>
        <v>903.6066666666668</v>
      </c>
      <c r="Q16" s="725">
        <f t="shared" si="0"/>
        <v>1449.0666666666666</v>
      </c>
      <c r="R16" s="725">
        <f t="shared" ca="1" si="0"/>
        <v>1290813.2258765874</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15785.452348607783</v>
      </c>
      <c r="I19" s="690">
        <f>transport!H54</f>
        <v>0</v>
      </c>
      <c r="J19" s="690">
        <f>transport!I54</f>
        <v>0</v>
      </c>
      <c r="K19" s="690">
        <f>transport!J54</f>
        <v>0</v>
      </c>
      <c r="L19" s="690">
        <f>transport!K54</f>
        <v>0</v>
      </c>
      <c r="M19" s="690">
        <f>transport!L54</f>
        <v>0</v>
      </c>
      <c r="N19" s="690">
        <f>transport!M54</f>
        <v>702.01767583902767</v>
      </c>
      <c r="O19" s="690">
        <f>transport!N54</f>
        <v>0</v>
      </c>
      <c r="P19" s="690">
        <f>transport!O54</f>
        <v>0</v>
      </c>
      <c r="Q19" s="691">
        <f>transport!P54</f>
        <v>0</v>
      </c>
      <c r="R19" s="693">
        <f>SUM(C19:Q19)</f>
        <v>16487.470024446811</v>
      </c>
      <c r="S19" s="67"/>
    </row>
    <row r="20" spans="1:19" s="458" customFormat="1">
      <c r="A20" s="805" t="s">
        <v>307</v>
      </c>
      <c r="B20" s="810"/>
      <c r="C20" s="690">
        <f>transport!B14</f>
        <v>26.63336187511949</v>
      </c>
      <c r="D20" s="690">
        <f>transport!C14</f>
        <v>0</v>
      </c>
      <c r="E20" s="690">
        <f>transport!D14</f>
        <v>42.362566308762197</v>
      </c>
      <c r="F20" s="690">
        <f>transport!E14</f>
        <v>1401.0671493707862</v>
      </c>
      <c r="G20" s="690">
        <f>transport!F14</f>
        <v>0</v>
      </c>
      <c r="H20" s="690">
        <f>transport!G14</f>
        <v>368974.76845661708</v>
      </c>
      <c r="I20" s="690">
        <f>transport!H14</f>
        <v>64390.980058396875</v>
      </c>
      <c r="J20" s="690">
        <f>transport!I14</f>
        <v>0</v>
      </c>
      <c r="K20" s="690">
        <f>transport!J14</f>
        <v>0</v>
      </c>
      <c r="L20" s="690">
        <f>transport!K14</f>
        <v>0</v>
      </c>
      <c r="M20" s="690">
        <f>transport!L14</f>
        <v>0</v>
      </c>
      <c r="N20" s="690">
        <f>transport!M14</f>
        <v>19589.787909939645</v>
      </c>
      <c r="O20" s="690">
        <f>transport!N14</f>
        <v>0</v>
      </c>
      <c r="P20" s="690">
        <f>transport!O14</f>
        <v>0</v>
      </c>
      <c r="Q20" s="691">
        <f>transport!P14</f>
        <v>0</v>
      </c>
      <c r="R20" s="693">
        <f>SUM(C20:Q20)</f>
        <v>454425.5995025083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26.63336187511949</v>
      </c>
      <c r="D22" s="808">
        <f t="shared" ref="D22:R22" si="1">SUM(D18:D21)</f>
        <v>0</v>
      </c>
      <c r="E22" s="808">
        <f t="shared" si="1"/>
        <v>42.362566308762197</v>
      </c>
      <c r="F22" s="808">
        <f t="shared" si="1"/>
        <v>1401.0671493707862</v>
      </c>
      <c r="G22" s="808">
        <f t="shared" si="1"/>
        <v>0</v>
      </c>
      <c r="H22" s="808">
        <f t="shared" si="1"/>
        <v>384760.22080522485</v>
      </c>
      <c r="I22" s="808">
        <f t="shared" si="1"/>
        <v>64390.980058396875</v>
      </c>
      <c r="J22" s="808">
        <f t="shared" si="1"/>
        <v>0</v>
      </c>
      <c r="K22" s="808">
        <f t="shared" si="1"/>
        <v>0</v>
      </c>
      <c r="L22" s="808">
        <f t="shared" si="1"/>
        <v>0</v>
      </c>
      <c r="M22" s="808">
        <f t="shared" si="1"/>
        <v>0</v>
      </c>
      <c r="N22" s="808">
        <f t="shared" si="1"/>
        <v>20291.805585778671</v>
      </c>
      <c r="O22" s="808">
        <f t="shared" si="1"/>
        <v>0</v>
      </c>
      <c r="P22" s="808">
        <f t="shared" si="1"/>
        <v>0</v>
      </c>
      <c r="Q22" s="808">
        <f t="shared" si="1"/>
        <v>0</v>
      </c>
      <c r="R22" s="808">
        <f t="shared" si="1"/>
        <v>470913.06952695514</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540.72799999999995</v>
      </c>
      <c r="D24" s="690">
        <f>+landbouw!C8</f>
        <v>22.5</v>
      </c>
      <c r="E24" s="690">
        <f>+landbouw!D8</f>
        <v>876.38191599999993</v>
      </c>
      <c r="F24" s="690">
        <f>+landbouw!E8</f>
        <v>6.813869399296971</v>
      </c>
      <c r="G24" s="690">
        <f>+landbouw!F8</f>
        <v>1865.6470604580943</v>
      </c>
      <c r="H24" s="690">
        <f>+landbouw!G8</f>
        <v>0</v>
      </c>
      <c r="I24" s="690">
        <f>+landbouw!H8</f>
        <v>0</v>
      </c>
      <c r="J24" s="690">
        <f>+landbouw!I8</f>
        <v>0</v>
      </c>
      <c r="K24" s="690">
        <f>+landbouw!J8</f>
        <v>81.319344421036021</v>
      </c>
      <c r="L24" s="690">
        <f>+landbouw!K8</f>
        <v>0</v>
      </c>
      <c r="M24" s="690">
        <f>+landbouw!L8</f>
        <v>0</v>
      </c>
      <c r="N24" s="690">
        <f>+landbouw!M8</f>
        <v>0</v>
      </c>
      <c r="O24" s="690">
        <f>+landbouw!N8</f>
        <v>0</v>
      </c>
      <c r="P24" s="690">
        <f>+landbouw!O8</f>
        <v>0</v>
      </c>
      <c r="Q24" s="691">
        <f>+landbouw!P8</f>
        <v>0</v>
      </c>
      <c r="R24" s="693">
        <f>SUM(C24:Q24)</f>
        <v>3393.3901902784269</v>
      </c>
      <c r="S24" s="67"/>
    </row>
    <row r="25" spans="1:19" s="458" customFormat="1" ht="15" thickBot="1">
      <c r="A25" s="827" t="s">
        <v>872</v>
      </c>
      <c r="B25" s="1004"/>
      <c r="C25" s="1005">
        <f>IF(Onbekend_ele_kWh="---",0,Onbekend_ele_kWh)/1000+IF(REST_rest_ele_kWh="---",0,REST_rest_ele_kWh)/1000</f>
        <v>5738.5209999999997</v>
      </c>
      <c r="D25" s="1005"/>
      <c r="E25" s="1005">
        <f>IF(onbekend_gas_kWh="---",0,onbekend_gas_kWh)/1000+IF(REST_rest_gas_kWh="---",0,REST_rest_gas_kWh)/1000</f>
        <v>61718.502999999997</v>
      </c>
      <c r="F25" s="1005"/>
      <c r="G25" s="1005"/>
      <c r="H25" s="1005"/>
      <c r="I25" s="1005"/>
      <c r="J25" s="1005"/>
      <c r="K25" s="1005"/>
      <c r="L25" s="1005"/>
      <c r="M25" s="1005"/>
      <c r="N25" s="1005"/>
      <c r="O25" s="1005"/>
      <c r="P25" s="1005"/>
      <c r="Q25" s="1006"/>
      <c r="R25" s="693">
        <f>SUM(C25:Q25)</f>
        <v>67457.02399999999</v>
      </c>
      <c r="S25" s="67"/>
    </row>
    <row r="26" spans="1:19" s="458" customFormat="1" ht="15.75" thickBot="1">
      <c r="A26" s="698" t="s">
        <v>873</v>
      </c>
      <c r="B26" s="813"/>
      <c r="C26" s="808">
        <f>SUM(C24:C25)</f>
        <v>6279.2489999999998</v>
      </c>
      <c r="D26" s="808">
        <f t="shared" ref="D26:R26" si="2">SUM(D24:D25)</f>
        <v>22.5</v>
      </c>
      <c r="E26" s="808">
        <f t="shared" si="2"/>
        <v>62594.884915999995</v>
      </c>
      <c r="F26" s="808">
        <f t="shared" si="2"/>
        <v>6.813869399296971</v>
      </c>
      <c r="G26" s="808">
        <f t="shared" si="2"/>
        <v>1865.6470604580943</v>
      </c>
      <c r="H26" s="808">
        <f t="shared" si="2"/>
        <v>0</v>
      </c>
      <c r="I26" s="808">
        <f t="shared" si="2"/>
        <v>0</v>
      </c>
      <c r="J26" s="808">
        <f t="shared" si="2"/>
        <v>0</v>
      </c>
      <c r="K26" s="808">
        <f t="shared" si="2"/>
        <v>81.319344421036021</v>
      </c>
      <c r="L26" s="808">
        <f t="shared" si="2"/>
        <v>0</v>
      </c>
      <c r="M26" s="808">
        <f t="shared" si="2"/>
        <v>0</v>
      </c>
      <c r="N26" s="808">
        <f t="shared" si="2"/>
        <v>0</v>
      </c>
      <c r="O26" s="808">
        <f t="shared" si="2"/>
        <v>0</v>
      </c>
      <c r="P26" s="808">
        <f t="shared" si="2"/>
        <v>0</v>
      </c>
      <c r="Q26" s="808">
        <f t="shared" si="2"/>
        <v>0</v>
      </c>
      <c r="R26" s="808">
        <f t="shared" si="2"/>
        <v>70850.414190278418</v>
      </c>
      <c r="S26" s="67"/>
    </row>
    <row r="27" spans="1:19" s="458" customFormat="1" ht="17.25" thickTop="1" thickBot="1">
      <c r="A27" s="699" t="s">
        <v>116</v>
      </c>
      <c r="B27" s="800"/>
      <c r="C27" s="700">
        <f ca="1">C22+C16+C26</f>
        <v>537737.03436187503</v>
      </c>
      <c r="D27" s="700">
        <f t="shared" ref="D27:R27" ca="1" si="3">D22+D16+D26</f>
        <v>228.21428571428572</v>
      </c>
      <c r="E27" s="700">
        <f t="shared" ca="1" si="3"/>
        <v>390670.13181088021</v>
      </c>
      <c r="F27" s="700">
        <f t="shared" si="3"/>
        <v>37001.200963693576</v>
      </c>
      <c r="G27" s="700">
        <f t="shared" ca="1" si="3"/>
        <v>299891.41759477439</v>
      </c>
      <c r="H27" s="700">
        <f t="shared" si="3"/>
        <v>384760.22080522485</v>
      </c>
      <c r="I27" s="700">
        <f t="shared" si="3"/>
        <v>64390.980058396875</v>
      </c>
      <c r="J27" s="700">
        <f t="shared" si="3"/>
        <v>0</v>
      </c>
      <c r="K27" s="700">
        <f t="shared" si="3"/>
        <v>88.592665452822814</v>
      </c>
      <c r="L27" s="700">
        <f t="shared" si="3"/>
        <v>0</v>
      </c>
      <c r="M27" s="700">
        <f t="shared" ca="1" si="3"/>
        <v>0</v>
      </c>
      <c r="N27" s="700">
        <f t="shared" si="3"/>
        <v>20291.805585778671</v>
      </c>
      <c r="O27" s="700">
        <f t="shared" ca="1" si="3"/>
        <v>95164.438128696522</v>
      </c>
      <c r="P27" s="700">
        <f t="shared" si="3"/>
        <v>903.6066666666668</v>
      </c>
      <c r="Q27" s="700">
        <f t="shared" si="3"/>
        <v>1449.0666666666666</v>
      </c>
      <c r="R27" s="700">
        <f t="shared" ca="1" si="3"/>
        <v>1832576.7095938209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31425.442539020925</v>
      </c>
      <c r="D40" s="690">
        <f ca="1">tertiair!C20</f>
        <v>48.692735251097034</v>
      </c>
      <c r="E40" s="690">
        <f ca="1">tertiair!D20</f>
        <v>13491.967287443429</v>
      </c>
      <c r="F40" s="690">
        <f>tertiair!E20</f>
        <v>375.02659657713843</v>
      </c>
      <c r="G40" s="690">
        <f ca="1">tertiair!F20</f>
        <v>7793.5292491232021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53134.658407415794</v>
      </c>
    </row>
    <row r="41" spans="1:18">
      <c r="A41" s="818" t="s">
        <v>225</v>
      </c>
      <c r="B41" s="825"/>
      <c r="C41" s="690">
        <f ca="1">huishoudens!B12</f>
        <v>26582.402395187972</v>
      </c>
      <c r="D41" s="690">
        <f ca="1">huishoudens!C12</f>
        <v>0</v>
      </c>
      <c r="E41" s="690">
        <f>huishoudens!D12</f>
        <v>33081.288393648007</v>
      </c>
      <c r="F41" s="690">
        <f>huishoudens!E12</f>
        <v>577.88048850972814</v>
      </c>
      <c r="G41" s="690">
        <f>huishoudens!F12</f>
        <v>45373.430975901225</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105615.00225324693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49700.518700652974</v>
      </c>
      <c r="D43" s="690">
        <f ca="1">industrie!C22</f>
        <v>0</v>
      </c>
      <c r="E43" s="690">
        <f>industrie!D22</f>
        <v>19689.386953279998</v>
      </c>
      <c r="F43" s="690">
        <f>industrie!E22</f>
        <v>7126.7765424107674</v>
      </c>
      <c r="G43" s="690">
        <f>industrie!F22</f>
        <v>26405.920507638046</v>
      </c>
      <c r="H43" s="690">
        <f>industrie!G22</f>
        <v>0</v>
      </c>
      <c r="I43" s="690">
        <f>industrie!H22</f>
        <v>0</v>
      </c>
      <c r="J43" s="690">
        <f>industrie!I22</f>
        <v>0</v>
      </c>
      <c r="K43" s="690">
        <f>industrie!J22</f>
        <v>2.5747556452525227</v>
      </c>
      <c r="L43" s="690">
        <f>industrie!K22</f>
        <v>0</v>
      </c>
      <c r="M43" s="690">
        <f>industrie!L22</f>
        <v>0</v>
      </c>
      <c r="N43" s="690">
        <f>industrie!M22</f>
        <v>0</v>
      </c>
      <c r="O43" s="690">
        <f>industrie!N22</f>
        <v>0</v>
      </c>
      <c r="P43" s="690">
        <f>industrie!O22</f>
        <v>0</v>
      </c>
      <c r="Q43" s="767">
        <f>industrie!P22</f>
        <v>0</v>
      </c>
      <c r="R43" s="845">
        <f t="shared" ca="1" si="4"/>
        <v>102925.17745962704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107708.36363486187</v>
      </c>
      <c r="D46" s="725">
        <f t="shared" ref="D46:Q46" ca="1" si="5">SUM(D39:D45)</f>
        <v>48.692735251097034</v>
      </c>
      <c r="E46" s="725">
        <f t="shared" ca="1" si="5"/>
        <v>66262.642634371441</v>
      </c>
      <c r="F46" s="725">
        <f t="shared" si="5"/>
        <v>8079.683627497634</v>
      </c>
      <c r="G46" s="725">
        <f t="shared" ca="1" si="5"/>
        <v>79572.880732662481</v>
      </c>
      <c r="H46" s="725">
        <f t="shared" si="5"/>
        <v>0</v>
      </c>
      <c r="I46" s="725">
        <f t="shared" si="5"/>
        <v>0</v>
      </c>
      <c r="J46" s="725">
        <f t="shared" si="5"/>
        <v>0</v>
      </c>
      <c r="K46" s="725">
        <f t="shared" si="5"/>
        <v>2.5747556452525227</v>
      </c>
      <c r="L46" s="725">
        <f t="shared" si="5"/>
        <v>0</v>
      </c>
      <c r="M46" s="725">
        <f t="shared" ca="1" si="5"/>
        <v>0</v>
      </c>
      <c r="N46" s="725">
        <f t="shared" si="5"/>
        <v>0</v>
      </c>
      <c r="O46" s="725">
        <f t="shared" ca="1" si="5"/>
        <v>0</v>
      </c>
      <c r="P46" s="725">
        <f t="shared" si="5"/>
        <v>0</v>
      </c>
      <c r="Q46" s="725">
        <f t="shared" si="5"/>
        <v>0</v>
      </c>
      <c r="R46" s="725">
        <f ca="1">SUM(R39:R45)</f>
        <v>261674.83812028976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4214.7157770782787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4214.7157770782787</v>
      </c>
    </row>
    <row r="50" spans="1:18">
      <c r="A50" s="821" t="s">
        <v>307</v>
      </c>
      <c r="B50" s="831"/>
      <c r="C50" s="696">
        <f ca="1">transport!B18</f>
        <v>5.3979444277369657</v>
      </c>
      <c r="D50" s="696">
        <f>transport!C18</f>
        <v>0</v>
      </c>
      <c r="E50" s="696">
        <f>transport!D18</f>
        <v>8.5572383943699641</v>
      </c>
      <c r="F50" s="696">
        <f>transport!E18</f>
        <v>318.04224290716849</v>
      </c>
      <c r="G50" s="696">
        <f>transport!F18</f>
        <v>0</v>
      </c>
      <c r="H50" s="696">
        <f>transport!G18</f>
        <v>98516.263177916771</v>
      </c>
      <c r="I50" s="696">
        <f>transport!H18</f>
        <v>16033.354034540822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114881.61463818687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5.3979444277369657</v>
      </c>
      <c r="D52" s="725">
        <f t="shared" ref="D52:Q52" ca="1" si="6">SUM(D48:D51)</f>
        <v>0</v>
      </c>
      <c r="E52" s="725">
        <f t="shared" si="6"/>
        <v>8.5572383943699641</v>
      </c>
      <c r="F52" s="725">
        <f t="shared" si="6"/>
        <v>318.04224290716849</v>
      </c>
      <c r="G52" s="725">
        <f t="shared" si="6"/>
        <v>0</v>
      </c>
      <c r="H52" s="725">
        <f t="shared" si="6"/>
        <v>102730.97895499505</v>
      </c>
      <c r="I52" s="725">
        <f t="shared" si="6"/>
        <v>16033.354034540822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119096.33041526515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109.59261201073056</v>
      </c>
      <c r="D54" s="696">
        <f ca="1">+landbouw!C12</f>
        <v>5.3257679180887374</v>
      </c>
      <c r="E54" s="696">
        <f>+landbouw!D12</f>
        <v>177.029147032</v>
      </c>
      <c r="F54" s="696">
        <f>+landbouw!E12</f>
        <v>1.5467483536404125</v>
      </c>
      <c r="G54" s="696">
        <f>+landbouw!F12</f>
        <v>498.1277651423112</v>
      </c>
      <c r="H54" s="696">
        <f>+landbouw!G12</f>
        <v>0</v>
      </c>
      <c r="I54" s="696">
        <f>+landbouw!H12</f>
        <v>0</v>
      </c>
      <c r="J54" s="696">
        <f>+landbouw!I12</f>
        <v>0</v>
      </c>
      <c r="K54" s="696">
        <f>+landbouw!J12</f>
        <v>28.78704792504675</v>
      </c>
      <c r="L54" s="696">
        <f>+landbouw!K12</f>
        <v>0</v>
      </c>
      <c r="M54" s="696">
        <f>+landbouw!L12</f>
        <v>0</v>
      </c>
      <c r="N54" s="696">
        <f>+landbouw!M12</f>
        <v>0</v>
      </c>
      <c r="O54" s="696">
        <f>+landbouw!N12</f>
        <v>0</v>
      </c>
      <c r="P54" s="696">
        <f>+landbouw!O12</f>
        <v>0</v>
      </c>
      <c r="Q54" s="697">
        <f>+landbouw!P12</f>
        <v>0</v>
      </c>
      <c r="R54" s="724">
        <f ca="1">SUM(C54:Q54)</f>
        <v>820.4090883818177</v>
      </c>
    </row>
    <row r="55" spans="1:18" ht="15" thickBot="1">
      <c r="A55" s="821" t="s">
        <v>872</v>
      </c>
      <c r="B55" s="831"/>
      <c r="C55" s="696">
        <f ca="1">C25*'EF ele_warmte'!B12</f>
        <v>1163.0607356534701</v>
      </c>
      <c r="D55" s="696"/>
      <c r="E55" s="696">
        <f>E25*EF_CO2_aardgas</f>
        <v>12467.137606</v>
      </c>
      <c r="F55" s="696"/>
      <c r="G55" s="696"/>
      <c r="H55" s="696"/>
      <c r="I55" s="696"/>
      <c r="J55" s="696"/>
      <c r="K55" s="696"/>
      <c r="L55" s="696"/>
      <c r="M55" s="696"/>
      <c r="N55" s="696"/>
      <c r="O55" s="696"/>
      <c r="P55" s="696"/>
      <c r="Q55" s="697"/>
      <c r="R55" s="724">
        <f ca="1">SUM(C55:Q55)</f>
        <v>13630.198341653471</v>
      </c>
    </row>
    <row r="56" spans="1:18" ht="15.75" thickBot="1">
      <c r="A56" s="819" t="s">
        <v>873</v>
      </c>
      <c r="B56" s="832"/>
      <c r="C56" s="725">
        <f ca="1">SUM(C54:C55)</f>
        <v>1272.6533476642007</v>
      </c>
      <c r="D56" s="725">
        <f t="shared" ref="D56:Q56" ca="1" si="7">SUM(D54:D55)</f>
        <v>5.3257679180887374</v>
      </c>
      <c r="E56" s="725">
        <f t="shared" si="7"/>
        <v>12644.166753032001</v>
      </c>
      <c r="F56" s="725">
        <f t="shared" si="7"/>
        <v>1.5467483536404125</v>
      </c>
      <c r="G56" s="725">
        <f t="shared" si="7"/>
        <v>498.1277651423112</v>
      </c>
      <c r="H56" s="725">
        <f t="shared" si="7"/>
        <v>0</v>
      </c>
      <c r="I56" s="725">
        <f t="shared" si="7"/>
        <v>0</v>
      </c>
      <c r="J56" s="725">
        <f t="shared" si="7"/>
        <v>0</v>
      </c>
      <c r="K56" s="725">
        <f t="shared" si="7"/>
        <v>28.78704792504675</v>
      </c>
      <c r="L56" s="725">
        <f t="shared" si="7"/>
        <v>0</v>
      </c>
      <c r="M56" s="725">
        <f t="shared" si="7"/>
        <v>0</v>
      </c>
      <c r="N56" s="725">
        <f t="shared" si="7"/>
        <v>0</v>
      </c>
      <c r="O56" s="725">
        <f t="shared" si="7"/>
        <v>0</v>
      </c>
      <c r="P56" s="725">
        <f t="shared" si="7"/>
        <v>0</v>
      </c>
      <c r="Q56" s="726">
        <f t="shared" si="7"/>
        <v>0</v>
      </c>
      <c r="R56" s="727">
        <f ca="1">SUM(R54:R55)</f>
        <v>14450.607430035288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108986.41492695382</v>
      </c>
      <c r="D61" s="733">
        <f t="shared" ref="D61:Q61" ca="1" si="8">D46+D52+D56</f>
        <v>54.01850316918577</v>
      </c>
      <c r="E61" s="733">
        <f t="shared" ca="1" si="8"/>
        <v>78915.366625797804</v>
      </c>
      <c r="F61" s="733">
        <f t="shared" si="8"/>
        <v>8399.2726187584431</v>
      </c>
      <c r="G61" s="733">
        <f t="shared" ca="1" si="8"/>
        <v>80071.008497804796</v>
      </c>
      <c r="H61" s="733">
        <f t="shared" si="8"/>
        <v>102730.97895499505</v>
      </c>
      <c r="I61" s="733">
        <f t="shared" si="8"/>
        <v>16033.354034540822</v>
      </c>
      <c r="J61" s="733">
        <f t="shared" si="8"/>
        <v>0</v>
      </c>
      <c r="K61" s="733">
        <f t="shared" si="8"/>
        <v>31.361803570299273</v>
      </c>
      <c r="L61" s="733">
        <f t="shared" si="8"/>
        <v>0</v>
      </c>
      <c r="M61" s="733">
        <f t="shared" ca="1" si="8"/>
        <v>0</v>
      </c>
      <c r="N61" s="733">
        <f t="shared" si="8"/>
        <v>0</v>
      </c>
      <c r="O61" s="733">
        <f t="shared" ca="1" si="8"/>
        <v>0</v>
      </c>
      <c r="P61" s="733">
        <f t="shared" si="8"/>
        <v>0</v>
      </c>
      <c r="Q61" s="733">
        <f t="shared" si="8"/>
        <v>0</v>
      </c>
      <c r="R61" s="733">
        <f ca="1">R46+R52+R56</f>
        <v>395221.7759655902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0.20267604416773424</v>
      </c>
      <c r="D63" s="776">
        <f t="shared" ca="1" si="9"/>
        <v>0.23670079635949945</v>
      </c>
      <c r="E63" s="1011">
        <f t="shared" ca="1" si="9"/>
        <v>0.20200000000000001</v>
      </c>
      <c r="F63" s="776">
        <f t="shared" si="9"/>
        <v>0.22700000000000004</v>
      </c>
      <c r="G63" s="776">
        <f t="shared" ca="1" si="9"/>
        <v>0.26700000000000013</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11592.973679999999</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32274.412000000004</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148.5</v>
      </c>
      <c r="D76" s="1021">
        <f>'lokale energieproductie'!C8</f>
        <v>174.01023890784984</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35.150068259385669</v>
      </c>
      <c r="R76" s="848">
        <v>0</v>
      </c>
    </row>
    <row r="77" spans="1:18" ht="30.75" thickBot="1">
      <c r="A77" s="746" t="s">
        <v>353</v>
      </c>
      <c r="B77" s="743">
        <f>'lokale energieproductie'!B9*IFERROR(SUM(I77:O77)/SUM(D77:O77),0)</f>
        <v>877.5</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2507.1428571428573</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44744.885680000007</v>
      </c>
      <c r="C78" s="748">
        <f>SUM(C72:C77)</f>
        <v>148.5</v>
      </c>
      <c r="D78" s="749">
        <f t="shared" ref="D78:H78" si="10">SUM(D76:D77)</f>
        <v>174.01023890784984</v>
      </c>
      <c r="E78" s="749">
        <f t="shared" si="10"/>
        <v>0</v>
      </c>
      <c r="F78" s="749">
        <f t="shared" si="10"/>
        <v>0</v>
      </c>
      <c r="G78" s="749">
        <f t="shared" si="10"/>
        <v>0</v>
      </c>
      <c r="H78" s="749">
        <f t="shared" si="10"/>
        <v>0</v>
      </c>
      <c r="I78" s="749">
        <f>SUM(I76:I77)</f>
        <v>0</v>
      </c>
      <c r="J78" s="749">
        <f>SUM(J76:J77)</f>
        <v>2507.1428571428573</v>
      </c>
      <c r="K78" s="749">
        <f t="shared" ref="K78:L78" si="11">SUM(K76:K77)</f>
        <v>0</v>
      </c>
      <c r="L78" s="749">
        <f t="shared" si="11"/>
        <v>0</v>
      </c>
      <c r="M78" s="749">
        <f>SUM(M76:M77)</f>
        <v>0</v>
      </c>
      <c r="N78" s="749">
        <f>SUM(N76:N77)</f>
        <v>0</v>
      </c>
      <c r="O78" s="856">
        <f>SUM(O76:O77)</f>
        <v>0</v>
      </c>
      <c r="P78" s="750">
        <v>0</v>
      </c>
      <c r="Q78" s="750">
        <f>SUM(Q76:Q77)</f>
        <v>35.150068259385669</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228.21428571428572</v>
      </c>
      <c r="D87" s="770">
        <f>'lokale energieproductie'!C17</f>
        <v>267.41833252072161</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54.01850316918577</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228.21428571428572</v>
      </c>
      <c r="D90" s="748">
        <f t="shared" ref="D90:H90" si="12">SUM(D87:D89)</f>
        <v>267.41833252072161</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54.01850316918577</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11592.973679999999</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32274.412000000004</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148.5</v>
      </c>
      <c r="C8" s="560">
        <f>B101</f>
        <v>174.01023890784984</v>
      </c>
      <c r="D8" s="1028"/>
      <c r="E8" s="1028">
        <f>E101</f>
        <v>0</v>
      </c>
      <c r="F8" s="1029"/>
      <c r="G8" s="561"/>
      <c r="H8" s="1028">
        <f>I101</f>
        <v>0</v>
      </c>
      <c r="I8" s="1028">
        <f>G101+F101</f>
        <v>0</v>
      </c>
      <c r="J8" s="1028">
        <f>H101+D101+C101</f>
        <v>0</v>
      </c>
      <c r="K8" s="1028"/>
      <c r="L8" s="1028"/>
      <c r="M8" s="1028"/>
      <c r="N8" s="562"/>
      <c r="O8" s="563">
        <f>C8*$C$12+D8*$D$12+E8*$E$12+F8*$F$12+G8*$G$12+H8*$H$12+I8*$I$12+J8*$J$12</f>
        <v>35.150068259385669</v>
      </c>
      <c r="P8" s="1254"/>
      <c r="Q8" s="1255"/>
      <c r="S8" s="1040"/>
      <c r="T8" s="1229"/>
      <c r="U8" s="1229"/>
    </row>
    <row r="9" spans="1:21" s="548" customFormat="1" ht="17.45" customHeight="1" thickBot="1">
      <c r="A9" s="564" t="s">
        <v>248</v>
      </c>
      <c r="B9" s="565">
        <f>N89+'Eigen informatie GS &amp; warmtenet'!B12</f>
        <v>877.5</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2507.1428571428573</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44893.385680000007</v>
      </c>
      <c r="C10" s="573">
        <f t="shared" ref="C10:L10" si="0">SUM(C8:C9)</f>
        <v>174.01023890784984</v>
      </c>
      <c r="D10" s="573">
        <f t="shared" si="0"/>
        <v>0</v>
      </c>
      <c r="E10" s="573">
        <f t="shared" si="0"/>
        <v>0</v>
      </c>
      <c r="F10" s="573">
        <f t="shared" si="0"/>
        <v>0</v>
      </c>
      <c r="G10" s="573">
        <f t="shared" si="0"/>
        <v>0</v>
      </c>
      <c r="H10" s="573">
        <f t="shared" si="0"/>
        <v>0</v>
      </c>
      <c r="I10" s="573">
        <f t="shared" si="0"/>
        <v>0</v>
      </c>
      <c r="J10" s="573">
        <f t="shared" si="0"/>
        <v>2507.1428571428573</v>
      </c>
      <c r="K10" s="573">
        <f t="shared" si="0"/>
        <v>0</v>
      </c>
      <c r="L10" s="573">
        <f t="shared" si="0"/>
        <v>0</v>
      </c>
      <c r="M10" s="1031"/>
      <c r="N10" s="1031"/>
      <c r="O10" s="574">
        <f>SUM(O4:O9)</f>
        <v>35.150068259385669</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228.21428571428572</v>
      </c>
      <c r="C17" s="585">
        <f>B102</f>
        <v>267.41833252072161</v>
      </c>
      <c r="D17" s="586"/>
      <c r="E17" s="586">
        <f>E102</f>
        <v>0</v>
      </c>
      <c r="F17" s="1034"/>
      <c r="G17" s="587"/>
      <c r="H17" s="585">
        <f>I102</f>
        <v>0</v>
      </c>
      <c r="I17" s="586">
        <f>G102+F102</f>
        <v>0</v>
      </c>
      <c r="J17" s="586">
        <f>H102+D102+C102</f>
        <v>0</v>
      </c>
      <c r="K17" s="586"/>
      <c r="L17" s="586"/>
      <c r="M17" s="586"/>
      <c r="N17" s="1035"/>
      <c r="O17" s="588">
        <f>C17*$C$22+E17*$E$22+H17*$H$22+I17*$I$22+J17*$J$22+D17*$D$22+F17*$F$22+G17*$G$22+K17*$K$22+L17*$L$22</f>
        <v>54.01850316918577</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228.21428571428572</v>
      </c>
      <c r="C20" s="572">
        <f>SUM(C17:C19)</f>
        <v>267.41833252072161</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54.01850316918577</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71016</v>
      </c>
      <c r="C28" s="791">
        <v>3600</v>
      </c>
      <c r="D28" s="644" t="s">
        <v>910</v>
      </c>
      <c r="E28" s="643" t="s">
        <v>911</v>
      </c>
      <c r="F28" s="643" t="s">
        <v>912</v>
      </c>
      <c r="G28" s="643" t="s">
        <v>913</v>
      </c>
      <c r="H28" s="643" t="s">
        <v>914</v>
      </c>
      <c r="I28" s="643" t="s">
        <v>911</v>
      </c>
      <c r="J28" s="790">
        <v>39239</v>
      </c>
      <c r="K28" s="790">
        <v>39356</v>
      </c>
      <c r="L28" s="643" t="s">
        <v>915</v>
      </c>
      <c r="M28" s="643">
        <v>17</v>
      </c>
      <c r="N28" s="643">
        <v>76.5</v>
      </c>
      <c r="O28" s="643">
        <v>109.28571428571429</v>
      </c>
      <c r="P28" s="643">
        <v>218.57142857142858</v>
      </c>
      <c r="Q28" s="643">
        <v>0</v>
      </c>
      <c r="R28" s="643">
        <v>0</v>
      </c>
      <c r="S28" s="643">
        <v>0</v>
      </c>
      <c r="T28" s="643">
        <v>0</v>
      </c>
      <c r="U28" s="643">
        <v>0</v>
      </c>
      <c r="V28" s="643">
        <v>0</v>
      </c>
      <c r="W28" s="643">
        <v>0</v>
      </c>
      <c r="X28" s="643">
        <v>1600</v>
      </c>
      <c r="Y28" s="643" t="s">
        <v>50</v>
      </c>
      <c r="Z28" s="645" t="s">
        <v>156</v>
      </c>
    </row>
    <row r="29" spans="1:26" s="597" customFormat="1" ht="25.5">
      <c r="A29" s="596"/>
      <c r="B29" s="791">
        <v>71016</v>
      </c>
      <c r="C29" s="791">
        <v>3600</v>
      </c>
      <c r="D29" s="644" t="s">
        <v>916</v>
      </c>
      <c r="E29" s="643" t="s">
        <v>917</v>
      </c>
      <c r="F29" s="643" t="s">
        <v>918</v>
      </c>
      <c r="G29" s="643" t="s">
        <v>919</v>
      </c>
      <c r="H29" s="643" t="s">
        <v>919</v>
      </c>
      <c r="I29" s="643" t="s">
        <v>917</v>
      </c>
      <c r="J29" s="790">
        <v>40817</v>
      </c>
      <c r="K29" s="790">
        <v>40969</v>
      </c>
      <c r="L29" s="643" t="s">
        <v>915</v>
      </c>
      <c r="M29" s="643">
        <v>1</v>
      </c>
      <c r="N29" s="643">
        <v>4.5</v>
      </c>
      <c r="O29" s="643">
        <v>22.5</v>
      </c>
      <c r="P29" s="643">
        <v>30</v>
      </c>
      <c r="Q29" s="643">
        <v>0</v>
      </c>
      <c r="R29" s="643">
        <v>0</v>
      </c>
      <c r="S29" s="643">
        <v>0</v>
      </c>
      <c r="T29" s="643">
        <v>0</v>
      </c>
      <c r="U29" s="643">
        <v>0</v>
      </c>
      <c r="V29" s="643">
        <v>0</v>
      </c>
      <c r="W29" s="643">
        <v>0</v>
      </c>
      <c r="X29" s="643">
        <v>10</v>
      </c>
      <c r="Y29" s="643" t="s">
        <v>112</v>
      </c>
      <c r="Z29" s="645" t="s">
        <v>112</v>
      </c>
    </row>
    <row r="30" spans="1:26" s="597" customFormat="1" ht="25.5">
      <c r="A30" s="596"/>
      <c r="B30" s="791">
        <v>71016</v>
      </c>
      <c r="C30" s="791">
        <v>3600</v>
      </c>
      <c r="D30" s="644" t="s">
        <v>920</v>
      </c>
      <c r="E30" s="643" t="s">
        <v>921</v>
      </c>
      <c r="F30" s="643" t="s">
        <v>922</v>
      </c>
      <c r="G30" s="643" t="s">
        <v>913</v>
      </c>
      <c r="H30" s="643" t="s">
        <v>914</v>
      </c>
      <c r="I30" s="643" t="s">
        <v>923</v>
      </c>
      <c r="J30" s="790">
        <v>41099</v>
      </c>
      <c r="K30" s="790">
        <v>41244</v>
      </c>
      <c r="L30" s="643" t="s">
        <v>915</v>
      </c>
      <c r="M30" s="643">
        <v>15</v>
      </c>
      <c r="N30" s="643">
        <v>67.5</v>
      </c>
      <c r="O30" s="643">
        <v>96.428571428571431</v>
      </c>
      <c r="P30" s="643">
        <v>192.85714285714286</v>
      </c>
      <c r="Q30" s="643">
        <v>0</v>
      </c>
      <c r="R30" s="643">
        <v>0</v>
      </c>
      <c r="S30" s="643">
        <v>0</v>
      </c>
      <c r="T30" s="643">
        <v>0</v>
      </c>
      <c r="U30" s="643">
        <v>0</v>
      </c>
      <c r="V30" s="643">
        <v>0</v>
      </c>
      <c r="W30" s="643">
        <v>0</v>
      </c>
      <c r="X30" s="643">
        <v>1300</v>
      </c>
      <c r="Y30" s="643" t="s">
        <v>54</v>
      </c>
      <c r="Z30" s="645" t="s">
        <v>156</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33</v>
      </c>
      <c r="N58" s="601">
        <f>SUM(N28:N57)</f>
        <v>148.5</v>
      </c>
      <c r="O58" s="601">
        <f t="shared" ref="O58:W58" si="2">SUM(O28:O57)</f>
        <v>228.21428571428572</v>
      </c>
      <c r="P58" s="601">
        <f t="shared" si="2"/>
        <v>441.42857142857144</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32</v>
      </c>
      <c r="N60" s="601">
        <f ca="1">SUMIF($Z$28:AD57,"tertiair",N28:N57)</f>
        <v>144</v>
      </c>
      <c r="O60" s="601">
        <f ca="1">SUMIF($Z$28:AE57,"tertiair",O28:O57)</f>
        <v>205.71428571428572</v>
      </c>
      <c r="P60" s="601">
        <f ca="1">SUMIF($Z$28:AF57,"tertiair",P28:P57)</f>
        <v>411.42857142857144</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v>
      </c>
      <c r="N61" s="606">
        <f t="shared" si="4"/>
        <v>4.5</v>
      </c>
      <c r="O61" s="606">
        <f t="shared" si="4"/>
        <v>22.5</v>
      </c>
      <c r="P61" s="606">
        <f t="shared" si="4"/>
        <v>30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71016</v>
      </c>
      <c r="C64" s="791">
        <v>3600</v>
      </c>
      <c r="D64" s="646" t="s">
        <v>924</v>
      </c>
      <c r="E64" s="646" t="s">
        <v>925</v>
      </c>
      <c r="F64" s="646" t="s">
        <v>926</v>
      </c>
      <c r="G64" s="646" t="s">
        <v>927</v>
      </c>
      <c r="H64" s="646" t="s">
        <v>928</v>
      </c>
      <c r="I64" s="646" t="s">
        <v>929</v>
      </c>
      <c r="J64" s="790">
        <v>33970</v>
      </c>
      <c r="K64" s="790">
        <v>37316</v>
      </c>
      <c r="L64" s="646" t="s">
        <v>915</v>
      </c>
      <c r="M64" s="646">
        <v>195</v>
      </c>
      <c r="N64" s="646">
        <v>877.5</v>
      </c>
      <c r="O64" s="646">
        <v>0</v>
      </c>
      <c r="P64" s="646">
        <v>0</v>
      </c>
      <c r="Q64" s="646">
        <v>2507.1428571428573</v>
      </c>
      <c r="R64" s="646">
        <v>0</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195</v>
      </c>
      <c r="N89" s="601">
        <f t="shared" ref="N89:W89" si="5">SUM(N64:N88)</f>
        <v>877.5</v>
      </c>
      <c r="O89" s="601">
        <f t="shared" si="5"/>
        <v>0</v>
      </c>
      <c r="P89" s="601">
        <f t="shared" si="5"/>
        <v>0</v>
      </c>
      <c r="Q89" s="601">
        <f t="shared" si="5"/>
        <v>2507.1428571428573</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195</v>
      </c>
      <c r="N91" s="601">
        <f t="shared" si="7"/>
        <v>877.5</v>
      </c>
      <c r="O91" s="601">
        <f t="shared" si="7"/>
        <v>0</v>
      </c>
      <c r="P91" s="601">
        <f t="shared" si="7"/>
        <v>0</v>
      </c>
      <c r="Q91" s="601">
        <f t="shared" si="7"/>
        <v>2507.1428571428573</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0.60580204778156999</v>
      </c>
      <c r="C98" s="626">
        <f>IF(ISERROR(N58/(O58+N58)),0,N58/(N58+O58))</f>
        <v>0.39419795221843001</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174.01023890784984</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267.41833252072161</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131157.101</v>
      </c>
      <c r="C4" s="462">
        <f>huishoudens!C8</f>
        <v>0</v>
      </c>
      <c r="D4" s="462">
        <f>huishoudens!D8</f>
        <v>163768.75442400001</v>
      </c>
      <c r="E4" s="462">
        <f>huishoudens!E8</f>
        <v>2545.72902427193</v>
      </c>
      <c r="F4" s="462">
        <f>huishoudens!F8</f>
        <v>169937.94372996711</v>
      </c>
      <c r="G4" s="462">
        <f>huishoudens!G8</f>
        <v>0</v>
      </c>
      <c r="H4" s="462">
        <f>huishoudens!H8</f>
        <v>0</v>
      </c>
      <c r="I4" s="462">
        <f>huishoudens!I8</f>
        <v>0</v>
      </c>
      <c r="J4" s="462">
        <f>huishoudens!J8</f>
        <v>0</v>
      </c>
      <c r="K4" s="462">
        <f>huishoudens!K8</f>
        <v>0</v>
      </c>
      <c r="L4" s="462">
        <f>huishoudens!L8</f>
        <v>0</v>
      </c>
      <c r="M4" s="462">
        <f>huishoudens!M8</f>
        <v>0</v>
      </c>
      <c r="N4" s="462">
        <f>huishoudens!N8</f>
        <v>11897.007443010958</v>
      </c>
      <c r="O4" s="462">
        <f>huishoudens!O8</f>
        <v>898.91666666666674</v>
      </c>
      <c r="P4" s="463">
        <f>huishoudens!P8</f>
        <v>1372.8</v>
      </c>
      <c r="Q4" s="464">
        <f>SUM(B4:P4)</f>
        <v>481578.25228791672</v>
      </c>
    </row>
    <row r="5" spans="1:17">
      <c r="A5" s="461" t="s">
        <v>156</v>
      </c>
      <c r="B5" s="462">
        <f ca="1">tertiair!B16</f>
        <v>151206.22600000002</v>
      </c>
      <c r="C5" s="462">
        <f ca="1">tertiair!C16</f>
        <v>205.71428571428572</v>
      </c>
      <c r="D5" s="462">
        <f ca="1">tertiair!D16</f>
        <v>66791.917264571428</v>
      </c>
      <c r="E5" s="462">
        <f>tertiair!E16</f>
        <v>1652.0995443926802</v>
      </c>
      <c r="F5" s="462">
        <f ca="1">tertiair!F16</f>
        <v>29189.248124056936</v>
      </c>
      <c r="G5" s="462">
        <f>tertiair!G16</f>
        <v>0</v>
      </c>
      <c r="H5" s="462">
        <f>tertiair!H16</f>
        <v>0</v>
      </c>
      <c r="I5" s="462">
        <f>tertiair!I16</f>
        <v>0</v>
      </c>
      <c r="J5" s="462">
        <f>tertiair!J16</f>
        <v>0</v>
      </c>
      <c r="K5" s="462">
        <f>tertiair!K16</f>
        <v>0</v>
      </c>
      <c r="L5" s="462">
        <f ca="1">tertiair!L16</f>
        <v>0</v>
      </c>
      <c r="M5" s="462">
        <f>tertiair!M16</f>
        <v>0</v>
      </c>
      <c r="N5" s="462">
        <f ca="1">tertiair!N16</f>
        <v>10818.447223510992</v>
      </c>
      <c r="O5" s="462">
        <f>tertiair!O16</f>
        <v>4.6900000000000004</v>
      </c>
      <c r="P5" s="463">
        <f>tertiair!P16</f>
        <v>76.266666666666666</v>
      </c>
      <c r="Q5" s="461">
        <f t="shared" ref="Q5:Q14" ca="1" si="0">SUM(B5:P5)</f>
        <v>259944.60910891302</v>
      </c>
    </row>
    <row r="6" spans="1:17">
      <c r="A6" s="461" t="s">
        <v>194</v>
      </c>
      <c r="B6" s="462">
        <f>'openbare verlichting'!B8</f>
        <v>3846.3490000000002</v>
      </c>
      <c r="C6" s="462"/>
      <c r="D6" s="462"/>
      <c r="E6" s="462"/>
      <c r="F6" s="462"/>
      <c r="G6" s="462"/>
      <c r="H6" s="462"/>
      <c r="I6" s="462"/>
      <c r="J6" s="462"/>
      <c r="K6" s="462"/>
      <c r="L6" s="462"/>
      <c r="M6" s="462"/>
      <c r="N6" s="462"/>
      <c r="O6" s="462"/>
      <c r="P6" s="463"/>
      <c r="Q6" s="461">
        <f t="shared" si="0"/>
        <v>3846.3490000000002</v>
      </c>
    </row>
    <row r="7" spans="1:17">
      <c r="A7" s="461" t="s">
        <v>112</v>
      </c>
      <c r="B7" s="462">
        <f>landbouw!B8</f>
        <v>540.72799999999995</v>
      </c>
      <c r="C7" s="462">
        <f>landbouw!C8</f>
        <v>22.5</v>
      </c>
      <c r="D7" s="462">
        <f>landbouw!D8</f>
        <v>876.38191599999993</v>
      </c>
      <c r="E7" s="462">
        <f>landbouw!E8</f>
        <v>6.813869399296971</v>
      </c>
      <c r="F7" s="462">
        <f>landbouw!F8</f>
        <v>1865.6470604580943</v>
      </c>
      <c r="G7" s="462">
        <f>landbouw!G8</f>
        <v>0</v>
      </c>
      <c r="H7" s="462">
        <f>landbouw!H8</f>
        <v>0</v>
      </c>
      <c r="I7" s="462">
        <f>landbouw!I8</f>
        <v>0</v>
      </c>
      <c r="J7" s="462">
        <f>landbouw!J8</f>
        <v>81.319344421036021</v>
      </c>
      <c r="K7" s="462">
        <f>landbouw!K8</f>
        <v>0</v>
      </c>
      <c r="L7" s="462">
        <f>landbouw!L8</f>
        <v>0</v>
      </c>
      <c r="M7" s="462">
        <f>landbouw!M8</f>
        <v>0</v>
      </c>
      <c r="N7" s="462">
        <f>landbouw!N8</f>
        <v>0</v>
      </c>
      <c r="O7" s="462">
        <f>landbouw!O8</f>
        <v>0</v>
      </c>
      <c r="P7" s="463">
        <f>landbouw!P8</f>
        <v>0</v>
      </c>
      <c r="Q7" s="461">
        <f t="shared" si="0"/>
        <v>3393.3901902784269</v>
      </c>
    </row>
    <row r="8" spans="1:17">
      <c r="A8" s="461" t="s">
        <v>657</v>
      </c>
      <c r="B8" s="462">
        <f>industrie!B18</f>
        <v>245221.47600000002</v>
      </c>
      <c r="C8" s="462">
        <f>industrie!C18</f>
        <v>0</v>
      </c>
      <c r="D8" s="462">
        <f>industrie!D18</f>
        <v>97472.212639999983</v>
      </c>
      <c r="E8" s="462">
        <f>industrie!E18</f>
        <v>31395.491376258888</v>
      </c>
      <c r="F8" s="462">
        <f>industrie!F18</f>
        <v>98898.578680292296</v>
      </c>
      <c r="G8" s="462">
        <f>industrie!G18</f>
        <v>0</v>
      </c>
      <c r="H8" s="462">
        <f>industrie!H18</f>
        <v>0</v>
      </c>
      <c r="I8" s="462">
        <f>industrie!I18</f>
        <v>0</v>
      </c>
      <c r="J8" s="462">
        <f>industrie!J18</f>
        <v>7.2733210317867876</v>
      </c>
      <c r="K8" s="462">
        <f>industrie!K18</f>
        <v>0</v>
      </c>
      <c r="L8" s="462">
        <f>industrie!L18</f>
        <v>0</v>
      </c>
      <c r="M8" s="462">
        <f>industrie!M18</f>
        <v>0</v>
      </c>
      <c r="N8" s="462">
        <f>industrie!N18</f>
        <v>72448.983462174569</v>
      </c>
      <c r="O8" s="462">
        <f>industrie!O18</f>
        <v>0</v>
      </c>
      <c r="P8" s="463">
        <f>industrie!P18</f>
        <v>0</v>
      </c>
      <c r="Q8" s="461">
        <f t="shared" si="0"/>
        <v>545444.01547975757</v>
      </c>
    </row>
    <row r="9" spans="1:17" s="467" customFormat="1">
      <c r="A9" s="465" t="s">
        <v>574</v>
      </c>
      <c r="B9" s="466">
        <f>transport!B14</f>
        <v>26.63336187511949</v>
      </c>
      <c r="C9" s="466">
        <f>transport!C14</f>
        <v>0</v>
      </c>
      <c r="D9" s="466">
        <f>transport!D14</f>
        <v>42.362566308762197</v>
      </c>
      <c r="E9" s="466">
        <f>transport!E14</f>
        <v>1401.0671493707862</v>
      </c>
      <c r="F9" s="466">
        <f>transport!F14</f>
        <v>0</v>
      </c>
      <c r="G9" s="466">
        <f>transport!G14</f>
        <v>368974.76845661708</v>
      </c>
      <c r="H9" s="466">
        <f>transport!H14</f>
        <v>64390.980058396875</v>
      </c>
      <c r="I9" s="466">
        <f>transport!I14</f>
        <v>0</v>
      </c>
      <c r="J9" s="466">
        <f>transport!J14</f>
        <v>0</v>
      </c>
      <c r="K9" s="466">
        <f>transport!K14</f>
        <v>0</v>
      </c>
      <c r="L9" s="466">
        <f>transport!L14</f>
        <v>0</v>
      </c>
      <c r="M9" s="466">
        <f>transport!M14</f>
        <v>19589.787909939645</v>
      </c>
      <c r="N9" s="466">
        <f>transport!N14</f>
        <v>0</v>
      </c>
      <c r="O9" s="466">
        <f>transport!O14</f>
        <v>0</v>
      </c>
      <c r="P9" s="466">
        <f>transport!P14</f>
        <v>0</v>
      </c>
      <c r="Q9" s="465">
        <f>SUM(B9:P9)</f>
        <v>454425.5995025083</v>
      </c>
    </row>
    <row r="10" spans="1:17">
      <c r="A10" s="461" t="s">
        <v>564</v>
      </c>
      <c r="B10" s="462">
        <f>transport!B54</f>
        <v>0</v>
      </c>
      <c r="C10" s="462">
        <f>transport!C54</f>
        <v>0</v>
      </c>
      <c r="D10" s="462">
        <f>transport!D54</f>
        <v>0</v>
      </c>
      <c r="E10" s="462">
        <f>transport!E54</f>
        <v>0</v>
      </c>
      <c r="F10" s="462">
        <f>transport!F54</f>
        <v>0</v>
      </c>
      <c r="G10" s="462">
        <f>transport!G54</f>
        <v>15785.452348607783</v>
      </c>
      <c r="H10" s="462">
        <f>transport!H54</f>
        <v>0</v>
      </c>
      <c r="I10" s="462">
        <f>transport!I54</f>
        <v>0</v>
      </c>
      <c r="J10" s="462">
        <f>transport!J54</f>
        <v>0</v>
      </c>
      <c r="K10" s="462">
        <f>transport!K54</f>
        <v>0</v>
      </c>
      <c r="L10" s="462">
        <f>transport!L54</f>
        <v>0</v>
      </c>
      <c r="M10" s="462">
        <f>transport!M54</f>
        <v>702.01767583902767</v>
      </c>
      <c r="N10" s="462">
        <f>transport!N54</f>
        <v>0</v>
      </c>
      <c r="O10" s="462">
        <f>transport!O54</f>
        <v>0</v>
      </c>
      <c r="P10" s="463">
        <f>transport!P54</f>
        <v>0</v>
      </c>
      <c r="Q10" s="461">
        <f t="shared" si="0"/>
        <v>16487.470024446811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5738.5209999999997</v>
      </c>
      <c r="C14" s="469"/>
      <c r="D14" s="469">
        <f>'SEAP template'!E25</f>
        <v>61718.502999999997</v>
      </c>
      <c r="E14" s="469"/>
      <c r="F14" s="469"/>
      <c r="G14" s="469"/>
      <c r="H14" s="469"/>
      <c r="I14" s="469"/>
      <c r="J14" s="469"/>
      <c r="K14" s="469"/>
      <c r="L14" s="469"/>
      <c r="M14" s="469"/>
      <c r="N14" s="469"/>
      <c r="O14" s="469"/>
      <c r="P14" s="470"/>
      <c r="Q14" s="461">
        <f t="shared" si="0"/>
        <v>67457.02399999999</v>
      </c>
    </row>
    <row r="15" spans="1:17" s="474" customFormat="1">
      <c r="A15" s="471" t="s">
        <v>568</v>
      </c>
      <c r="B15" s="472">
        <f ca="1">SUM(B4:B14)</f>
        <v>537737.03436187515</v>
      </c>
      <c r="C15" s="472">
        <f t="shared" ref="C15:Q15" ca="1" si="1">SUM(C4:C14)</f>
        <v>228.21428571428572</v>
      </c>
      <c r="D15" s="472">
        <f t="shared" ca="1" si="1"/>
        <v>390670.13181088015</v>
      </c>
      <c r="E15" s="472">
        <f t="shared" si="1"/>
        <v>37001.200963693576</v>
      </c>
      <c r="F15" s="472">
        <f t="shared" ca="1" si="1"/>
        <v>299891.41759477439</v>
      </c>
      <c r="G15" s="472">
        <f t="shared" si="1"/>
        <v>384760.22080522485</v>
      </c>
      <c r="H15" s="472">
        <f t="shared" si="1"/>
        <v>64390.980058396875</v>
      </c>
      <c r="I15" s="472">
        <f t="shared" si="1"/>
        <v>0</v>
      </c>
      <c r="J15" s="472">
        <f t="shared" si="1"/>
        <v>88.592665452822814</v>
      </c>
      <c r="K15" s="472">
        <f t="shared" si="1"/>
        <v>0</v>
      </c>
      <c r="L15" s="472">
        <f t="shared" ca="1" si="1"/>
        <v>0</v>
      </c>
      <c r="M15" s="472">
        <f t="shared" si="1"/>
        <v>20291.805585778671</v>
      </c>
      <c r="N15" s="472">
        <f t="shared" ca="1" si="1"/>
        <v>95164.438128696522</v>
      </c>
      <c r="O15" s="472">
        <f t="shared" si="1"/>
        <v>903.6066666666668</v>
      </c>
      <c r="P15" s="472">
        <f t="shared" si="1"/>
        <v>1449.0666666666666</v>
      </c>
      <c r="Q15" s="472">
        <f t="shared" ca="1" si="1"/>
        <v>1832576.7095938206</v>
      </c>
    </row>
    <row r="17" spans="1:17">
      <c r="A17" s="475" t="s">
        <v>569</v>
      </c>
      <c r="B17" s="781">
        <f ca="1">huishoudens!B10</f>
        <v>0.20267604416773419</v>
      </c>
      <c r="C17" s="781">
        <f ca="1">huishoudens!C10</f>
        <v>0.23670079635949945</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26582.402395187972</v>
      </c>
      <c r="C22" s="462">
        <f t="shared" ref="C22:C32" ca="1" si="3">C4*$C$17</f>
        <v>0</v>
      </c>
      <c r="D22" s="462">
        <f t="shared" ref="D22:D32" si="4">D4*$D$17</f>
        <v>33081.288393648007</v>
      </c>
      <c r="E22" s="462">
        <f t="shared" ref="E22:E32" si="5">E4*$E$17</f>
        <v>577.88048850972814</v>
      </c>
      <c r="F22" s="462">
        <f t="shared" ref="F22:F32" si="6">F4*$F$17</f>
        <v>45373.430975901225</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105615.00225324693</v>
      </c>
    </row>
    <row r="23" spans="1:17">
      <c r="A23" s="461" t="s">
        <v>156</v>
      </c>
      <c r="B23" s="462">
        <f t="shared" ca="1" si="2"/>
        <v>30645.879739212403</v>
      </c>
      <c r="C23" s="462">
        <f t="shared" ca="1" si="3"/>
        <v>48.692735251097034</v>
      </c>
      <c r="D23" s="462">
        <f t="shared" ca="1" si="4"/>
        <v>13491.967287443429</v>
      </c>
      <c r="E23" s="462">
        <f t="shared" si="5"/>
        <v>375.02659657713843</v>
      </c>
      <c r="F23" s="462">
        <f t="shared" ca="1" si="6"/>
        <v>7793.5292491232021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52355.095607607269</v>
      </c>
    </row>
    <row r="24" spans="1:17">
      <c r="A24" s="461" t="s">
        <v>194</v>
      </c>
      <c r="B24" s="462">
        <f t="shared" ca="1" si="2"/>
        <v>779.56279980852025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779.56279980852025</v>
      </c>
    </row>
    <row r="25" spans="1:17">
      <c r="A25" s="461" t="s">
        <v>112</v>
      </c>
      <c r="B25" s="462">
        <f t="shared" ca="1" si="2"/>
        <v>109.59261201073056</v>
      </c>
      <c r="C25" s="462">
        <f t="shared" ca="1" si="3"/>
        <v>5.3257679180887374</v>
      </c>
      <c r="D25" s="462">
        <f t="shared" si="4"/>
        <v>177.029147032</v>
      </c>
      <c r="E25" s="462">
        <f t="shared" si="5"/>
        <v>1.5467483536404125</v>
      </c>
      <c r="F25" s="462">
        <f t="shared" si="6"/>
        <v>498.1277651423112</v>
      </c>
      <c r="G25" s="462">
        <f t="shared" si="7"/>
        <v>0</v>
      </c>
      <c r="H25" s="462">
        <f t="shared" si="8"/>
        <v>0</v>
      </c>
      <c r="I25" s="462">
        <f t="shared" si="9"/>
        <v>0</v>
      </c>
      <c r="J25" s="462">
        <f t="shared" si="10"/>
        <v>28.78704792504675</v>
      </c>
      <c r="K25" s="462">
        <f t="shared" si="11"/>
        <v>0</v>
      </c>
      <c r="L25" s="462">
        <f t="shared" si="12"/>
        <v>0</v>
      </c>
      <c r="M25" s="462">
        <f t="shared" si="13"/>
        <v>0</v>
      </c>
      <c r="N25" s="462">
        <f t="shared" si="14"/>
        <v>0</v>
      </c>
      <c r="O25" s="462">
        <f t="shared" si="15"/>
        <v>0</v>
      </c>
      <c r="P25" s="463">
        <f t="shared" si="16"/>
        <v>0</v>
      </c>
      <c r="Q25" s="461">
        <f t="shared" ca="1" si="17"/>
        <v>820.4090883818177</v>
      </c>
    </row>
    <row r="26" spans="1:17">
      <c r="A26" s="461" t="s">
        <v>657</v>
      </c>
      <c r="B26" s="462">
        <f t="shared" ca="1" si="2"/>
        <v>49700.518700652974</v>
      </c>
      <c r="C26" s="462">
        <f t="shared" ca="1" si="3"/>
        <v>0</v>
      </c>
      <c r="D26" s="462">
        <f t="shared" si="4"/>
        <v>19689.386953279998</v>
      </c>
      <c r="E26" s="462">
        <f t="shared" si="5"/>
        <v>7126.7765424107674</v>
      </c>
      <c r="F26" s="462">
        <f t="shared" si="6"/>
        <v>26405.920507638046</v>
      </c>
      <c r="G26" s="462">
        <f t="shared" si="7"/>
        <v>0</v>
      </c>
      <c r="H26" s="462">
        <f t="shared" si="8"/>
        <v>0</v>
      </c>
      <c r="I26" s="462">
        <f t="shared" si="9"/>
        <v>0</v>
      </c>
      <c r="J26" s="462">
        <f t="shared" si="10"/>
        <v>2.5747556452525227</v>
      </c>
      <c r="K26" s="462">
        <f t="shared" si="11"/>
        <v>0</v>
      </c>
      <c r="L26" s="462">
        <f t="shared" si="12"/>
        <v>0</v>
      </c>
      <c r="M26" s="462">
        <f t="shared" si="13"/>
        <v>0</v>
      </c>
      <c r="N26" s="462">
        <f t="shared" si="14"/>
        <v>0</v>
      </c>
      <c r="O26" s="462">
        <f t="shared" si="15"/>
        <v>0</v>
      </c>
      <c r="P26" s="463">
        <f t="shared" si="16"/>
        <v>0</v>
      </c>
      <c r="Q26" s="461">
        <f t="shared" ca="1" si="17"/>
        <v>102925.17745962704</v>
      </c>
    </row>
    <row r="27" spans="1:17" s="467" customFormat="1">
      <c r="A27" s="465" t="s">
        <v>574</v>
      </c>
      <c r="B27" s="775">
        <f t="shared" ca="1" si="2"/>
        <v>5.3979444277369657</v>
      </c>
      <c r="C27" s="466">
        <f t="shared" ca="1" si="3"/>
        <v>0</v>
      </c>
      <c r="D27" s="466">
        <f t="shared" si="4"/>
        <v>8.5572383943699641</v>
      </c>
      <c r="E27" s="466">
        <f t="shared" si="5"/>
        <v>318.04224290716849</v>
      </c>
      <c r="F27" s="466">
        <f t="shared" si="6"/>
        <v>0</v>
      </c>
      <c r="G27" s="466">
        <f t="shared" si="7"/>
        <v>98516.263177916771</v>
      </c>
      <c r="H27" s="466">
        <f t="shared" si="8"/>
        <v>16033.354034540822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114881.61463818687</v>
      </c>
    </row>
    <row r="28" spans="1:17">
      <c r="A28" s="461" t="s">
        <v>564</v>
      </c>
      <c r="B28" s="462">
        <f t="shared" ca="1" si="2"/>
        <v>0</v>
      </c>
      <c r="C28" s="462">
        <f t="shared" ca="1" si="3"/>
        <v>0</v>
      </c>
      <c r="D28" s="462">
        <f t="shared" si="4"/>
        <v>0</v>
      </c>
      <c r="E28" s="462">
        <f t="shared" si="5"/>
        <v>0</v>
      </c>
      <c r="F28" s="462">
        <f t="shared" si="6"/>
        <v>0</v>
      </c>
      <c r="G28" s="462">
        <f t="shared" si="7"/>
        <v>4214.7157770782787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4214.7157770782787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1163.0607356534701</v>
      </c>
      <c r="C32" s="462">
        <f t="shared" ca="1" si="3"/>
        <v>0</v>
      </c>
      <c r="D32" s="462">
        <f t="shared" si="4"/>
        <v>12467.137606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13630.198341653471</v>
      </c>
    </row>
    <row r="33" spans="1:17" s="474" customFormat="1">
      <c r="A33" s="471" t="s">
        <v>568</v>
      </c>
      <c r="B33" s="472">
        <f ca="1">SUM(B22:B32)</f>
        <v>108986.41492695382</v>
      </c>
      <c r="C33" s="472">
        <f t="shared" ref="C33:Q33" ca="1" si="18">SUM(C22:C32)</f>
        <v>54.01850316918577</v>
      </c>
      <c r="D33" s="472">
        <f t="shared" ca="1" si="18"/>
        <v>78915.366625797804</v>
      </c>
      <c r="E33" s="472">
        <f t="shared" si="18"/>
        <v>8399.2726187584431</v>
      </c>
      <c r="F33" s="472">
        <f t="shared" ca="1" si="18"/>
        <v>80071.008497804782</v>
      </c>
      <c r="G33" s="472">
        <f t="shared" si="18"/>
        <v>102730.97895499505</v>
      </c>
      <c r="H33" s="472">
        <f t="shared" si="18"/>
        <v>16033.354034540822</v>
      </c>
      <c r="I33" s="472">
        <f t="shared" si="18"/>
        <v>0</v>
      </c>
      <c r="J33" s="472">
        <f t="shared" si="18"/>
        <v>31.361803570299273</v>
      </c>
      <c r="K33" s="472">
        <f t="shared" si="18"/>
        <v>0</v>
      </c>
      <c r="L33" s="472">
        <f t="shared" ca="1" si="18"/>
        <v>0</v>
      </c>
      <c r="M33" s="472">
        <f t="shared" si="18"/>
        <v>0</v>
      </c>
      <c r="N33" s="472">
        <f t="shared" ca="1" si="18"/>
        <v>0</v>
      </c>
      <c r="O33" s="472">
        <f t="shared" si="18"/>
        <v>0</v>
      </c>
      <c r="P33" s="472">
        <f t="shared" si="18"/>
        <v>0</v>
      </c>
      <c r="Q33" s="472">
        <f t="shared" ca="1" si="18"/>
        <v>395221.7759655902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11592.973679999999</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32274.412000000004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148.5</v>
      </c>
      <c r="D8" s="1047">
        <f>'SEAP template'!D76</f>
        <v>174.01023890784984</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35.150068259385669</v>
      </c>
    </row>
    <row r="9" spans="1:16">
      <c r="A9" s="1050" t="s">
        <v>888</v>
      </c>
      <c r="B9" s="1047">
        <f>'SEAP template'!B77</f>
        <v>877.5</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2507.1428571428573</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44744.885680000007</v>
      </c>
      <c r="C10" s="1051">
        <f>SUM(C4:C9)</f>
        <v>148.5</v>
      </c>
      <c r="D10" s="1051">
        <f t="shared" ref="D10:H10" si="0">SUM(D8:D9)</f>
        <v>174.01023890784984</v>
      </c>
      <c r="E10" s="1051">
        <f t="shared" si="0"/>
        <v>0</v>
      </c>
      <c r="F10" s="1051">
        <f t="shared" si="0"/>
        <v>0</v>
      </c>
      <c r="G10" s="1051">
        <f t="shared" si="0"/>
        <v>0</v>
      </c>
      <c r="H10" s="1051">
        <f t="shared" si="0"/>
        <v>0</v>
      </c>
      <c r="I10" s="1051">
        <f>SUM(I8:I9)</f>
        <v>0</v>
      </c>
      <c r="J10" s="1051">
        <f>SUM(J8:J9)</f>
        <v>2507.1428571428573</v>
      </c>
      <c r="K10" s="1051">
        <f t="shared" ref="K10:L10" si="1">SUM(K8:K9)</f>
        <v>0</v>
      </c>
      <c r="L10" s="1051">
        <f t="shared" si="1"/>
        <v>0</v>
      </c>
      <c r="M10" s="1051">
        <f>SUM(M8:M9)</f>
        <v>0</v>
      </c>
      <c r="N10" s="1051">
        <f>SUM(N8:N9)</f>
        <v>0</v>
      </c>
      <c r="O10" s="1051">
        <f>SUM(O8:O9)</f>
        <v>0</v>
      </c>
      <c r="P10" s="1051">
        <f>SUM(P8:P9)</f>
        <v>35.150068259385669</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0.20267604416773419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228.21428571428572</v>
      </c>
      <c r="D17" s="1048">
        <f>'SEAP template'!D87</f>
        <v>267.41833252072161</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54.01850316918577</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228.21428571428572</v>
      </c>
      <c r="D20" s="1051">
        <f t="shared" ref="D20:H20" si="2">SUM(D17:D19)</f>
        <v>267.41833252072161</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54.01850316918577</v>
      </c>
    </row>
    <row r="22" spans="1:16">
      <c r="A22" s="475" t="s">
        <v>896</v>
      </c>
      <c r="B22" s="781" t="s">
        <v>890</v>
      </c>
      <c r="C22" s="781">
        <f ca="1">'EF ele_warmte'!B22</f>
        <v>0.23670079635949945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0.20267604416773419</v>
      </c>
      <c r="C17" s="512">
        <f ca="1">'EF ele_warmte'!B22</f>
        <v>0.23670079635949945</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2019-07-04T14:28:11Z</dcterms:modified>
</cp:coreProperties>
</file>