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C102"/>
  <c r="B102"/>
  <c r="C17" s="1"/>
  <c r="F102"/>
  <c r="G102"/>
  <c r="I101"/>
  <c r="H8" s="1"/>
  <c r="H10" s="1"/>
  <c r="H101"/>
  <c r="G101"/>
  <c r="I8" s="1"/>
  <c r="I10" s="1"/>
  <c r="B101"/>
  <c r="C8" s="1"/>
  <c r="C101"/>
  <c r="D101"/>
  <c r="F101"/>
  <c r="B20"/>
  <c r="O19"/>
  <c r="C20"/>
  <c r="C1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K78" i="14"/>
  <c r="K8" i="59"/>
  <c r="K10" s="1"/>
  <c r="E90" i="14"/>
  <c r="E18" i="59"/>
  <c r="E20" s="1"/>
  <c r="G22" i="14"/>
  <c r="O22"/>
  <c r="P22"/>
  <c r="L10" i="59"/>
  <c r="E10"/>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31"/>
  <c r="D29"/>
  <c r="D24"/>
  <c r="D32"/>
  <c r="K32"/>
  <c r="K26"/>
  <c r="K22"/>
  <c r="K31"/>
  <c r="K28"/>
  <c r="K30"/>
  <c r="K25"/>
  <c r="K29"/>
  <c r="K24"/>
  <c r="K27"/>
  <c r="B7"/>
  <c r="C24" i="14"/>
  <c r="C26" s="1"/>
  <c r="E32" i="48"/>
  <c r="E28"/>
  <c r="E30"/>
  <c r="E29"/>
  <c r="E31"/>
  <c r="E24"/>
  <c r="M26"/>
  <c r="M29"/>
  <c r="M32"/>
  <c r="M22"/>
  <c r="M30"/>
  <c r="M25"/>
  <c r="M24"/>
  <c r="M23"/>
  <c r="J31"/>
  <c r="J32"/>
  <c r="J30"/>
  <c r="J27"/>
  <c r="J28"/>
  <c r="J24"/>
  <c r="J29"/>
  <c r="O4"/>
  <c r="P11" i="14"/>
  <c r="I28" i="48"/>
  <c r="I29"/>
  <c r="I27"/>
  <c r="I26"/>
  <c r="I32"/>
  <c r="I25"/>
  <c r="I31"/>
  <c r="I24"/>
  <c r="I30"/>
  <c r="I22"/>
  <c r="P5"/>
  <c r="P23" s="1"/>
  <c r="Q10" i="14"/>
  <c r="P4" i="48"/>
  <c r="Q11" i="14"/>
  <c r="D11"/>
  <c r="C4" i="48"/>
  <c r="G32"/>
  <c r="G26"/>
  <c r="G25"/>
  <c r="G29"/>
  <c r="G22"/>
  <c r="G30"/>
  <c r="G24"/>
  <c r="G23"/>
  <c r="K5"/>
  <c r="L10" i="14"/>
  <c r="L16" s="1"/>
  <c r="L27" s="1"/>
  <c r="L32" i="48"/>
  <c r="L28"/>
  <c r="L29"/>
  <c r="L31"/>
  <c r="L30"/>
  <c r="L24"/>
  <c r="L27"/>
  <c r="L22"/>
  <c r="E11" i="14"/>
  <c r="D4" i="48"/>
  <c r="D22" s="1"/>
  <c r="H26"/>
  <c r="H32"/>
  <c r="H25"/>
  <c r="H30"/>
  <c r="H24"/>
  <c r="H28"/>
  <c r="H29"/>
  <c r="H22"/>
  <c r="H23"/>
  <c r="C11" i="14"/>
  <c r="B4" i="48"/>
  <c r="F29"/>
  <c r="F32"/>
  <c r="F24"/>
  <c r="F31"/>
  <c r="F27"/>
  <c r="F28"/>
  <c r="F30"/>
  <c r="N29"/>
  <c r="N32"/>
  <c r="N24"/>
  <c r="N30"/>
  <c r="N27"/>
  <c r="N28"/>
  <c r="N31"/>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Q16" s="1"/>
  <c r="Q27" s="1"/>
  <c r="Q63" s="1"/>
  <c r="K15" i="48"/>
  <c r="K23"/>
  <c r="K33" s="1"/>
  <c r="B9"/>
  <c r="C20" i="14"/>
  <c r="O5" i="48"/>
  <c r="O23" s="1"/>
  <c r="P10" i="14"/>
  <c r="C22"/>
  <c r="F20"/>
  <c r="F22" s="1"/>
  <c r="E9" i="48"/>
  <c r="D9"/>
  <c r="D27" s="1"/>
  <c r="E20" i="14"/>
  <c r="E22" s="1"/>
  <c r="K24"/>
  <c r="K26" s="1"/>
  <c r="J7" i="48"/>
  <c r="J25" s="1"/>
  <c r="P15"/>
  <c r="P22"/>
  <c r="P33" s="1"/>
  <c r="J10" i="14"/>
  <c r="J16" s="1"/>
  <c r="J27" s="1"/>
  <c r="I5" i="48"/>
  <c r="F4"/>
  <c r="F22" s="1"/>
  <c r="G11" i="14"/>
  <c r="M12" i="22"/>
  <c r="N18" i="14"/>
  <c r="M13" i="48"/>
  <c r="M31" s="1"/>
  <c r="O22"/>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H22" s="1"/>
  <c r="H27" s="1"/>
  <c r="G9" i="48"/>
  <c r="O8"/>
  <c r="O26" s="1"/>
  <c r="O33" s="1"/>
  <c r="P13" i="14"/>
  <c r="P16" s="1"/>
  <c r="P27" s="1"/>
  <c r="R18"/>
  <c r="N19"/>
  <c r="N22" s="1"/>
  <c r="N27" s="1"/>
  <c r="M10" i="48"/>
  <c r="M28" s="1"/>
  <c r="F24" i="14"/>
  <c r="F26" s="1"/>
  <c r="E7" i="48"/>
  <c r="E25" s="1"/>
  <c r="K11" i="14"/>
  <c r="J4" i="48"/>
  <c r="G31"/>
  <c r="Q13"/>
  <c r="I23"/>
  <c r="I33" s="1"/>
  <c r="I15"/>
  <c r="E27"/>
  <c r="P46" i="14"/>
  <c r="P61" s="1"/>
  <c r="H19"/>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G27" i="48"/>
  <c r="G33" s="1"/>
  <c r="G15"/>
  <c r="R19" i="14"/>
  <c r="E20" i="15"/>
  <c r="F40" i="14" s="1"/>
  <c r="F10"/>
  <c r="E5" i="48"/>
  <c r="E23" s="1"/>
  <c r="Q9"/>
  <c r="R11" i="14"/>
  <c r="H9" i="48"/>
  <c r="I20" i="14"/>
  <c r="G28" i="48"/>
  <c r="Q10"/>
  <c r="M27"/>
  <c r="M33" s="1"/>
  <c r="M15"/>
  <c r="P63" i="14"/>
  <c r="E46"/>
  <c r="E61" s="1"/>
  <c r="O15" i="48"/>
  <c r="K10" i="14"/>
  <c r="J5" i="48"/>
  <c r="J23" s="1"/>
  <c r="E22"/>
  <c r="Q4"/>
  <c r="J22"/>
  <c r="M61" i="14"/>
  <c r="M27"/>
  <c r="E16"/>
  <c r="E27" s="1"/>
  <c r="L15" i="48"/>
  <c r="R24" i="14"/>
  <c r="R26" s="1"/>
  <c r="L33" i="48"/>
  <c r="Q7"/>
  <c r="R10" i="14"/>
  <c r="D23" i="48"/>
  <c r="D33" s="1"/>
  <c r="D15"/>
  <c r="C16" i="14"/>
  <c r="C27" s="1"/>
  <c r="B3" i="6" s="1"/>
  <c r="B12" s="1"/>
  <c r="F23" i="48"/>
  <c r="N23"/>
  <c r="Q5"/>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8"/>
  <c r="E26" s="1"/>
  <c r="F13" i="14"/>
  <c r="F16" s="1"/>
  <c r="F27" s="1"/>
  <c r="F63" s="1"/>
  <c r="F46"/>
  <c r="F61" s="1"/>
  <c r="E63"/>
  <c r="E33" i="48"/>
  <c r="I22" i="14"/>
  <c r="I27" s="1"/>
  <c r="I63" s="1"/>
  <c r="R20"/>
  <c r="R22" s="1"/>
  <c r="J22" i="16"/>
  <c r="K43" i="14" s="1"/>
  <c r="K46" s="1"/>
  <c r="K61" s="1"/>
  <c r="K13"/>
  <c r="K16" s="1"/>
  <c r="K27" s="1"/>
  <c r="J8" i="48"/>
  <c r="E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<sst xmlns="http://schemas.openxmlformats.org/spreadsheetml/2006/main" count="2429" uniqueCount="910">
  <si>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</si>
  <si>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</si>
  <si>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</si>
  <si>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</si>
  <si>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</si>
  <si>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</si>
  <si>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</si>
  <si>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</si>
  <si>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</si>
  <si>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</si>
  <si>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</si>
  <si>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</si>
  <si>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</si>
  <si>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</si>
  <si>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</si>
  <si>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</si>
  <si>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</si>
  <si>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</si>
  <si>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</si>
  <si>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</si>
  <si>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</si>
  <si>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</si>
  <si>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</si>
  <si>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</si>
  <si>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</si>
  <si>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</si>
  <si>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</si>
  <si>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</si>
  <si>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</si>
  <si>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</si>
  <si>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</si>
  <si>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</si>
  <si>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</si>
  <si>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</si>
  <si>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</si>
  <si>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</si>
  <si>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</si>
  <si>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</si>
  <si>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</si>
  <si>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</si>
  <si>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</si>
  <si>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</si>
  <si>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</si>
  <si>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</si>
  <si>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</si>
  <si>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</si>
  <si>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</si>
  <si>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</si>
  <si>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</si>
  <si>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</si>
  <si>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</si>
  <si>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</si>
  <si>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</si>
  <si>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</si>
  <si>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</si>
  <si>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</si>
  <si>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</si>
  <si>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</si>
  <si>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</si>
  <si>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</si>
  <si>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</si>
  <si>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</si>
  <si>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</si>
  <si>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</si>
  <si>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</si>
  <si>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</si>
  <si>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</si>
  <si>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</si>
  <si>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</si>
  <si>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</si>
  <si>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</si>
  <si>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</si>
  <si>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</si>
  <si>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</si>
  <si>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</si>
  <si>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</si>
  <si>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</si>
  <si>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</si>
  <si>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</si>
  <si>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</si>
  <si>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</si>
  <si>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</si>
  <si>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</si>
  <si>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</si>
  <si>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</si>
  <si>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</si>
  <si>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</si>
  <si>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</si>
  <si>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</si>
  <si>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</si>
  <si>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</si>
  <si>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</si>
  <si>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</si>
  <si>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</si>
  <si>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</si>
  <si>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</si>
  <si>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</si>
  <si>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</si>
  <si>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</si>
  <si>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</si>
  <si>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</si>
  <si>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</si>
  <si>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</si>
  <si>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</si>
  <si>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</si>
  <si>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</si>
  <si>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</si>
  <si>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</si>
  <si>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</si>
  <si>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</si>
  <si>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</si>
  <si>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</si>
  <si>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</si>
  <si>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</si>
  <si>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</si>
  <si>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</si>
  <si>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</si>
  <si>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</si>
  <si>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</si>
  <si>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</si>
  <si>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</si>
  <si>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</si>
  <si>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</si>
  <si>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</si>
  <si>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</si>
  <si>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</si>
  <si>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</si>
  <si>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</si>
  <si>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</si>
  <si>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</si>
  <si>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</si>
  <si>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</si>
  <si>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</si>
  <si>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</si>
  <si>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</si>
  <si>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</si>
  <si>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</si>
  <si>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</si>
  <si>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</si>
  <si>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</si>
  <si>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</si>
  <si>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</si>
  <si>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</si>
  <si>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</si>
  <si>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</si>
  <si>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</si>
  <si>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</si>
  <si>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</si>
  <si>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</si>
  <si>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</si>
  <si>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</si>
  <si>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</si>
  <si>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</si>
  <si>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</si>
  <si>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</si>
  <si>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</si>
  <si>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</si>
  <si>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</si>
  <si>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</si>
  <si>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</si>
  <si>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</si>
  <si>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</si>
  <si>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</si>
  <si>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</si>
  <si>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</si>
  <si>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</si>
  <si>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</si>
  <si>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</si>
  <si>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</si>
  <si>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</si>
  <si>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</si>
  <si>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</si>
  <si>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</si>
  <si>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</si>
  <si>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</si>
  <si>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</si>
  <si>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</si>
  <si>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</si>
  <si>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</si>
  <si>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</si>
  <si>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</si>
  <si>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</si>
  <si>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</si>
  <si>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</si>
  <si>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</si>
  <si>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</si>
  <si>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</si>
  <si>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</si>
  <si>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</si>
  <si>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</si>
  <si>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</si>
  <si>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</si>
  <si>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</si>
  <si>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</si>
  <si>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</si>
  <si>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</si>
  <si>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</si>
  <si>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</si>
  <si>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</si>
  <si>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</si>
  <si>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</si>
  <si>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</si>
  <si>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</si>
  <si>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</si>
  <si>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</si>
  <si>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</si>
  <si>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</si>
  <si>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</si>
  <si>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</si>
  <si>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</si>
  <si>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</si>
  <si>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</si>
  <si>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</si>
  <si>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</si>
  <si>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</si>
  <si>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</si>
  <si>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</si>
  <si>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</si>
  <si>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</si>
  <si>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</si>
  <si>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</si>
  <si>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</si>
  <si>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</si>
  <si>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</si>
  <si>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</si>
  <si>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</si>
  <si>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</si>
  <si>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</si>
  <si>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</si>
  <si>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</si>
  <si>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</si>
  <si>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</si>
  <si>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</si>
  <si>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</si>
  <si>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</si>
  <si>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</si>
  <si>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</si>
  <si>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</si>
  <si>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</si>
  <si>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</si>
  <si>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</si>
  <si>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</si>
  <si>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</si>
  <si>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</si>
  <si>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</si>
  <si>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</si>
  <si>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</si>
  <si>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</si>
  <si>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</si>
  <si>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</si>
  <si>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</si>
  <si>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</si>
  <si>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</si>
  <si>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</si>
  <si>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</si>
  <si>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</si>
  <si>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</si>
  <si>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</si>
  <si>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</si>
  <si>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</si>
  <si>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</si>
  <si>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</si>
  <si>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</si>
  <si>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</si>
  <si>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</si>
  <si>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</si>
  <si>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</si>
  <si>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</si>
  <si>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</si>
  <si>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</si>
  <si>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</si>
  <si>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</si>
  <si>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</si>
  <si>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</si>
  <si>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</si>
  <si>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</si>
  <si>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</si>
  <si>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</si>
  <si>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</si>
  <si>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</si>
  <si>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</si>
  <si>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</si>
  <si>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</si>
  <si>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</si>
  <si>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</si>
  <si>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</si>
  <si>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</si>
  <si>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</si>
  <si>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</si>
  <si>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</si>
  <si>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</si>
  <si>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</si>
  <si>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</si>
  <si>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</si>
  <si>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</si>
  <si>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</si>
  <si>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</si>
  <si>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</si>
  <si>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</si>
  <si>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</si>
  <si>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</si>
  <si>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</si>
  <si>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</si>
  <si>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</si>
  <si>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</si>
  <si>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</si>
  <si>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</si>
  <si>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</si>
  <si>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</si>
  <si>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</si>
  <si>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</si>
  <si>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</si>
  <si>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</si>
  <si>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</si>
  <si>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</si>
  <si>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</si>
  <si>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</si>
  <si>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</si>
  <si>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</si>
  <si>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</si>
  <si>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</si>
  <si>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</si>
  <si>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</si>
  <si>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</si>
  <si>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</si>
  <si>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</si>
  <si>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</si>
  <si>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</si>
  <si>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</si>
  <si>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</si>
  <si>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</si>
  <si>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</si>
  <si>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</si>
  <si>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</si>
  <si>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</si>
  <si>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</si>
  <si>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</si>
  <si>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</si>
  <si>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</si>
  <si>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</si>
  <si>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</si>
  <si>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</si>
  <si>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</si>
  <si>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</si>
  <si>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</si>
  <si>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</si>
  <si>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</si>
  <si>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</si>
  <si>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</si>
  <si>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</si>
  <si>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</si>
  <si>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</si>
  <si>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</si>
  <si>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</si>
  <si>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</si>
  <si>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</si>
  <si>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</si>
  <si>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</si>
  <si>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</si>
  <si>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</si>
  <si>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</si>
  <si>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</si>
  <si>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</si>
  <si>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</si>
  <si>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</si>
  <si>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</si>
  <si>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</si>
  <si>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</si>
  <si>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</si>
  <si>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</si>
  <si>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</si>
  <si>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</si>
  <si>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</si>
  <si>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</si>
  <si>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</si>
  <si>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</si>
  <si>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</si>
  <si>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</si>
  <si>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</si>
  <si>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</si>
  <si>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</si>
  <si>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</si>
  <si>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</si>
  <si>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</si>
  <si>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</si>
  <si>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</si>
  <si>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</si>
  <si>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</si>
  <si>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</si>
  <si>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</si>
  <si>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</si>
  <si>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</si>
  <si>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</si>
  <si>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</si>
  <si>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</si>
  <si>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</si>
  <si>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</si>
  <si>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</si>
  <si>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</si>
  <si>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</si>
  <si>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</si>
  <si>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</si>
  <si>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</si>
  <si>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</si>
  <si>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</si>
  <si>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</si>
  <si>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</si>
  <si>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</si>
  <si>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</si>
  <si>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</si>
  <si>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</si>
  <si>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</si>
  <si>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</si>
  <si>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</si>
  <si>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</si>
  <si>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</si>
  <si>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</si>
  <si>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</si>
  <si>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</si>
  <si>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</si>
  <si>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</si>
  <si>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</si>
  <si>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</si>
  <si>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</si>
  <si>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</si>
  <si>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</si>
  <si>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</si>
  <si>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</si>
  <si>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</si>
  <si>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</si>
  <si>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</si>
  <si>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</si>
  <si>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</si>
  <si>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</si>
  <si>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</si>
  <si>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</si>
  <si>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</si>
  <si>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</si>
  <si>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</si>
  <si>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</si>
  <si>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</si>
  <si>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</si>
  <si>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</si>
  <si>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</si>
  <si>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</si>
  <si>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</si>
  <si>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</si>
  <si>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</si>
  <si>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</si>
  <si>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</si>
  <si>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</si>
  <si>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</si>
  <si>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</si>
  <si>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</si>
  <si>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</si>
  <si>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</si>
  <si>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</si>
  <si>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</si>
  <si>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</si>
  <si>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</si>
  <si>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</si>
  <si>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</si>
  <si>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</si>
  <si>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</si>
  <si>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</si>
  <si>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</si>
  <si>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</si>
  <si>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</si>
  <si>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</si>
  <si>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</si>
  <si>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</si>
  <si>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</si>
  <si>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</si>
  <si>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</si>
  <si>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</si>
  <si>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</si>
  <si>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</si>
  <si>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</si>
  <si>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</si>
  <si>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</si>
  <si>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</si>
  <si>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</si>
  <si>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</si>
  <si>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</si>
  <si>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</si>
  <si>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</si>
  <si>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</si>
  <si>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</si>
  <si>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</si>
  <si>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</si>
  <si>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</si>
  <si>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</si>
  <si>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</si>
  <si>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</si>
  <si>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</si>
  <si>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</si>
  <si>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</si>
  <si>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</si>
  <si>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</si>
  <si>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</si>
  <si>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</si>
  <si>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</si>
  <si>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</si>
  <si>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</si>
  <si>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</si>
  <si>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</si>
  <si>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</si>
  <si>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</si>
  <si>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</si>
  <si>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</si>
  <si>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</si>
  <si>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</si>
  <si>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</si>
  <si>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</si>
  <si>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</si>
  <si>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</si>
  <si>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</si>
  <si>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</si>
  <si>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</si>
  <si>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</si>
  <si>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</si>
  <si>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</si>
  <si>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</si>
  <si>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</si>
  <si>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</si>
  <si>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</si>
  <si>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</si>
  <si>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</si>
  <si>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</si>
  <si>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</si>
  <si>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</si>
  <si>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</si>
  <si>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</si>
  <si>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</si>
  <si>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</si>
  <si>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</si>
  <si>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</si>
  <si>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</si>
  <si>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</si>
  <si>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</si>
  <si>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</si>
  <si>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</si>
  <si>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</si>
  <si>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</si>
  <si>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</si>
  <si>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</si>
  <si>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</si>
  <si>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</si>
  <si>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</si>
  <si>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</si>
  <si>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</si>
  <si>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</si>
  <si>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</si>
  <si>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</si>
  <si>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</si>
  <si>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</si>
  <si>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</si>
  <si>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</si>
  <si>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</si>
  <si>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</si>
  <si>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</si>
  <si>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</si>
  <si>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</si>
  <si>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</si>
  <si>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</si>
  <si>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</si>
  <si>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</si>
  <si>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</si>
  <si>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</si>
  <si>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</si>
  <si>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</si>
  <si>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</si>
  <si>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</si>
  <si>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</si>
  <si>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</si>
  <si>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</si>
  <si>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</si>
  <si>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</si>
  <si>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</si>
  <si>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</si>
  <si>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</si>
  <si>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</si>
  <si>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</si>
  <si>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</si>
  <si>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</si>
  <si>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</si>
  <si>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</si>
  <si>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</si>
  <si>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</si>
  <si>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</si>
  <si>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</si>
  <si>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</si>
  <si>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</si>
  <si>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</si>
  <si>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</si>
  <si>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</si>
  <si>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</si>
  <si>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</si>
  <si>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</si>
  <si>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</si>
  <si>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</si>
  <si>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</si>
  <si>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</si>
  <si>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</si>
  <si>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</si>
  <si>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</si>
  <si>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</si>
  <si>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</si>
  <si>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</si>
  <si>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</si>
  <si>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</si>
  <si>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</si>
  <si>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</si>
  <si>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</si>
  <si>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</si>
  <si>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</si>
  <si>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</si>
  <si>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</si>
  <si>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</si>
  <si>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</si>
  <si>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</si>
  <si>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</si>
  <si>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</si>
  <si>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</si>
  <si>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</si>
  <si>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</si>
  <si>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</si>
  <si>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</si>
  <si>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</si>
  <si>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</si>
  <si>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</si>
  <si>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</si>
  <si>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</si>
  <si>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</si>
  <si>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</si>
  <si>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</si>
  <si>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</si>
  <si>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</si>
  <si>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</si>
  <si>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</si>
  <si>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</si>
  <si>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</si>
  <si>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</si>
  <si>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</si>
  <si>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</si>
  <si>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</si>
  <si>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</si>
  <si>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</si>
  <si>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</si>
  <si>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</si>
  <si>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</si>
  <si>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</si>
  <si>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</si>
  <si>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</si>
  <si>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</si>
  <si>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</si>
  <si>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</si>
  <si>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</si>
  <si>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</si>
  <si>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</si>
  <si>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</si>
  <si>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</si>
  <si>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</si>
  <si>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</si>
  <si>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</si>
  <si>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</si>
  <si>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</si>
  <si>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</si>
  <si>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</si>
  <si>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</si>
  <si>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</si>
  <si>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</si>
  <si>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</si>
  <si>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</si>
  <si>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</si>
  <si>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</si>
  <si>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</si>
  <si>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</si>
  <si>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</si>
  <si>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</si>
  <si>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</si>
  <si>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</si>
  <si>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</si>
  <si>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</si>
  <si>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</si>
  <si>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</si>
  <si>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</si>
  <si>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</si>
  <si>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</si>
  <si>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</si>
  <si>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</si>
  <si>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</si>
  <si>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</si>
  <si>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</si>
  <si>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</si>
  <si>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</si>
  <si>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</si>
  <si>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</si>
  <si>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</si>
  <si>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</si>
  <si>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</si>
  <si>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</si>
  <si>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</si>
  <si>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</si>
  <si>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</si>
  <si>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</si>
  <si>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</si>
  <si>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</si>
  <si>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</si>
  <si>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</si>
  <si>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</si>
  <si>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</si>
  <si>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</si>
  <si>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</si>
  <si>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</si>
  <si>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</si>
  <si>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</si>
  <si>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</si>
  <si>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</si>
  <si>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</si>
  <si>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</si>
  <si>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</si>
  <si>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</si>
  <si>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</si>
  <si>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</si>
  <si>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</si>
  <si>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</si>
  <si>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</si>
  <si>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</si>
  <si>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</si>
  <si>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</si>
  <si>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</si>
  <si>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</si>
  <si>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</si>
  <si>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</si>
  <si>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</si>
  <si>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</si>
  <si>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</si>
  <si>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</si>
  <si>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</si>
  <si>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</si>
  <si>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</si>
  <si>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</si>
  <si>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</si>
  <si>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</si>
  <si>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</si>
  <si>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</si>
  <si>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</si>
  <si>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</si>
  <si>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</si>
  <si>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</si>
  <si>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</si>
  <si>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</si>
  <si>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</si>
  <si>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</si>
  <si>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</si>
  <si>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</si>
  <si>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</si>
  <si>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</si>
  <si>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</si>
  <si>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</si>
  <si>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</si>
  <si>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</si>
  <si>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</si>
  <si>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</si>
  <si>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</si>
  <si>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</si>
  <si>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</si>
  <si>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</si>
  <si>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</si>
  <si>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</si>
  <si>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</si>
  <si>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</si>
  <si>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</si>
  <si>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</si>
  <si>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</si>
  <si>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</si>
  <si>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</si>
  <si>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</si>
  <si>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</si>
  <si>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</si>
  <si>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</si>
  <si>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</si>
  <si>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</si>
  <si>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</si>
  <si>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</si>
  <si>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</si>
  <si>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</si>
  <si>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</si>
  <si>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</si>
  <si>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</si>
  <si>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</si>
  <si>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</si>
  <si>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</si>
  <si>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</si>
  <si>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</si>
  <si>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</si>
  <si>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</si>
  <si>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</si>
  <si>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</si>
  <si>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</si>
  <si>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</si>
  <si>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</si>
  <si>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</si>
  <si>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</si>
  <si>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</si>
  <si>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</si>
  <si>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</si>
  <si>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</si>
  <si>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</si>
  <si>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</si>
  <si>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</si>
  <si>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</si>
  <si>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</si>
  <si>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</si>
  <si>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</si>
  <si>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</si>
  <si>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</si>
  <si>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</si>
  <si>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</si>
  <si>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</si>
  <si>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</si>
  <si>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</si>
  <si>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</si>
  <si>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</si>
  <si>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</si>
  <si>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</si>
  <si>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</si>
  <si>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</si>
  <si>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</si>
  <si>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</si>
  <si>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</si>
  <si>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</si>
  <si>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</si>
  <si>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</si>
  <si>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</si>
  <si>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</si>
  <si>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</si>
  <si>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</si>
  <si>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</si>
  <si>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</si>
  <si>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</si>
  <si>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</si>
  <si>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</si>
  <si>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</si>
  <si>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</si>
  <si>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</si>
  <si>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</si>
  <si>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</si>
  <si>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</si>
  <si>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</si>
  <si>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</si>
  <si>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</si>
  <si>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</si>
  <si>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</si>
  <si>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</si>
  <si>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</si>
  <si>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</si>
  <si>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</si>
  <si>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</si>
  <si>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</si>
  <si>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</si>
  <si>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</si>
  <si>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</si>
  <si>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</si>
  <si>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</si>
  <si>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</si>
  <si>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</si>
  <si>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</si>
  <si>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</si>
  <si>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</si>
  <si>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</si>
  <si>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</si>
  <si>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</si>
  <si>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</si>
  <si>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</si>
  <si>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</si>
  <si>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</si>
  <si>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</si>
  <si>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</si>
  <si>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</si>
  <si>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</si>
  <si>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</si>
  <si>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</si>
  <si>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</si>
  <si>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</si>
  <si>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</si>
  <si>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</si>
  <si>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</si>
  <si>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</si>
  <si>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</si>
  <si>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</si>
  <si>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</si>
  <si>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</si>
  <si>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</si>
  <si>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</si>
  <si>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</si>
  <si>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</si>
  <si>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</si>
  <si>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</si>
  <si>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</si>
  <si>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</si>
  <si>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</si>
  <si>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43014</t>
  </si>
  <si>
    <t>SINT-LAUREINS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</si>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</sst>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68159.301946185107</c:v>
                </c:pt>
                <c:pt idx="1">
                  <c:v>16644.644271066463</c:v>
                </c:pt>
                <c:pt idx="2">
                  <c:v>645.96500000000003</c:v>
                </c:pt>
                <c:pt idx="3">
                  <c:v>23167.875846107054</c:v>
                </c:pt>
                <c:pt idx="4">
                  <c:v>3582.0515664218638</c:v>
                </c:pt>
                <c:pt idx="5">
                  <c:v>40482.868605857133</c:v>
                </c:pt>
                <c:pt idx="6">
                  <c:v>225.33967707092728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0097408"/>
        <c:axId val="180098944"/>
      </c:barChart>
      <c:catAx>
        <c:axId val="180097408"/>
        <c:scaling>
          <c:orientation val="minMax"/>
        </c:scaling>
        <c:axPos val="b"/>
        <c:numFmt formatCode="General" sourceLinked="0"/>
        <c:tickLblPos val="nextTo"/>
        <c:crossAx val="180098944"/>
        <c:crosses val="autoZero"/>
        <c:auto val="1"/>
        <c:lblAlgn val="ctr"/>
        <c:lblOffset val="100"/>
      </c:catAx>
      <c:valAx>
        <c:axId val="180098944"/>
        <c:scaling>
          <c:orientation val="minMax"/>
        </c:scaling>
        <c:axPos val="l"/>
        <c:majorGridlines/>
        <c:numFmt formatCode="#,##0" sourceLinked="1"/>
        <c:tickLblPos val="nextTo"/>
        <c:crossAx val="1800974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68159.301946185107</c:v>
                </c:pt>
                <c:pt idx="1">
                  <c:v>16644.644271066463</c:v>
                </c:pt>
                <c:pt idx="2">
                  <c:v>645.96500000000003</c:v>
                </c:pt>
                <c:pt idx="3">
                  <c:v>23167.875846107054</c:v>
                </c:pt>
                <c:pt idx="4">
                  <c:v>3582.0515664218638</c:v>
                </c:pt>
                <c:pt idx="5">
                  <c:v>40482.868605857133</c:v>
                </c:pt>
                <c:pt idx="6">
                  <c:v>225.33967707092728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13574.504188627288</c:v>
                </c:pt>
                <c:pt idx="2">
                  <c:v>3322.4260679770978</c:v>
                </c:pt>
                <c:pt idx="3">
                  <c:v>131.216166902298</c:v>
                </c:pt>
                <c:pt idx="4">
                  <c:v>5909.1887585055838</c:v>
                </c:pt>
                <c:pt idx="5">
                  <c:v>700.52592591401981</c:v>
                </c:pt>
                <c:pt idx="6">
                  <c:v>10233.987424326939</c:v>
                </c:pt>
                <c:pt idx="7">
                  <c:v>57.603907133376424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448256"/>
        <c:axId val="180495104"/>
      </c:barChart>
      <c:catAx>
        <c:axId val="180448256"/>
        <c:scaling>
          <c:orientation val="minMax"/>
        </c:scaling>
        <c:axPos val="b"/>
        <c:numFmt formatCode="General" sourceLinked="0"/>
        <c:tickLblPos val="nextTo"/>
        <c:crossAx val="180495104"/>
        <c:crosses val="autoZero"/>
        <c:auto val="1"/>
        <c:lblAlgn val="ctr"/>
        <c:lblOffset val="100"/>
      </c:catAx>
      <c:valAx>
        <c:axId val="180495104"/>
        <c:scaling>
          <c:orientation val="minMax"/>
        </c:scaling>
        <c:axPos val="l"/>
        <c:majorGridlines/>
        <c:numFmt formatCode="#,##0" sourceLinked="1"/>
        <c:tickLblPos val="nextTo"/>
        <c:crossAx val="18044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13574.504188627288</c:v>
                </c:pt>
                <c:pt idx="2">
                  <c:v>3322.4260679770978</c:v>
                </c:pt>
                <c:pt idx="3">
                  <c:v>131.216166902298</c:v>
                </c:pt>
                <c:pt idx="4">
                  <c:v>5909.1887585055838</c:v>
                </c:pt>
                <c:pt idx="5">
                  <c:v>700.52592591401981</c:v>
                </c:pt>
                <c:pt idx="6">
                  <c:v>10233.987424326939</c:v>
                </c:pt>
                <c:pt idx="7">
                  <c:v>57.603907133376424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43014</v>
      </c>
      <c r="B6" s="398"/>
      <c r="C6" s="399"/>
    </row>
    <row r="7" spans="1:7" s="396" customFormat="1" ht="15.75" customHeight="1">
      <c r="A7" s="400" t="str">
        <f>txtMunicipality</f>
        <v>SINT-LAUREINS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5915.5894646719335</v>
      </c>
      <c r="D10" s="690">
        <f ca="1">tertiair!C16</f>
        <v>0</v>
      </c>
      <c r="E10" s="690">
        <f ca="1">tertiair!D16</f>
        <v>9537.901838813119</v>
      </c>
      <c r="F10" s="690">
        <f>tertiair!E16</f>
        <v>95.723656622652982</v>
      </c>
      <c r="G10" s="690">
        <f ca="1">tertiair!F16</f>
        <v>1137.1207222245903</v>
      </c>
      <c r="H10" s="690">
        <f>tertiair!G16</f>
        <v>0</v>
      </c>
      <c r="I10" s="690">
        <f>tertiair!H16</f>
        <v>0</v>
      </c>
      <c r="J10" s="690">
        <f>tertiair!I16</f>
        <v>0</v>
      </c>
      <c r="K10" s="690">
        <f>tertiair!J16</f>
        <v>0</v>
      </c>
      <c r="L10" s="690">
        <f>tertiair!K16</f>
        <v>0</v>
      </c>
      <c r="M10" s="690">
        <f ca="1">tertiair!L16</f>
        <v>0</v>
      </c>
      <c r="N10" s="690">
        <f>tertiair!M16</f>
        <v>0</v>
      </c>
      <c r="O10" s="690">
        <f ca="1">tertiair!N16</f>
        <v>563.01358873416461</v>
      </c>
      <c r="P10" s="690">
        <f>tertiair!O16</f>
        <v>3.1266666666666669</v>
      </c>
      <c r="Q10" s="691">
        <f>tertiair!P16</f>
        <v>38.133333333333333</v>
      </c>
      <c r="R10" s="693">
        <f ca="1">SUM(C10:Q10)</f>
        <v>17290.609271066463</v>
      </c>
      <c r="S10" s="67"/>
    </row>
    <row r="11" spans="1:19" s="458" customFormat="1">
      <c r="A11" s="805" t="s">
        <v>225</v>
      </c>
      <c r="B11" s="810"/>
      <c r="C11" s="690">
        <f>huishoudens!B8</f>
        <v>14277.0907084112</v>
      </c>
      <c r="D11" s="690">
        <f>huishoudens!C8</f>
        <v>0</v>
      </c>
      <c r="E11" s="690">
        <f>huishoudens!D8</f>
        <v>21804.570789333655</v>
      </c>
      <c r="F11" s="690">
        <f>huishoudens!E8</f>
        <v>7002.7664670668919</v>
      </c>
      <c r="G11" s="690">
        <f>huishoudens!F8</f>
        <v>11854.489021577372</v>
      </c>
      <c r="H11" s="690">
        <f>huishoudens!G8</f>
        <v>0</v>
      </c>
      <c r="I11" s="690">
        <f>huishoudens!H8</f>
        <v>0</v>
      </c>
      <c r="J11" s="690">
        <f>huishoudens!I8</f>
        <v>0</v>
      </c>
      <c r="K11" s="690">
        <f>huishoudens!J8</f>
        <v>4279.8594425534675</v>
      </c>
      <c r="L11" s="690">
        <f>huishoudens!K8</f>
        <v>0</v>
      </c>
      <c r="M11" s="690">
        <f>huishoudens!L8</f>
        <v>0</v>
      </c>
      <c r="N11" s="690">
        <f>huishoudens!M8</f>
        <v>0</v>
      </c>
      <c r="O11" s="690">
        <f>huishoudens!N8</f>
        <v>8517.5955172425347</v>
      </c>
      <c r="P11" s="690">
        <f>huishoudens!O8</f>
        <v>79.73</v>
      </c>
      <c r="Q11" s="691">
        <f>huishoudens!P8</f>
        <v>343.2</v>
      </c>
      <c r="R11" s="693">
        <f>SUM(C11:Q11)</f>
        <v>68159.301946185107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1702.5830429669459</v>
      </c>
      <c r="D13" s="690">
        <f>industrie!C18</f>
        <v>0</v>
      </c>
      <c r="E13" s="690">
        <f>industrie!D18</f>
        <v>783.75010521417767</v>
      </c>
      <c r="F13" s="690">
        <f>industrie!E18</f>
        <v>195.38704571003842</v>
      </c>
      <c r="G13" s="690">
        <f>industrie!F18</f>
        <v>566.83061627443431</v>
      </c>
      <c r="H13" s="690">
        <f>industrie!G18</f>
        <v>0</v>
      </c>
      <c r="I13" s="690">
        <f>industrie!H18</f>
        <v>0</v>
      </c>
      <c r="J13" s="690">
        <f>industrie!I18</f>
        <v>0</v>
      </c>
      <c r="K13" s="690">
        <f>industrie!J18</f>
        <v>1.8719212876528943</v>
      </c>
      <c r="L13" s="690">
        <f>industrie!K18</f>
        <v>0</v>
      </c>
      <c r="M13" s="690">
        <f>industrie!L18</f>
        <v>0</v>
      </c>
      <c r="N13" s="690">
        <f>industrie!M18</f>
        <v>0</v>
      </c>
      <c r="O13" s="690">
        <f>industrie!N18</f>
        <v>331.6288349686144</v>
      </c>
      <c r="P13" s="690">
        <f>industrie!O18</f>
        <v>0</v>
      </c>
      <c r="Q13" s="691">
        <f>industrie!P18</f>
        <v>0</v>
      </c>
      <c r="R13" s="693">
        <f>SUM(C13:Q13)</f>
        <v>3582.0515664218638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21895.26321605008</v>
      </c>
      <c r="D16" s="725">
        <f t="shared" ref="D16:R16" ca="1" si="0">SUM(D9:D15)</f>
        <v>0</v>
      </c>
      <c r="E16" s="725">
        <f t="shared" ca="1" si="0"/>
        <v>32126.222733360952</v>
      </c>
      <c r="F16" s="725">
        <f t="shared" si="0"/>
        <v>7293.8771693995832</v>
      </c>
      <c r="G16" s="725">
        <f t="shared" ca="1" si="0"/>
        <v>13558.440360076396</v>
      </c>
      <c r="H16" s="725">
        <f t="shared" si="0"/>
        <v>0</v>
      </c>
      <c r="I16" s="725">
        <f t="shared" si="0"/>
        <v>0</v>
      </c>
      <c r="J16" s="725">
        <f t="shared" si="0"/>
        <v>0</v>
      </c>
      <c r="K16" s="725">
        <f t="shared" si="0"/>
        <v>4281.7313638411206</v>
      </c>
      <c r="L16" s="725">
        <f t="shared" si="0"/>
        <v>0</v>
      </c>
      <c r="M16" s="725">
        <f t="shared" ca="1" si="0"/>
        <v>0</v>
      </c>
      <c r="N16" s="725">
        <f t="shared" si="0"/>
        <v>0</v>
      </c>
      <c r="O16" s="725">
        <f t="shared" ca="1" si="0"/>
        <v>9412.2379409453133</v>
      </c>
      <c r="P16" s="725">
        <f t="shared" si="0"/>
        <v>82.856666666666669</v>
      </c>
      <c r="Q16" s="725">
        <f t="shared" si="0"/>
        <v>381.33333333333331</v>
      </c>
      <c r="R16" s="725">
        <f t="shared" ca="1" si="0"/>
        <v>89031.962783673443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215.74497053699034</v>
      </c>
      <c r="I19" s="690">
        <f>transport!H54</f>
        <v>0</v>
      </c>
      <c r="J19" s="690">
        <f>transport!I54</f>
        <v>0</v>
      </c>
      <c r="K19" s="690">
        <f>transport!J54</f>
        <v>0</v>
      </c>
      <c r="L19" s="690">
        <f>transport!K54</f>
        <v>0</v>
      </c>
      <c r="M19" s="690">
        <f>transport!L54</f>
        <v>0</v>
      </c>
      <c r="N19" s="690">
        <f>transport!M54</f>
        <v>9.5947065339369537</v>
      </c>
      <c r="O19" s="690">
        <f>transport!N54</f>
        <v>0</v>
      </c>
      <c r="P19" s="690">
        <f>transport!O54</f>
        <v>0</v>
      </c>
      <c r="Q19" s="691">
        <f>transport!P54</f>
        <v>0</v>
      </c>
      <c r="R19" s="693">
        <f>SUM(C19:Q19)</f>
        <v>225.33967707092728</v>
      </c>
      <c r="S19" s="67"/>
    </row>
    <row r="20" spans="1:19" s="458" customFormat="1">
      <c r="A20" s="805" t="s">
        <v>307</v>
      </c>
      <c r="B20" s="810"/>
      <c r="C20" s="690">
        <f>transport!B14</f>
        <v>1.995806660808888</v>
      </c>
      <c r="D20" s="690">
        <f>transport!C14</f>
        <v>0</v>
      </c>
      <c r="E20" s="690">
        <f>transport!D14</f>
        <v>3.8966959641294658</v>
      </c>
      <c r="F20" s="690">
        <f>transport!E14</f>
        <v>116.33451470476247</v>
      </c>
      <c r="G20" s="690">
        <f>transport!F14</f>
        <v>0</v>
      </c>
      <c r="H20" s="690">
        <f>transport!G14</f>
        <v>32846.318442445561</v>
      </c>
      <c r="I20" s="690">
        <f>transport!H14</f>
        <v>5768.754701038717</v>
      </c>
      <c r="J20" s="690">
        <f>transport!I14</f>
        <v>0</v>
      </c>
      <c r="K20" s="690">
        <f>transport!J14</f>
        <v>0</v>
      </c>
      <c r="L20" s="690">
        <f>transport!K14</f>
        <v>0</v>
      </c>
      <c r="M20" s="690">
        <f>transport!L14</f>
        <v>0</v>
      </c>
      <c r="N20" s="690">
        <f>transport!M14</f>
        <v>1745.5684450431554</v>
      </c>
      <c r="O20" s="690">
        <f>transport!N14</f>
        <v>0</v>
      </c>
      <c r="P20" s="690">
        <f>transport!O14</f>
        <v>0</v>
      </c>
      <c r="Q20" s="691">
        <f>transport!P14</f>
        <v>0</v>
      </c>
      <c r="R20" s="693">
        <f>SUM(C20:Q20)</f>
        <v>40482.868605857133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1.995806660808888</v>
      </c>
      <c r="D22" s="808">
        <f t="shared" ref="D22:R22" si="1">SUM(D18:D21)</f>
        <v>0</v>
      </c>
      <c r="E22" s="808">
        <f t="shared" si="1"/>
        <v>3.8966959641294658</v>
      </c>
      <c r="F22" s="808">
        <f t="shared" si="1"/>
        <v>116.33451470476247</v>
      </c>
      <c r="G22" s="808">
        <f t="shared" si="1"/>
        <v>0</v>
      </c>
      <c r="H22" s="808">
        <f t="shared" si="1"/>
        <v>33062.063412982548</v>
      </c>
      <c r="I22" s="808">
        <f t="shared" si="1"/>
        <v>5768.754701038717</v>
      </c>
      <c r="J22" s="808">
        <f t="shared" si="1"/>
        <v>0</v>
      </c>
      <c r="K22" s="808">
        <f t="shared" si="1"/>
        <v>0</v>
      </c>
      <c r="L22" s="808">
        <f t="shared" si="1"/>
        <v>0</v>
      </c>
      <c r="M22" s="808">
        <f t="shared" si="1"/>
        <v>0</v>
      </c>
      <c r="N22" s="808">
        <f t="shared" si="1"/>
        <v>1755.1631515770923</v>
      </c>
      <c r="O22" s="808">
        <f t="shared" si="1"/>
        <v>0</v>
      </c>
      <c r="P22" s="808">
        <f t="shared" si="1"/>
        <v>0</v>
      </c>
      <c r="Q22" s="808">
        <f t="shared" si="1"/>
        <v>0</v>
      </c>
      <c r="R22" s="808">
        <f t="shared" si="1"/>
        <v>40708.208282928063</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4945.3513876895995</v>
      </c>
      <c r="D24" s="690">
        <f>+landbouw!C8</f>
        <v>0</v>
      </c>
      <c r="E24" s="690">
        <f>+landbouw!D8</f>
        <v>353.78085600850409</v>
      </c>
      <c r="F24" s="690">
        <f>+landbouw!E8</f>
        <v>62.317798392812975</v>
      </c>
      <c r="G24" s="690">
        <f>+landbouw!F8</f>
        <v>17062.701172078123</v>
      </c>
      <c r="H24" s="690">
        <f>+landbouw!G8</f>
        <v>0</v>
      </c>
      <c r="I24" s="690">
        <f>+landbouw!H8</f>
        <v>0</v>
      </c>
      <c r="J24" s="690">
        <f>+landbouw!I8</f>
        <v>0</v>
      </c>
      <c r="K24" s="690">
        <f>+landbouw!J8</f>
        <v>743.72463193801514</v>
      </c>
      <c r="L24" s="690">
        <f>+landbouw!K8</f>
        <v>0</v>
      </c>
      <c r="M24" s="690">
        <f>+landbouw!L8</f>
        <v>0</v>
      </c>
      <c r="N24" s="690">
        <f>+landbouw!M8</f>
        <v>0</v>
      </c>
      <c r="O24" s="690">
        <f>+landbouw!N8</f>
        <v>0</v>
      </c>
      <c r="P24" s="690">
        <f>+landbouw!O8</f>
        <v>0</v>
      </c>
      <c r="Q24" s="691">
        <f>+landbouw!P8</f>
        <v>0</v>
      </c>
      <c r="R24" s="693">
        <f>SUM(C24:Q24)</f>
        <v>23167.875846107054</v>
      </c>
      <c r="S24" s="67"/>
    </row>
    <row r="25" spans="1:19" s="458" customFormat="1" ht="15" thickBot="1">
      <c r="A25" s="827" t="s">
        <v>872</v>
      </c>
      <c r="B25" s="1004"/>
      <c r="C25" s="1005">
        <f>IF(Onbekend_ele_kWh="---",0,Onbekend_ele_kWh)/1000+IF(REST_rest_ele_kWh="---",0,REST_rest_ele_kWh)/1000</f>
        <v>649.63833421846095</v>
      </c>
      <c r="D25" s="1005"/>
      <c r="E25" s="1005">
        <f>IF(onbekend_gas_kWh="---",0,onbekend_gas_kWh)/1000+IF(REST_rest_gas_kWh="---",0,REST_rest_gas_kWh)/1000</f>
        <v>837.61311312801899</v>
      </c>
      <c r="F25" s="1005"/>
      <c r="G25" s="1005"/>
      <c r="H25" s="1005"/>
      <c r="I25" s="1005"/>
      <c r="J25" s="1005"/>
      <c r="K25" s="1005"/>
      <c r="L25" s="1005"/>
      <c r="M25" s="1005"/>
      <c r="N25" s="1005"/>
      <c r="O25" s="1005"/>
      <c r="P25" s="1005"/>
      <c r="Q25" s="1006"/>
      <c r="R25" s="693">
        <f>SUM(C25:Q25)</f>
        <v>1487.2514473464798</v>
      </c>
      <c r="S25" s="67"/>
    </row>
    <row r="26" spans="1:19" s="458" customFormat="1" ht="15.75" thickBot="1">
      <c r="A26" s="698" t="s">
        <v>873</v>
      </c>
      <c r="B26" s="813"/>
      <c r="C26" s="808">
        <f>SUM(C24:C25)</f>
        <v>5594.9897219080603</v>
      </c>
      <c r="D26" s="808">
        <f t="shared" ref="D26:R26" si="2">SUM(D24:D25)</f>
        <v>0</v>
      </c>
      <c r="E26" s="808">
        <f t="shared" si="2"/>
        <v>1191.3939691365231</v>
      </c>
      <c r="F26" s="808">
        <f t="shared" si="2"/>
        <v>62.317798392812975</v>
      </c>
      <c r="G26" s="808">
        <f t="shared" si="2"/>
        <v>17062.701172078123</v>
      </c>
      <c r="H26" s="808">
        <f t="shared" si="2"/>
        <v>0</v>
      </c>
      <c r="I26" s="808">
        <f t="shared" si="2"/>
        <v>0</v>
      </c>
      <c r="J26" s="808">
        <f t="shared" si="2"/>
        <v>0</v>
      </c>
      <c r="K26" s="808">
        <f t="shared" si="2"/>
        <v>743.72463193801514</v>
      </c>
      <c r="L26" s="808">
        <f t="shared" si="2"/>
        <v>0</v>
      </c>
      <c r="M26" s="808">
        <f t="shared" si="2"/>
        <v>0</v>
      </c>
      <c r="N26" s="808">
        <f t="shared" si="2"/>
        <v>0</v>
      </c>
      <c r="O26" s="808">
        <f t="shared" si="2"/>
        <v>0</v>
      </c>
      <c r="P26" s="808">
        <f t="shared" si="2"/>
        <v>0</v>
      </c>
      <c r="Q26" s="808">
        <f t="shared" si="2"/>
        <v>0</v>
      </c>
      <c r="R26" s="808">
        <f t="shared" si="2"/>
        <v>24655.127293453534</v>
      </c>
      <c r="S26" s="67"/>
    </row>
    <row r="27" spans="1:19" s="458" customFormat="1" ht="17.25" thickTop="1" thickBot="1">
      <c r="A27" s="699" t="s">
        <v>116</v>
      </c>
      <c r="B27" s="800"/>
      <c r="C27" s="700">
        <f ca="1">C22+C16+C26</f>
        <v>27492.248744618948</v>
      </c>
      <c r="D27" s="700">
        <f t="shared" ref="D27:R27" ca="1" si="3">D22+D16+D26</f>
        <v>0</v>
      </c>
      <c r="E27" s="700">
        <f t="shared" ca="1" si="3"/>
        <v>33321.513398461604</v>
      </c>
      <c r="F27" s="700">
        <f t="shared" si="3"/>
        <v>7472.5294824971579</v>
      </c>
      <c r="G27" s="700">
        <f t="shared" ca="1" si="3"/>
        <v>30621.141532154521</v>
      </c>
      <c r="H27" s="700">
        <f t="shared" si="3"/>
        <v>33062.063412982548</v>
      </c>
      <c r="I27" s="700">
        <f t="shared" si="3"/>
        <v>5768.754701038717</v>
      </c>
      <c r="J27" s="700">
        <f t="shared" si="3"/>
        <v>0</v>
      </c>
      <c r="K27" s="700">
        <f t="shared" si="3"/>
        <v>5025.4559957791353</v>
      </c>
      <c r="L27" s="700">
        <f t="shared" si="3"/>
        <v>0</v>
      </c>
      <c r="M27" s="700">
        <f t="shared" ca="1" si="3"/>
        <v>0</v>
      </c>
      <c r="N27" s="700">
        <f t="shared" si="3"/>
        <v>1755.1631515770923</v>
      </c>
      <c r="O27" s="700">
        <f t="shared" ca="1" si="3"/>
        <v>9412.2379409453133</v>
      </c>
      <c r="P27" s="700">
        <f t="shared" si="3"/>
        <v>82.856666666666669</v>
      </c>
      <c r="Q27" s="700">
        <f t="shared" si="3"/>
        <v>381.33333333333331</v>
      </c>
      <c r="R27" s="700">
        <f t="shared" ca="1" si="3"/>
        <v>154395.29836005502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1201.6455605518381</v>
      </c>
      <c r="D40" s="690">
        <f ca="1">tertiair!C20</f>
        <v>0</v>
      </c>
      <c r="E40" s="690">
        <f ca="1">tertiair!D20</f>
        <v>1926.6561714402501</v>
      </c>
      <c r="F40" s="690">
        <f>tertiair!E20</f>
        <v>21.729270053342226</v>
      </c>
      <c r="G40" s="690">
        <f ca="1">tertiair!F20</f>
        <v>303.61123283396563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3453.6422348793958</v>
      </c>
    </row>
    <row r="41" spans="1:18">
      <c r="A41" s="818" t="s">
        <v>225</v>
      </c>
      <c r="B41" s="825"/>
      <c r="C41" s="690">
        <f ca="1">huishoudens!B12</f>
        <v>2900.1340897326204</v>
      </c>
      <c r="D41" s="690">
        <f ca="1">huishoudens!C12</f>
        <v>0</v>
      </c>
      <c r="E41" s="690">
        <f>huishoudens!D12</f>
        <v>4404.5232994453982</v>
      </c>
      <c r="F41" s="690">
        <f>huishoudens!E12</f>
        <v>1589.6279880241846</v>
      </c>
      <c r="G41" s="690">
        <f>huishoudens!F12</f>
        <v>3165.1485687611585</v>
      </c>
      <c r="H41" s="690">
        <f>huishoudens!G12</f>
        <v>0</v>
      </c>
      <c r="I41" s="690">
        <f>huishoudens!H12</f>
        <v>0</v>
      </c>
      <c r="J41" s="690">
        <f>huishoudens!I12</f>
        <v>0</v>
      </c>
      <c r="K41" s="690">
        <f>huishoudens!J12</f>
        <v>1515.0702426639275</v>
      </c>
      <c r="L41" s="690">
        <f>huishoudens!K12</f>
        <v>0</v>
      </c>
      <c r="M41" s="690">
        <f>huishoudens!L12</f>
        <v>0</v>
      </c>
      <c r="N41" s="690">
        <f>huishoudens!M12</f>
        <v>0</v>
      </c>
      <c r="O41" s="690">
        <f>huishoudens!N12</f>
        <v>0</v>
      </c>
      <c r="P41" s="690">
        <f>huishoudens!O12</f>
        <v>0</v>
      </c>
      <c r="Q41" s="767">
        <f>huishoudens!P12</f>
        <v>0</v>
      </c>
      <c r="R41" s="846">
        <f t="shared" ca="1" si="4"/>
        <v>13574.504188627288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345.84911060347417</v>
      </c>
      <c r="D43" s="690">
        <f ca="1">industrie!C22</f>
        <v>0</v>
      </c>
      <c r="E43" s="690">
        <f>industrie!D22</f>
        <v>158.31752125326389</v>
      </c>
      <c r="F43" s="690">
        <f>industrie!E22</f>
        <v>44.352859376178721</v>
      </c>
      <c r="G43" s="690">
        <f>industrie!F22</f>
        <v>151.34377454527396</v>
      </c>
      <c r="H43" s="690">
        <f>industrie!G22</f>
        <v>0</v>
      </c>
      <c r="I43" s="690">
        <f>industrie!H22</f>
        <v>0</v>
      </c>
      <c r="J43" s="690">
        <f>industrie!I22</f>
        <v>0</v>
      </c>
      <c r="K43" s="690">
        <f>industrie!J22</f>
        <v>0.66266013582912453</v>
      </c>
      <c r="L43" s="690">
        <f>industrie!K22</f>
        <v>0</v>
      </c>
      <c r="M43" s="690">
        <f>industrie!L22</f>
        <v>0</v>
      </c>
      <c r="N43" s="690">
        <f>industrie!M22</f>
        <v>0</v>
      </c>
      <c r="O43" s="690">
        <f>industrie!N22</f>
        <v>0</v>
      </c>
      <c r="P43" s="690">
        <f>industrie!O22</f>
        <v>0</v>
      </c>
      <c r="Q43" s="767">
        <f>industrie!P22</f>
        <v>0</v>
      </c>
      <c r="R43" s="845">
        <f t="shared" ca="1" si="4"/>
        <v>700.52592591401981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4447.6287608879329</v>
      </c>
      <c r="D46" s="725">
        <f t="shared" ref="D46:Q46" ca="1" si="5">SUM(D39:D45)</f>
        <v>0</v>
      </c>
      <c r="E46" s="725">
        <f t="shared" ca="1" si="5"/>
        <v>6489.4969921389129</v>
      </c>
      <c r="F46" s="725">
        <f t="shared" si="5"/>
        <v>1655.7101174537054</v>
      </c>
      <c r="G46" s="725">
        <f t="shared" ca="1" si="5"/>
        <v>3620.1035761403978</v>
      </c>
      <c r="H46" s="725">
        <f t="shared" si="5"/>
        <v>0</v>
      </c>
      <c r="I46" s="725">
        <f t="shared" si="5"/>
        <v>0</v>
      </c>
      <c r="J46" s="725">
        <f t="shared" si="5"/>
        <v>0</v>
      </c>
      <c r="K46" s="725">
        <f t="shared" si="5"/>
        <v>1515.7329027997566</v>
      </c>
      <c r="L46" s="725">
        <f t="shared" si="5"/>
        <v>0</v>
      </c>
      <c r="M46" s="725">
        <f t="shared" ca="1" si="5"/>
        <v>0</v>
      </c>
      <c r="N46" s="725">
        <f t="shared" si="5"/>
        <v>0</v>
      </c>
      <c r="O46" s="725">
        <f t="shared" ca="1" si="5"/>
        <v>0</v>
      </c>
      <c r="P46" s="725">
        <f t="shared" si="5"/>
        <v>0</v>
      </c>
      <c r="Q46" s="725">
        <f t="shared" si="5"/>
        <v>0</v>
      </c>
      <c r="R46" s="725">
        <f ca="1">SUM(R39:R45)</f>
        <v>17728.672349420704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57.603907133376424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57.603907133376424</v>
      </c>
    </row>
    <row r="50" spans="1:18">
      <c r="A50" s="821" t="s">
        <v>307</v>
      </c>
      <c r="B50" s="831"/>
      <c r="C50" s="696">
        <f ca="1">transport!B18</f>
        <v>0.40541221259575538</v>
      </c>
      <c r="D50" s="696">
        <f>transport!C18</f>
        <v>0</v>
      </c>
      <c r="E50" s="696">
        <f>transport!D18</f>
        <v>0.78713258475415215</v>
      </c>
      <c r="F50" s="696">
        <f>transport!E18</f>
        <v>26.407934837981081</v>
      </c>
      <c r="G50" s="696">
        <f>transport!F18</f>
        <v>0</v>
      </c>
      <c r="H50" s="696">
        <f>transport!G18</f>
        <v>8769.9670241329659</v>
      </c>
      <c r="I50" s="696">
        <f>transport!H18</f>
        <v>1436.4199205586406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10233.987424326939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0.40541221259575538</v>
      </c>
      <c r="D52" s="725">
        <f t="shared" ref="D52:Q52" ca="1" si="6">SUM(D48:D51)</f>
        <v>0</v>
      </c>
      <c r="E52" s="725">
        <f t="shared" si="6"/>
        <v>0.78713258475415215</v>
      </c>
      <c r="F52" s="725">
        <f t="shared" si="6"/>
        <v>26.407934837981081</v>
      </c>
      <c r="G52" s="725">
        <f t="shared" si="6"/>
        <v>0</v>
      </c>
      <c r="H52" s="725">
        <f t="shared" si="6"/>
        <v>8827.5709312663421</v>
      </c>
      <c r="I52" s="725">
        <f t="shared" si="6"/>
        <v>1436.4199205586406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10291.591331460315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1004.5591527057805</v>
      </c>
      <c r="D54" s="696">
        <f ca="1">+landbouw!C12</f>
        <v>0</v>
      </c>
      <c r="E54" s="696">
        <f>+landbouw!D12</f>
        <v>71.463732913717834</v>
      </c>
      <c r="F54" s="696">
        <f>+landbouw!E12</f>
        <v>14.146140235168545</v>
      </c>
      <c r="G54" s="696">
        <f>+landbouw!F12</f>
        <v>4555.7412129448594</v>
      </c>
      <c r="H54" s="696">
        <f>+landbouw!G12</f>
        <v>0</v>
      </c>
      <c r="I54" s="696">
        <f>+landbouw!H12</f>
        <v>0</v>
      </c>
      <c r="J54" s="696">
        <f>+landbouw!I12</f>
        <v>0</v>
      </c>
      <c r="K54" s="696">
        <f>+landbouw!J12</f>
        <v>263.27851970605735</v>
      </c>
      <c r="L54" s="696">
        <f>+landbouw!K12</f>
        <v>0</v>
      </c>
      <c r="M54" s="696">
        <f>+landbouw!L12</f>
        <v>0</v>
      </c>
      <c r="N54" s="696">
        <f>+landbouw!M12</f>
        <v>0</v>
      </c>
      <c r="O54" s="696">
        <f>+landbouw!N12</f>
        <v>0</v>
      </c>
      <c r="P54" s="696">
        <f>+landbouw!O12</f>
        <v>0</v>
      </c>
      <c r="Q54" s="697">
        <f>+landbouw!P12</f>
        <v>0</v>
      </c>
      <c r="R54" s="724">
        <f ca="1">SUM(C54:Q54)</f>
        <v>5909.1887585055838</v>
      </c>
    </row>
    <row r="55" spans="1:18" ht="15" thickBot="1">
      <c r="A55" s="821" t="s">
        <v>872</v>
      </c>
      <c r="B55" s="831"/>
      <c r="C55" s="696">
        <f ca="1">C25*'EF ele_warmte'!B12</f>
        <v>131.96233865447886</v>
      </c>
      <c r="D55" s="696"/>
      <c r="E55" s="696">
        <f>E25*EF_CO2_aardgas</f>
        <v>169.19784885185985</v>
      </c>
      <c r="F55" s="696"/>
      <c r="G55" s="696"/>
      <c r="H55" s="696"/>
      <c r="I55" s="696"/>
      <c r="J55" s="696"/>
      <c r="K55" s="696"/>
      <c r="L55" s="696"/>
      <c r="M55" s="696"/>
      <c r="N55" s="696"/>
      <c r="O55" s="696"/>
      <c r="P55" s="696"/>
      <c r="Q55" s="697"/>
      <c r="R55" s="724">
        <f ca="1">SUM(C55:Q55)</f>
        <v>301.16018750633873</v>
      </c>
    </row>
    <row r="56" spans="1:18" ht="15.75" thickBot="1">
      <c r="A56" s="819" t="s">
        <v>873</v>
      </c>
      <c r="B56" s="832"/>
      <c r="C56" s="725">
        <f ca="1">SUM(C54:C55)</f>
        <v>1136.5214913602595</v>
      </c>
      <c r="D56" s="725">
        <f t="shared" ref="D56:Q56" ca="1" si="7">SUM(D54:D55)</f>
        <v>0</v>
      </c>
      <c r="E56" s="725">
        <f t="shared" si="7"/>
        <v>240.66158176557769</v>
      </c>
      <c r="F56" s="725">
        <f t="shared" si="7"/>
        <v>14.146140235168545</v>
      </c>
      <c r="G56" s="725">
        <f t="shared" si="7"/>
        <v>4555.7412129448594</v>
      </c>
      <c r="H56" s="725">
        <f t="shared" si="7"/>
        <v>0</v>
      </c>
      <c r="I56" s="725">
        <f t="shared" si="7"/>
        <v>0</v>
      </c>
      <c r="J56" s="725">
        <f t="shared" si="7"/>
        <v>0</v>
      </c>
      <c r="K56" s="725">
        <f t="shared" si="7"/>
        <v>263.27851970605735</v>
      </c>
      <c r="L56" s="725">
        <f t="shared" si="7"/>
        <v>0</v>
      </c>
      <c r="M56" s="725">
        <f t="shared" si="7"/>
        <v>0</v>
      </c>
      <c r="N56" s="725">
        <f t="shared" si="7"/>
        <v>0</v>
      </c>
      <c r="O56" s="725">
        <f t="shared" si="7"/>
        <v>0</v>
      </c>
      <c r="P56" s="725">
        <f t="shared" si="7"/>
        <v>0</v>
      </c>
      <c r="Q56" s="726">
        <f t="shared" si="7"/>
        <v>0</v>
      </c>
      <c r="R56" s="727">
        <f ca="1">SUM(R54:R55)</f>
        <v>6210.3489460119226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5584.5556644607877</v>
      </c>
      <c r="D61" s="733">
        <f t="shared" ref="D61:Q61" ca="1" si="8">D46+D52+D56</f>
        <v>0</v>
      </c>
      <c r="E61" s="733">
        <f t="shared" ca="1" si="8"/>
        <v>6730.9457064892449</v>
      </c>
      <c r="F61" s="733">
        <f t="shared" si="8"/>
        <v>1696.2641925268549</v>
      </c>
      <c r="G61" s="733">
        <f t="shared" ca="1" si="8"/>
        <v>8175.8447890852567</v>
      </c>
      <c r="H61" s="733">
        <f t="shared" si="8"/>
        <v>8827.5709312663421</v>
      </c>
      <c r="I61" s="733">
        <f t="shared" si="8"/>
        <v>1436.4199205586406</v>
      </c>
      <c r="J61" s="733">
        <f t="shared" si="8"/>
        <v>0</v>
      </c>
      <c r="K61" s="733">
        <f t="shared" si="8"/>
        <v>1779.0114225058139</v>
      </c>
      <c r="L61" s="733">
        <f t="shared" si="8"/>
        <v>0</v>
      </c>
      <c r="M61" s="733">
        <f t="shared" ca="1" si="8"/>
        <v>0</v>
      </c>
      <c r="N61" s="733">
        <f t="shared" si="8"/>
        <v>0</v>
      </c>
      <c r="O61" s="733">
        <f t="shared" ca="1" si="8"/>
        <v>0</v>
      </c>
      <c r="P61" s="733">
        <f t="shared" si="8"/>
        <v>0</v>
      </c>
      <c r="Q61" s="733">
        <f t="shared" si="8"/>
        <v>0</v>
      </c>
      <c r="R61" s="733">
        <f ca="1">R46+R52+R56</f>
        <v>34230.612626892944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0.20313200700084061</v>
      </c>
      <c r="D63" s="776">
        <f t="shared" ca="1" si="9"/>
        <v>0</v>
      </c>
      <c r="E63" s="1011">
        <f t="shared" ca="1" si="9"/>
        <v>0.20200000000000001</v>
      </c>
      <c r="F63" s="776">
        <f t="shared" si="9"/>
        <v>0.22700000000000001</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2222.7660999999998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2222.7660999999998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14277.0907084112</v>
      </c>
      <c r="C4" s="462">
        <f>huishoudens!C8</f>
        <v>0</v>
      </c>
      <c r="D4" s="462">
        <f>huishoudens!D8</f>
        <v>21804.570789333655</v>
      </c>
      <c r="E4" s="462">
        <f>huishoudens!E8</f>
        <v>7002.7664670668919</v>
      </c>
      <c r="F4" s="462">
        <f>huishoudens!F8</f>
        <v>11854.489021577372</v>
      </c>
      <c r="G4" s="462">
        <f>huishoudens!G8</f>
        <v>0</v>
      </c>
      <c r="H4" s="462">
        <f>huishoudens!H8</f>
        <v>0</v>
      </c>
      <c r="I4" s="462">
        <f>huishoudens!I8</f>
        <v>0</v>
      </c>
      <c r="J4" s="462">
        <f>huishoudens!J8</f>
        <v>4279.8594425534675</v>
      </c>
      <c r="K4" s="462">
        <f>huishoudens!K8</f>
        <v>0</v>
      </c>
      <c r="L4" s="462">
        <f>huishoudens!L8</f>
        <v>0</v>
      </c>
      <c r="M4" s="462">
        <f>huishoudens!M8</f>
        <v>0</v>
      </c>
      <c r="N4" s="462">
        <f>huishoudens!N8</f>
        <v>8517.5955172425347</v>
      </c>
      <c r="O4" s="462">
        <f>huishoudens!O8</f>
        <v>79.73</v>
      </c>
      <c r="P4" s="463">
        <f>huishoudens!P8</f>
        <v>343.2</v>
      </c>
      <c r="Q4" s="464">
        <f>SUM(B4:P4)</f>
        <v>68159.301946185107</v>
      </c>
    </row>
    <row r="5" spans="1:17">
      <c r="A5" s="461" t="s">
        <v>156</v>
      </c>
      <c r="B5" s="462">
        <f ca="1">tertiair!B16</f>
        <v>5269.6244646719333</v>
      </c>
      <c r="C5" s="462">
        <f ca="1">tertiair!C16</f>
        <v>0</v>
      </c>
      <c r="D5" s="462">
        <f ca="1">tertiair!D16</f>
        <v>9537.901838813119</v>
      </c>
      <c r="E5" s="462">
        <f>tertiair!E16</f>
        <v>95.723656622652982</v>
      </c>
      <c r="F5" s="462">
        <f ca="1">tertiair!F16</f>
        <v>1137.1207222245903</v>
      </c>
      <c r="G5" s="462">
        <f>tertiair!G16</f>
        <v>0</v>
      </c>
      <c r="H5" s="462">
        <f>tertiair!H16</f>
        <v>0</v>
      </c>
      <c r="I5" s="462">
        <f>tertiair!I16</f>
        <v>0</v>
      </c>
      <c r="J5" s="462">
        <f>tertiair!J16</f>
        <v>0</v>
      </c>
      <c r="K5" s="462">
        <f>tertiair!K16</f>
        <v>0</v>
      </c>
      <c r="L5" s="462">
        <f ca="1">tertiair!L16</f>
        <v>0</v>
      </c>
      <c r="M5" s="462">
        <f>tertiair!M16</f>
        <v>0</v>
      </c>
      <c r="N5" s="462">
        <f ca="1">tertiair!N16</f>
        <v>563.01358873416461</v>
      </c>
      <c r="O5" s="462">
        <f>tertiair!O16</f>
        <v>3.1266666666666669</v>
      </c>
      <c r="P5" s="463">
        <f>tertiair!P16</f>
        <v>38.133333333333333</v>
      </c>
      <c r="Q5" s="461">
        <f t="shared" ref="Q5:Q14" ca="1" si="0">SUM(B5:P5)</f>
        <v>16644.644271066463</v>
      </c>
    </row>
    <row r="6" spans="1:17">
      <c r="A6" s="461" t="s">
        <v>194</v>
      </c>
      <c r="B6" s="462">
        <f>'openbare verlichting'!B8</f>
        <v>645.96500000000003</v>
      </c>
      <c r="C6" s="462"/>
      <c r="D6" s="462"/>
      <c r="E6" s="462"/>
      <c r="F6" s="462"/>
      <c r="G6" s="462"/>
      <c r="H6" s="462"/>
      <c r="I6" s="462"/>
      <c r="J6" s="462"/>
      <c r="K6" s="462"/>
      <c r="L6" s="462"/>
      <c r="M6" s="462"/>
      <c r="N6" s="462"/>
      <c r="O6" s="462"/>
      <c r="P6" s="463"/>
      <c r="Q6" s="461">
        <f t="shared" si="0"/>
        <v>645.96500000000003</v>
      </c>
    </row>
    <row r="7" spans="1:17">
      <c r="A7" s="461" t="s">
        <v>112</v>
      </c>
      <c r="B7" s="462">
        <f>landbouw!B8</f>
        <v>4945.3513876895995</v>
      </c>
      <c r="C7" s="462">
        <f>landbouw!C8</f>
        <v>0</v>
      </c>
      <c r="D7" s="462">
        <f>landbouw!D8</f>
        <v>353.78085600850409</v>
      </c>
      <c r="E7" s="462">
        <f>landbouw!E8</f>
        <v>62.317798392812975</v>
      </c>
      <c r="F7" s="462">
        <f>landbouw!F8</f>
        <v>17062.701172078123</v>
      </c>
      <c r="G7" s="462">
        <f>landbouw!G8</f>
        <v>0</v>
      </c>
      <c r="H7" s="462">
        <f>landbouw!H8</f>
        <v>0</v>
      </c>
      <c r="I7" s="462">
        <f>landbouw!I8</f>
        <v>0</v>
      </c>
      <c r="J7" s="462">
        <f>landbouw!J8</f>
        <v>743.72463193801514</v>
      </c>
      <c r="K7" s="462">
        <f>landbouw!K8</f>
        <v>0</v>
      </c>
      <c r="L7" s="462">
        <f>landbouw!L8</f>
        <v>0</v>
      </c>
      <c r="M7" s="462">
        <f>landbouw!M8</f>
        <v>0</v>
      </c>
      <c r="N7" s="462">
        <f>landbouw!N8</f>
        <v>0</v>
      </c>
      <c r="O7" s="462">
        <f>landbouw!O8</f>
        <v>0</v>
      </c>
      <c r="P7" s="463">
        <f>landbouw!P8</f>
        <v>0</v>
      </c>
      <c r="Q7" s="461">
        <f t="shared" si="0"/>
        <v>23167.875846107054</v>
      </c>
    </row>
    <row r="8" spans="1:17">
      <c r="A8" s="461" t="s">
        <v>657</v>
      </c>
      <c r="B8" s="462">
        <f>industrie!B18</f>
        <v>1702.5830429669459</v>
      </c>
      <c r="C8" s="462">
        <f>industrie!C18</f>
        <v>0</v>
      </c>
      <c r="D8" s="462">
        <f>industrie!D18</f>
        <v>783.75010521417767</v>
      </c>
      <c r="E8" s="462">
        <f>industrie!E18</f>
        <v>195.38704571003842</v>
      </c>
      <c r="F8" s="462">
        <f>industrie!F18</f>
        <v>566.83061627443431</v>
      </c>
      <c r="G8" s="462">
        <f>industrie!G18</f>
        <v>0</v>
      </c>
      <c r="H8" s="462">
        <f>industrie!H18</f>
        <v>0</v>
      </c>
      <c r="I8" s="462">
        <f>industrie!I18</f>
        <v>0</v>
      </c>
      <c r="J8" s="462">
        <f>industrie!J18</f>
        <v>1.8719212876528943</v>
      </c>
      <c r="K8" s="462">
        <f>industrie!K18</f>
        <v>0</v>
      </c>
      <c r="L8" s="462">
        <f>industrie!L18</f>
        <v>0</v>
      </c>
      <c r="M8" s="462">
        <f>industrie!M18</f>
        <v>0</v>
      </c>
      <c r="N8" s="462">
        <f>industrie!N18</f>
        <v>331.6288349686144</v>
      </c>
      <c r="O8" s="462">
        <f>industrie!O18</f>
        <v>0</v>
      </c>
      <c r="P8" s="463">
        <f>industrie!P18</f>
        <v>0</v>
      </c>
      <c r="Q8" s="461">
        <f t="shared" si="0"/>
        <v>3582.0515664218638</v>
      </c>
    </row>
    <row r="9" spans="1:17" s="467" customFormat="1">
      <c r="A9" s="465" t="s">
        <v>574</v>
      </c>
      <c r="B9" s="466">
        <f>transport!B14</f>
        <v>1.995806660808888</v>
      </c>
      <c r="C9" s="466">
        <f>transport!C14</f>
        <v>0</v>
      </c>
      <c r="D9" s="466">
        <f>transport!D14</f>
        <v>3.8966959641294658</v>
      </c>
      <c r="E9" s="466">
        <f>transport!E14</f>
        <v>116.33451470476247</v>
      </c>
      <c r="F9" s="466">
        <f>transport!F14</f>
        <v>0</v>
      </c>
      <c r="G9" s="466">
        <f>transport!G14</f>
        <v>32846.318442445561</v>
      </c>
      <c r="H9" s="466">
        <f>transport!H14</f>
        <v>5768.754701038717</v>
      </c>
      <c r="I9" s="466">
        <f>transport!I14</f>
        <v>0</v>
      </c>
      <c r="J9" s="466">
        <f>transport!J14</f>
        <v>0</v>
      </c>
      <c r="K9" s="466">
        <f>transport!K14</f>
        <v>0</v>
      </c>
      <c r="L9" s="466">
        <f>transport!L14</f>
        <v>0</v>
      </c>
      <c r="M9" s="466">
        <f>transport!M14</f>
        <v>1745.5684450431554</v>
      </c>
      <c r="N9" s="466">
        <f>transport!N14</f>
        <v>0</v>
      </c>
      <c r="O9" s="466">
        <f>transport!O14</f>
        <v>0</v>
      </c>
      <c r="P9" s="466">
        <f>transport!P14</f>
        <v>0</v>
      </c>
      <c r="Q9" s="465">
        <f>SUM(B9:P9)</f>
        <v>40482.868605857133</v>
      </c>
    </row>
    <row r="10" spans="1:17">
      <c r="A10" s="461" t="s">
        <v>564</v>
      </c>
      <c r="B10" s="462">
        <f>transport!B54</f>
        <v>0</v>
      </c>
      <c r="C10" s="462">
        <f>transport!C54</f>
        <v>0</v>
      </c>
      <c r="D10" s="462">
        <f>transport!D54</f>
        <v>0</v>
      </c>
      <c r="E10" s="462">
        <f>transport!E54</f>
        <v>0</v>
      </c>
      <c r="F10" s="462">
        <f>transport!F54</f>
        <v>0</v>
      </c>
      <c r="G10" s="462">
        <f>transport!G54</f>
        <v>215.74497053699034</v>
      </c>
      <c r="H10" s="462">
        <f>transport!H54</f>
        <v>0</v>
      </c>
      <c r="I10" s="462">
        <f>transport!I54</f>
        <v>0</v>
      </c>
      <c r="J10" s="462">
        <f>transport!J54</f>
        <v>0</v>
      </c>
      <c r="K10" s="462">
        <f>transport!K54</f>
        <v>0</v>
      </c>
      <c r="L10" s="462">
        <f>transport!L54</f>
        <v>0</v>
      </c>
      <c r="M10" s="462">
        <f>transport!M54</f>
        <v>9.5947065339369537</v>
      </c>
      <c r="N10" s="462">
        <f>transport!N54</f>
        <v>0</v>
      </c>
      <c r="O10" s="462">
        <f>transport!O54</f>
        <v>0</v>
      </c>
      <c r="P10" s="463">
        <f>transport!P54</f>
        <v>0</v>
      </c>
      <c r="Q10" s="461">
        <f t="shared" si="0"/>
        <v>225.33967707092728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649.63833421846095</v>
      </c>
      <c r="C14" s="469"/>
      <c r="D14" s="469">
        <f>'SEAP template'!E25</f>
        <v>837.61311312801899</v>
      </c>
      <c r="E14" s="469"/>
      <c r="F14" s="469"/>
      <c r="G14" s="469"/>
      <c r="H14" s="469"/>
      <c r="I14" s="469"/>
      <c r="J14" s="469"/>
      <c r="K14" s="469"/>
      <c r="L14" s="469"/>
      <c r="M14" s="469"/>
      <c r="N14" s="469"/>
      <c r="O14" s="469"/>
      <c r="P14" s="470"/>
      <c r="Q14" s="461">
        <f t="shared" si="0"/>
        <v>1487.2514473464798</v>
      </c>
    </row>
    <row r="15" spans="1:17" s="474" customFormat="1">
      <c r="A15" s="471" t="s">
        <v>568</v>
      </c>
      <c r="B15" s="472">
        <f ca="1">SUM(B4:B14)</f>
        <v>27492.248744618944</v>
      </c>
      <c r="C15" s="472">
        <f t="shared" ref="C15:Q15" ca="1" si="1">SUM(C4:C14)</f>
        <v>0</v>
      </c>
      <c r="D15" s="472">
        <f t="shared" ca="1" si="1"/>
        <v>33321.513398461604</v>
      </c>
      <c r="E15" s="472">
        <f t="shared" si="1"/>
        <v>7472.5294824971579</v>
      </c>
      <c r="F15" s="472">
        <f t="shared" ca="1" si="1"/>
        <v>30621.141532154521</v>
      </c>
      <c r="G15" s="472">
        <f t="shared" si="1"/>
        <v>33062.063412982548</v>
      </c>
      <c r="H15" s="472">
        <f t="shared" si="1"/>
        <v>5768.754701038717</v>
      </c>
      <c r="I15" s="472">
        <f t="shared" si="1"/>
        <v>0</v>
      </c>
      <c r="J15" s="472">
        <f t="shared" si="1"/>
        <v>5025.4559957791353</v>
      </c>
      <c r="K15" s="472">
        <f t="shared" si="1"/>
        <v>0</v>
      </c>
      <c r="L15" s="472">
        <f t="shared" ca="1" si="1"/>
        <v>0</v>
      </c>
      <c r="M15" s="472">
        <f t="shared" si="1"/>
        <v>1755.1631515770923</v>
      </c>
      <c r="N15" s="472">
        <f t="shared" ca="1" si="1"/>
        <v>9412.2379409453133</v>
      </c>
      <c r="O15" s="472">
        <f t="shared" si="1"/>
        <v>82.856666666666669</v>
      </c>
      <c r="P15" s="472">
        <f t="shared" si="1"/>
        <v>381.33333333333331</v>
      </c>
      <c r="Q15" s="472">
        <f t="shared" ca="1" si="1"/>
        <v>154395.29836005502</v>
      </c>
    </row>
    <row r="17" spans="1:17">
      <c r="A17" s="475" t="s">
        <v>569</v>
      </c>
      <c r="B17" s="781">
        <f ca="1">huishoudens!B10</f>
        <v>0.20313200700084061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2900.1340897326204</v>
      </c>
      <c r="C22" s="462">
        <f t="shared" ref="C22:C32" ca="1" si="3">C4*$C$17</f>
        <v>0</v>
      </c>
      <c r="D22" s="462">
        <f t="shared" ref="D22:D32" si="4">D4*$D$17</f>
        <v>4404.5232994453982</v>
      </c>
      <c r="E22" s="462">
        <f t="shared" ref="E22:E32" si="5">E4*$E$17</f>
        <v>1589.6279880241846</v>
      </c>
      <c r="F22" s="462">
        <f t="shared" ref="F22:F32" si="6">F4*$F$17</f>
        <v>3165.1485687611585</v>
      </c>
      <c r="G22" s="462">
        <f t="shared" ref="G22:G32" si="7">G4*$G$17</f>
        <v>0</v>
      </c>
      <c r="H22" s="462">
        <f t="shared" ref="H22:H32" si="8">H4*$H$17</f>
        <v>0</v>
      </c>
      <c r="I22" s="462">
        <f t="shared" ref="I22:I32" si="9">I4*$I$17</f>
        <v>0</v>
      </c>
      <c r="J22" s="462">
        <f t="shared" ref="J22:J32" si="10">J4*$J$17</f>
        <v>1515.0702426639275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13574.504188627288</v>
      </c>
    </row>
    <row r="23" spans="1:17">
      <c r="A23" s="461" t="s">
        <v>156</v>
      </c>
      <c r="B23" s="462">
        <f t="shared" ca="1" si="2"/>
        <v>1070.4293936495401</v>
      </c>
      <c r="C23" s="462">
        <f t="shared" ca="1" si="3"/>
        <v>0</v>
      </c>
      <c r="D23" s="462">
        <f t="shared" ca="1" si="4"/>
        <v>1926.6561714402501</v>
      </c>
      <c r="E23" s="462">
        <f t="shared" si="5"/>
        <v>21.729270053342226</v>
      </c>
      <c r="F23" s="462">
        <f t="shared" ca="1" si="6"/>
        <v>303.61123283396563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3322.4260679770978</v>
      </c>
    </row>
    <row r="24" spans="1:17">
      <c r="A24" s="461" t="s">
        <v>194</v>
      </c>
      <c r="B24" s="462">
        <f t="shared" ca="1" si="2"/>
        <v>131.216166902298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131.216166902298</v>
      </c>
    </row>
    <row r="25" spans="1:17">
      <c r="A25" s="461" t="s">
        <v>112</v>
      </c>
      <c r="B25" s="462">
        <f t="shared" ca="1" si="2"/>
        <v>1004.5591527057805</v>
      </c>
      <c r="C25" s="462">
        <f t="shared" ca="1" si="3"/>
        <v>0</v>
      </c>
      <c r="D25" s="462">
        <f t="shared" si="4"/>
        <v>71.463732913717834</v>
      </c>
      <c r="E25" s="462">
        <f t="shared" si="5"/>
        <v>14.146140235168545</v>
      </c>
      <c r="F25" s="462">
        <f t="shared" si="6"/>
        <v>4555.7412129448594</v>
      </c>
      <c r="G25" s="462">
        <f t="shared" si="7"/>
        <v>0</v>
      </c>
      <c r="H25" s="462">
        <f t="shared" si="8"/>
        <v>0</v>
      </c>
      <c r="I25" s="462">
        <f t="shared" si="9"/>
        <v>0</v>
      </c>
      <c r="J25" s="462">
        <f t="shared" si="10"/>
        <v>263.27851970605735</v>
      </c>
      <c r="K25" s="462">
        <f t="shared" si="11"/>
        <v>0</v>
      </c>
      <c r="L25" s="462">
        <f t="shared" si="12"/>
        <v>0</v>
      </c>
      <c r="M25" s="462">
        <f t="shared" si="13"/>
        <v>0</v>
      </c>
      <c r="N25" s="462">
        <f t="shared" si="14"/>
        <v>0</v>
      </c>
      <c r="O25" s="462">
        <f t="shared" si="15"/>
        <v>0</v>
      </c>
      <c r="P25" s="463">
        <f t="shared" si="16"/>
        <v>0</v>
      </c>
      <c r="Q25" s="461">
        <f t="shared" ca="1" si="17"/>
        <v>5909.1887585055838</v>
      </c>
    </row>
    <row r="26" spans="1:17">
      <c r="A26" s="461" t="s">
        <v>657</v>
      </c>
      <c r="B26" s="462">
        <f t="shared" ca="1" si="2"/>
        <v>345.84911060347417</v>
      </c>
      <c r="C26" s="462">
        <f t="shared" ca="1" si="3"/>
        <v>0</v>
      </c>
      <c r="D26" s="462">
        <f t="shared" si="4"/>
        <v>158.31752125326389</v>
      </c>
      <c r="E26" s="462">
        <f t="shared" si="5"/>
        <v>44.352859376178721</v>
      </c>
      <c r="F26" s="462">
        <f t="shared" si="6"/>
        <v>151.34377454527396</v>
      </c>
      <c r="G26" s="462">
        <f t="shared" si="7"/>
        <v>0</v>
      </c>
      <c r="H26" s="462">
        <f t="shared" si="8"/>
        <v>0</v>
      </c>
      <c r="I26" s="462">
        <f t="shared" si="9"/>
        <v>0</v>
      </c>
      <c r="J26" s="462">
        <f t="shared" si="10"/>
        <v>0.66266013582912453</v>
      </c>
      <c r="K26" s="462">
        <f t="shared" si="11"/>
        <v>0</v>
      </c>
      <c r="L26" s="462">
        <f t="shared" si="12"/>
        <v>0</v>
      </c>
      <c r="M26" s="462">
        <f t="shared" si="13"/>
        <v>0</v>
      </c>
      <c r="N26" s="462">
        <f t="shared" si="14"/>
        <v>0</v>
      </c>
      <c r="O26" s="462">
        <f t="shared" si="15"/>
        <v>0</v>
      </c>
      <c r="P26" s="463">
        <f t="shared" si="16"/>
        <v>0</v>
      </c>
      <c r="Q26" s="461">
        <f t="shared" ca="1" si="17"/>
        <v>700.52592591401981</v>
      </c>
    </row>
    <row r="27" spans="1:17" s="467" customFormat="1">
      <c r="A27" s="465" t="s">
        <v>574</v>
      </c>
      <c r="B27" s="775">
        <f t="shared" ca="1" si="2"/>
        <v>0.40541221259575538</v>
      </c>
      <c r="C27" s="466">
        <f t="shared" ca="1" si="3"/>
        <v>0</v>
      </c>
      <c r="D27" s="466">
        <f t="shared" si="4"/>
        <v>0.78713258475415215</v>
      </c>
      <c r="E27" s="466">
        <f t="shared" si="5"/>
        <v>26.407934837981081</v>
      </c>
      <c r="F27" s="466">
        <f t="shared" si="6"/>
        <v>0</v>
      </c>
      <c r="G27" s="466">
        <f t="shared" si="7"/>
        <v>8769.9670241329659</v>
      </c>
      <c r="H27" s="466">
        <f t="shared" si="8"/>
        <v>1436.4199205586406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10233.987424326939</v>
      </c>
    </row>
    <row r="28" spans="1:17">
      <c r="A28" s="461" t="s">
        <v>564</v>
      </c>
      <c r="B28" s="462">
        <f t="shared" ca="1" si="2"/>
        <v>0</v>
      </c>
      <c r="C28" s="462">
        <f t="shared" ca="1" si="3"/>
        <v>0</v>
      </c>
      <c r="D28" s="462">
        <f t="shared" si="4"/>
        <v>0</v>
      </c>
      <c r="E28" s="462">
        <f t="shared" si="5"/>
        <v>0</v>
      </c>
      <c r="F28" s="462">
        <f t="shared" si="6"/>
        <v>0</v>
      </c>
      <c r="G28" s="462">
        <f t="shared" si="7"/>
        <v>57.603907133376424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57.603907133376424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131.96233865447886</v>
      </c>
      <c r="C32" s="462">
        <f t="shared" ca="1" si="3"/>
        <v>0</v>
      </c>
      <c r="D32" s="462">
        <f t="shared" si="4"/>
        <v>169.19784885185985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301.16018750633873</v>
      </c>
    </row>
    <row r="33" spans="1:17" s="474" customFormat="1">
      <c r="A33" s="471" t="s">
        <v>568</v>
      </c>
      <c r="B33" s="472">
        <f ca="1">SUM(B22:B32)</f>
        <v>5584.5556644607877</v>
      </c>
      <c r="C33" s="472">
        <f t="shared" ref="C33:Q33" ca="1" si="18">SUM(C22:C32)</f>
        <v>0</v>
      </c>
      <c r="D33" s="472">
        <f t="shared" ca="1" si="18"/>
        <v>6730.9457064892449</v>
      </c>
      <c r="E33" s="472">
        <f t="shared" si="18"/>
        <v>1696.2641925268549</v>
      </c>
      <c r="F33" s="472">
        <f t="shared" ca="1" si="18"/>
        <v>8175.8447890852567</v>
      </c>
      <c r="G33" s="472">
        <f t="shared" si="18"/>
        <v>8827.5709312663421</v>
      </c>
      <c r="H33" s="472">
        <f t="shared" si="18"/>
        <v>1436.4199205586406</v>
      </c>
      <c r="I33" s="472">
        <f t="shared" si="18"/>
        <v>0</v>
      </c>
      <c r="J33" s="472">
        <f t="shared" si="18"/>
        <v>1779.0114225058139</v>
      </c>
      <c r="K33" s="472">
        <f t="shared" si="18"/>
        <v>0</v>
      </c>
      <c r="L33" s="472">
        <f t="shared" ca="1" si="18"/>
        <v>0</v>
      </c>
      <c r="M33" s="472">
        <f t="shared" si="18"/>
        <v>0</v>
      </c>
      <c r="N33" s="472">
        <f t="shared" ca="1" si="18"/>
        <v>0</v>
      </c>
      <c r="O33" s="472">
        <f t="shared" si="18"/>
        <v>0</v>
      </c>
      <c r="P33" s="472">
        <f t="shared" si="18"/>
        <v>0</v>
      </c>
      <c r="Q33" s="472">
        <f t="shared" ca="1" si="18"/>
        <v>34230.612626892937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2222.7660999999998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2222.7660999999998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0.20313200700084061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0.20313200700084061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0.20313200700084061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0.20313200700084061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2824</v>
      </c>
      <c r="C9" s="338">
        <v>2825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6018</v>
      </c>
    </row>
    <row r="15" spans="1:6">
      <c r="A15" s="1295" t="s">
        <v>184</v>
      </c>
      <c r="B15" s="335">
        <v>47</v>
      </c>
    </row>
    <row r="16" spans="1:6">
      <c r="A16" s="1295" t="s">
        <v>6</v>
      </c>
      <c r="B16" s="335">
        <v>1859</v>
      </c>
    </row>
    <row r="17" spans="1:6">
      <c r="A17" s="1295" t="s">
        <v>7</v>
      </c>
      <c r="B17" s="335">
        <v>1781</v>
      </c>
    </row>
    <row r="18" spans="1:6">
      <c r="A18" s="1295" t="s">
        <v>8</v>
      </c>
      <c r="B18" s="335">
        <v>2918</v>
      </c>
    </row>
    <row r="19" spans="1:6">
      <c r="A19" s="1295" t="s">
        <v>9</v>
      </c>
      <c r="B19" s="335">
        <v>2710</v>
      </c>
    </row>
    <row r="20" spans="1:6">
      <c r="A20" s="1295" t="s">
        <v>10</v>
      </c>
      <c r="B20" s="335">
        <v>1573</v>
      </c>
    </row>
    <row r="21" spans="1:6">
      <c r="A21" s="1295" t="s">
        <v>11</v>
      </c>
      <c r="B21" s="335">
        <v>18293</v>
      </c>
    </row>
    <row r="22" spans="1:6">
      <c r="A22" s="1295" t="s">
        <v>12</v>
      </c>
      <c r="B22" s="335">
        <v>31489</v>
      </c>
    </row>
    <row r="23" spans="1:6">
      <c r="A23" s="1295" t="s">
        <v>13</v>
      </c>
      <c r="B23" s="335">
        <v>856</v>
      </c>
    </row>
    <row r="24" spans="1:6">
      <c r="A24" s="1295" t="s">
        <v>14</v>
      </c>
      <c r="B24" s="335">
        <v>45</v>
      </c>
    </row>
    <row r="25" spans="1:6">
      <c r="A25" s="1295" t="s">
        <v>15</v>
      </c>
      <c r="B25" s="335">
        <v>4039</v>
      </c>
    </row>
    <row r="26" spans="1:6">
      <c r="A26" s="1295" t="s">
        <v>16</v>
      </c>
      <c r="B26" s="335">
        <v>491</v>
      </c>
    </row>
    <row r="27" spans="1:6">
      <c r="A27" s="1295" t="s">
        <v>17</v>
      </c>
      <c r="B27" s="335">
        <v>4</v>
      </c>
    </row>
    <row r="28" spans="1:6" s="341" customFormat="1">
      <c r="A28" s="1296" t="s">
        <v>18</v>
      </c>
      <c r="B28" s="1296">
        <v>392411</v>
      </c>
    </row>
    <row r="29" spans="1:6">
      <c r="A29" s="1296" t="s">
        <v>906</v>
      </c>
      <c r="B29" s="1296">
        <v>179</v>
      </c>
      <c r="C29" s="341"/>
      <c r="D29" s="341"/>
      <c r="E29" s="341"/>
      <c r="F29" s="341"/>
    </row>
    <row r="30" spans="1:6">
      <c r="A30" s="1291" t="s">
        <v>907</v>
      </c>
      <c r="B30" s="1291">
        <v>36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27131.3957710943</v>
      </c>
    </row>
    <row r="37" spans="1:6">
      <c r="A37" s="1295" t="s">
        <v>25</v>
      </c>
      <c r="B37" s="1295" t="s">
        <v>28</v>
      </c>
      <c r="C37" s="335">
        <v>0</v>
      </c>
      <c r="D37" s="335">
        <v>0</v>
      </c>
      <c r="E37" s="335">
        <v>0</v>
      </c>
      <c r="F37" s="335">
        <v>0</v>
      </c>
    </row>
    <row r="38" spans="1:6">
      <c r="A38" s="1295" t="s">
        <v>25</v>
      </c>
      <c r="B38" s="1295" t="s">
        <v>29</v>
      </c>
      <c r="C38" s="335">
        <v>3</v>
      </c>
      <c r="D38" s="335">
        <v>12836.576996496</v>
      </c>
      <c r="E38" s="335">
        <v>1</v>
      </c>
      <c r="F38" s="335">
        <v>14.592006785400001</v>
      </c>
    </row>
    <row r="39" spans="1:6">
      <c r="A39" s="1295" t="s">
        <v>30</v>
      </c>
      <c r="B39" s="1295" t="s">
        <v>31</v>
      </c>
      <c r="C39" s="335">
        <v>1297</v>
      </c>
      <c r="D39" s="335">
        <v>24173581.806356601</v>
      </c>
      <c r="E39" s="335">
        <v>2593</v>
      </c>
      <c r="F39" s="335">
        <v>12575439.7084112</v>
      </c>
    </row>
    <row r="40" spans="1:6">
      <c r="A40" s="1295" t="s">
        <v>30</v>
      </c>
      <c r="B40" s="1295" t="s">
        <v>29</v>
      </c>
      <c r="C40" s="335">
        <v>0</v>
      </c>
      <c r="D40" s="335">
        <v>0</v>
      </c>
      <c r="E40" s="335">
        <v>0</v>
      </c>
      <c r="F40" s="335">
        <v>0</v>
      </c>
    </row>
    <row r="41" spans="1:6">
      <c r="A41" s="1295" t="s">
        <v>32</v>
      </c>
      <c r="B41" s="1295" t="s">
        <v>33</v>
      </c>
      <c r="C41" s="335">
        <v>21</v>
      </c>
      <c r="D41" s="335">
        <v>348195.275718124</v>
      </c>
      <c r="E41" s="335">
        <v>63</v>
      </c>
      <c r="F41" s="335">
        <v>571026.69173853297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24</v>
      </c>
      <c r="D48" s="335">
        <v>520707.27995169599</v>
      </c>
      <c r="E48" s="335">
        <v>47</v>
      </c>
      <c r="F48" s="335">
        <v>730345.438541868</v>
      </c>
    </row>
    <row r="49" spans="1:6">
      <c r="A49" s="1295" t="s">
        <v>32</v>
      </c>
      <c r="B49" s="1295" t="s">
        <v>40</v>
      </c>
      <c r="C49" s="335">
        <v>0</v>
      </c>
      <c r="D49" s="335">
        <v>0</v>
      </c>
      <c r="E49" s="335">
        <v>6</v>
      </c>
      <c r="F49" s="335">
        <v>401210.91268654499</v>
      </c>
    </row>
    <row r="50" spans="1:6">
      <c r="A50" s="1295" t="s">
        <v>32</v>
      </c>
      <c r="B50" s="1295" t="s">
        <v>41</v>
      </c>
      <c r="C50" s="335">
        <v>0</v>
      </c>
      <c r="D50" s="335">
        <v>0</v>
      </c>
      <c r="E50" s="335">
        <v>0</v>
      </c>
      <c r="F50" s="335">
        <v>0</v>
      </c>
    </row>
    <row r="51" spans="1:6">
      <c r="A51" s="1295" t="s">
        <v>42</v>
      </c>
      <c r="B51" s="1295" t="s">
        <v>43</v>
      </c>
      <c r="C51" s="335">
        <v>12</v>
      </c>
      <c r="D51" s="335">
        <v>285816.134020261</v>
      </c>
      <c r="E51" s="335">
        <v>186</v>
      </c>
      <c r="F51" s="335">
        <v>3162122.9492348898</v>
      </c>
    </row>
    <row r="52" spans="1:6">
      <c r="A52" s="1295" t="s">
        <v>42</v>
      </c>
      <c r="B52" s="1295" t="s">
        <v>29</v>
      </c>
      <c r="C52" s="335">
        <v>6</v>
      </c>
      <c r="D52" s="335">
        <v>106402.109891606</v>
      </c>
      <c r="E52" s="335">
        <v>26</v>
      </c>
      <c r="F52" s="335">
        <v>1783228.4384547099</v>
      </c>
    </row>
    <row r="53" spans="1:6">
      <c r="A53" s="1295" t="s">
        <v>44</v>
      </c>
      <c r="B53" s="1295" t="s">
        <v>45</v>
      </c>
      <c r="C53" s="335">
        <v>28</v>
      </c>
      <c r="D53" s="335">
        <v>837613.11312801903</v>
      </c>
      <c r="E53" s="335">
        <v>90</v>
      </c>
      <c r="F53" s="335">
        <v>649638.33421846095</v>
      </c>
    </row>
    <row r="54" spans="1:6">
      <c r="A54" s="1295" t="s">
        <v>46</v>
      </c>
      <c r="B54" s="1295" t="s">
        <v>47</v>
      </c>
      <c r="C54" s="335">
        <v>0</v>
      </c>
      <c r="D54" s="335">
        <v>0</v>
      </c>
      <c r="E54" s="335">
        <v>5</v>
      </c>
      <c r="F54" s="335">
        <v>645965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v>
      </c>
      <c r="D57" s="335">
        <v>75800.615731325597</v>
      </c>
      <c r="E57" s="335">
        <v>57</v>
      </c>
      <c r="F57" s="335">
        <v>478874.37736104202</v>
      </c>
    </row>
    <row r="58" spans="1:6">
      <c r="A58" s="1295" t="s">
        <v>49</v>
      </c>
      <c r="B58" s="1295" t="s">
        <v>51</v>
      </c>
      <c r="C58" s="335">
        <v>3</v>
      </c>
      <c r="D58" s="335">
        <v>110681.645547362</v>
      </c>
      <c r="E58" s="335">
        <v>3</v>
      </c>
      <c r="F58" s="335">
        <v>13557.6836425907</v>
      </c>
    </row>
    <row r="59" spans="1:6">
      <c r="A59" s="1295" t="s">
        <v>49</v>
      </c>
      <c r="B59" s="1295" t="s">
        <v>52</v>
      </c>
      <c r="C59" s="335">
        <v>0</v>
      </c>
      <c r="D59" s="335">
        <v>0</v>
      </c>
      <c r="E59" s="335">
        <v>19</v>
      </c>
      <c r="F59" s="335">
        <v>444631.411300259</v>
      </c>
    </row>
    <row r="60" spans="1:6">
      <c r="A60" s="1295" t="s">
        <v>49</v>
      </c>
      <c r="B60" s="1295" t="s">
        <v>53</v>
      </c>
      <c r="C60" s="335">
        <v>18</v>
      </c>
      <c r="D60" s="335">
        <v>766999.60922709503</v>
      </c>
      <c r="E60" s="335">
        <v>38</v>
      </c>
      <c r="F60" s="335">
        <v>889700.34509724705</v>
      </c>
    </row>
    <row r="61" spans="1:6">
      <c r="A61" s="1295" t="s">
        <v>49</v>
      </c>
      <c r="B61" s="1295" t="s">
        <v>54</v>
      </c>
      <c r="C61" s="335">
        <v>21</v>
      </c>
      <c r="D61" s="335">
        <v>2203731.3736663</v>
      </c>
      <c r="E61" s="335">
        <v>36</v>
      </c>
      <c r="F61" s="335">
        <v>561638.92144581303</v>
      </c>
    </row>
    <row r="62" spans="1:6">
      <c r="A62" s="1295" t="s">
        <v>49</v>
      </c>
      <c r="B62" s="1295" t="s">
        <v>55</v>
      </c>
      <c r="C62" s="335">
        <v>3</v>
      </c>
      <c r="D62" s="335">
        <v>173455.60301062901</v>
      </c>
      <c r="E62" s="335">
        <v>3</v>
      </c>
      <c r="F62" s="335">
        <v>13272.3902621118</v>
      </c>
    </row>
    <row r="63" spans="1:6">
      <c r="A63" s="1295" t="s">
        <v>49</v>
      </c>
      <c r="B63" s="1295" t="s">
        <v>29</v>
      </c>
      <c r="C63" s="335">
        <v>81</v>
      </c>
      <c r="D63" s="335">
        <v>7243501.7058251798</v>
      </c>
      <c r="E63" s="335">
        <v>154</v>
      </c>
      <c r="F63" s="335">
        <v>2867949.3355628699</v>
      </c>
    </row>
    <row r="64" spans="1:6">
      <c r="A64" s="1295" t="s">
        <v>56</v>
      </c>
      <c r="B64" s="1295" t="s">
        <v>57</v>
      </c>
      <c r="C64" s="335">
        <v>0</v>
      </c>
      <c r="D64" s="335">
        <v>0</v>
      </c>
      <c r="E64" s="335">
        <v>0</v>
      </c>
      <c r="F64" s="335">
        <v>0</v>
      </c>
    </row>
    <row r="65" spans="1:6">
      <c r="A65" s="1295" t="s">
        <v>56</v>
      </c>
      <c r="B65" s="1295" t="s">
        <v>29</v>
      </c>
      <c r="C65" s="335">
        <v>0</v>
      </c>
      <c r="D65" s="335">
        <v>0</v>
      </c>
      <c r="E65" s="335">
        <v>4</v>
      </c>
      <c r="F65" s="335">
        <v>62657.148202646298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18841480</v>
      </c>
      <c r="E73" s="335">
        <v>22756024.120253902</v>
      </c>
    </row>
    <row r="74" spans="1:6">
      <c r="A74" s="1295" t="s">
        <v>64</v>
      </c>
      <c r="B74" s="1295" t="s">
        <v>727</v>
      </c>
      <c r="C74" s="1295" t="s">
        <v>728</v>
      </c>
      <c r="D74" s="335">
        <v>3050390.9722333243</v>
      </c>
      <c r="E74" s="335">
        <v>3620743.2075349069</v>
      </c>
    </row>
    <row r="75" spans="1:6">
      <c r="A75" s="1295" t="s">
        <v>65</v>
      </c>
      <c r="B75" s="1295" t="s">
        <v>725</v>
      </c>
      <c r="C75" s="1295" t="s">
        <v>729</v>
      </c>
      <c r="D75" s="335">
        <v>17709114</v>
      </c>
      <c r="E75" s="335">
        <v>21170336.545826875</v>
      </c>
    </row>
    <row r="76" spans="1:6">
      <c r="A76" s="1295" t="s">
        <v>65</v>
      </c>
      <c r="B76" s="1295" t="s">
        <v>727</v>
      </c>
      <c r="C76" s="1295" t="s">
        <v>730</v>
      </c>
      <c r="D76" s="335">
        <v>1393263.9722333243</v>
      </c>
      <c r="E76" s="335">
        <v>1664581.4179835694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59532.055533351529</v>
      </c>
      <c r="C83" s="335">
        <v>59411.397627938895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1701.6510000000001</v>
      </c>
    </row>
    <row r="92" spans="1:6">
      <c r="A92" s="1291" t="s">
        <v>69</v>
      </c>
      <c r="B92" s="338">
        <v>521.11509999999998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689</v>
      </c>
    </row>
    <row r="98" spans="1:6">
      <c r="A98" s="1295" t="s">
        <v>72</v>
      </c>
      <c r="B98" s="335">
        <v>0</v>
      </c>
    </row>
    <row r="99" spans="1:6">
      <c r="A99" s="1295" t="s">
        <v>73</v>
      </c>
      <c r="B99" s="335">
        <v>225</v>
      </c>
    </row>
    <row r="100" spans="1:6">
      <c r="A100" s="1295" t="s">
        <v>74</v>
      </c>
      <c r="B100" s="335">
        <v>328</v>
      </c>
    </row>
    <row r="101" spans="1:6">
      <c r="A101" s="1295" t="s">
        <v>75</v>
      </c>
      <c r="B101" s="335">
        <v>73</v>
      </c>
    </row>
    <row r="102" spans="1:6">
      <c r="A102" s="1295" t="s">
        <v>76</v>
      </c>
      <c r="B102" s="335">
        <v>49</v>
      </c>
    </row>
    <row r="103" spans="1:6">
      <c r="A103" s="1295" t="s">
        <v>77</v>
      </c>
      <c r="B103" s="335">
        <v>166</v>
      </c>
    </row>
    <row r="104" spans="1:6">
      <c r="A104" s="1295" t="s">
        <v>78</v>
      </c>
      <c r="B104" s="335">
        <v>1016</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2</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48</v>
      </c>
    </row>
    <row r="130" spans="1:6">
      <c r="A130" s="1295" t="s">
        <v>295</v>
      </c>
      <c r="B130" s="335">
        <v>2</v>
      </c>
    </row>
    <row r="131" spans="1:6">
      <c r="A131" s="1295" t="s">
        <v>296</v>
      </c>
      <c r="B131" s="335">
        <v>2</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27492.248744618948</v>
      </c>
      <c r="C3" s="43" t="s">
        <v>170</v>
      </c>
      <c r="D3" s="43"/>
      <c r="E3" s="156"/>
      <c r="F3" s="43"/>
      <c r="G3" s="43"/>
      <c r="H3" s="43"/>
      <c r="I3" s="43"/>
      <c r="J3" s="43"/>
      <c r="K3" s="96"/>
    </row>
    <row r="4" spans="1:11">
      <c r="A4" s="366" t="s">
        <v>171</v>
      </c>
      <c r="B4" s="49">
        <f>IF(ISERROR('SEAP template'!B78),0,'SEAP template'!B78)</f>
        <v>2222.7660999999998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0.20313200700084061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645.96500000000003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645.96500000000003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0.20313200700084061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131.216166902298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12575.439708411201</v>
      </c>
      <c r="C5" s="17">
        <f>IF(ISERROR('Eigen informatie GS &amp; warmtenet'!B57),0,'Eigen informatie GS &amp; warmtenet'!B57)</f>
        <v>0</v>
      </c>
      <c r="D5" s="30">
        <f>(SUM(HH_hh_gas_kWh,HH_rest_gas_kWh)/1000)*0.902</f>
        <v>21804.570789333655</v>
      </c>
      <c r="E5" s="17">
        <f>B46*B57</f>
        <v>7002.7664670668919</v>
      </c>
      <c r="F5" s="17">
        <f>B51*B62</f>
        <v>11854.489021577372</v>
      </c>
      <c r="G5" s="18"/>
      <c r="H5" s="17"/>
      <c r="I5" s="17"/>
      <c r="J5" s="17">
        <f>B50*B61+C50*C61</f>
        <v>4279.8594425534675</v>
      </c>
      <c r="K5" s="17"/>
      <c r="L5" s="17"/>
      <c r="M5" s="17"/>
      <c r="N5" s="17">
        <f>B48*B59+C48*C59</f>
        <v>8517.5955172425347</v>
      </c>
      <c r="O5" s="17">
        <f>B69*B70*B71</f>
        <v>79.73</v>
      </c>
      <c r="P5" s="17">
        <f>B77*B78*B79/1000-B77*B78*B79/1000/B80</f>
        <v>343.2</v>
      </c>
    </row>
    <row r="6" spans="1:16">
      <c r="A6" s="16" t="s">
        <v>634</v>
      </c>
      <c r="B6" s="783">
        <f>kWh_PV_kleiner_dan_10kW</f>
        <v>1701.6510000000001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14277.0907084112</v>
      </c>
      <c r="C8" s="21">
        <f>C5</f>
        <v>0</v>
      </c>
      <c r="D8" s="21">
        <f>D5</f>
        <v>21804.570789333655</v>
      </c>
      <c r="E8" s="21">
        <f>E5</f>
        <v>7002.7664670668919</v>
      </c>
      <c r="F8" s="21">
        <f>F5</f>
        <v>11854.489021577372</v>
      </c>
      <c r="G8" s="21"/>
      <c r="H8" s="21"/>
      <c r="I8" s="21"/>
      <c r="J8" s="21">
        <f>J5</f>
        <v>4279.8594425534675</v>
      </c>
      <c r="K8" s="21"/>
      <c r="L8" s="21">
        <f>L5</f>
        <v>0</v>
      </c>
      <c r="M8" s="21">
        <f>M5</f>
        <v>0</v>
      </c>
      <c r="N8" s="21">
        <f>N5</f>
        <v>8517.5955172425347</v>
      </c>
      <c r="O8" s="21">
        <f>O5</f>
        <v>79.73</v>
      </c>
      <c r="P8" s="21">
        <f>P5</f>
        <v>343.2</v>
      </c>
    </row>
    <row r="9" spans="1:16">
      <c r="B9" s="19"/>
      <c r="C9" s="19"/>
      <c r="D9" s="261"/>
      <c r="E9" s="19"/>
      <c r="F9" s="19"/>
      <c r="G9" s="19"/>
      <c r="H9" s="19"/>
      <c r="I9" s="19"/>
      <c r="J9" s="19"/>
      <c r="K9" s="19"/>
      <c r="L9" s="19"/>
      <c r="M9" s="19"/>
      <c r="N9" s="19"/>
      <c r="O9" s="19"/>
      <c r="P9" s="19"/>
    </row>
    <row r="10" spans="1:16">
      <c r="A10" s="24" t="s">
        <v>214</v>
      </c>
      <c r="B10" s="25">
        <f ca="1">'EF ele_warmte'!B12</f>
        <v>0.20313200700084061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2900.1340897326204</v>
      </c>
      <c r="C12" s="23">
        <f ca="1">C10*C8</f>
        <v>0</v>
      </c>
      <c r="D12" s="23">
        <f>D8*D10</f>
        <v>4404.5232994453982</v>
      </c>
      <c r="E12" s="23">
        <f>E10*E8</f>
        <v>1589.6279880241846</v>
      </c>
      <c r="F12" s="23">
        <f>F10*F8</f>
        <v>3165.1485687611585</v>
      </c>
      <c r="G12" s="23"/>
      <c r="H12" s="23"/>
      <c r="I12" s="23"/>
      <c r="J12" s="23">
        <f>J10*J8</f>
        <v>1515.0702426639275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689</v>
      </c>
      <c r="C18" s="168" t="s">
        <v>111</v>
      </c>
      <c r="D18" s="230"/>
      <c r="E18" s="15"/>
    </row>
    <row r="19" spans="1:7">
      <c r="A19" s="173" t="s">
        <v>72</v>
      </c>
      <c r="B19" s="37">
        <f>aantalw2001_ander</f>
        <v>0</v>
      </c>
      <c r="C19" s="168" t="s">
        <v>111</v>
      </c>
      <c r="D19" s="231"/>
      <c r="E19" s="15"/>
    </row>
    <row r="20" spans="1:7">
      <c r="A20" s="173" t="s">
        <v>73</v>
      </c>
      <c r="B20" s="37">
        <f>aantalw2001_propaan</f>
        <v>225</v>
      </c>
      <c r="C20" s="169">
        <f>IF(ISERROR(B20/SUM($B$20,$B$21,$B$22)*100),0,B20/SUM($B$20,$B$21,$B$22)*100)</f>
        <v>35.942492012779553</v>
      </c>
      <c r="D20" s="231"/>
      <c r="E20" s="15"/>
    </row>
    <row r="21" spans="1:7">
      <c r="A21" s="173" t="s">
        <v>74</v>
      </c>
      <c r="B21" s="37">
        <f>aantalw2001_elektriciteit</f>
        <v>328</v>
      </c>
      <c r="C21" s="169">
        <f>IF(ISERROR(B21/SUM($B$20,$B$21,$B$22)*100),0,B21/SUM($B$20,$B$21,$B$22)*100)</f>
        <v>52.396166134185307</v>
      </c>
      <c r="D21" s="231"/>
      <c r="E21" s="15"/>
    </row>
    <row r="22" spans="1:7">
      <c r="A22" s="173" t="s">
        <v>75</v>
      </c>
      <c r="B22" s="37">
        <f>aantalw2001_hout</f>
        <v>73</v>
      </c>
      <c r="C22" s="169">
        <f>IF(ISERROR(B22/SUM($B$20,$B$21,$B$22)*100),0,B22/SUM($B$20,$B$21,$B$22)*100)</f>
        <v>11.661341853035143</v>
      </c>
      <c r="D22" s="231"/>
      <c r="E22" s="15"/>
    </row>
    <row r="23" spans="1:7">
      <c r="A23" s="173" t="s">
        <v>76</v>
      </c>
      <c r="B23" s="37">
        <f>aantalw2001_niet_gespec</f>
        <v>49</v>
      </c>
      <c r="C23" s="168" t="s">
        <v>111</v>
      </c>
      <c r="D23" s="230"/>
      <c r="E23" s="15"/>
    </row>
    <row r="24" spans="1:7">
      <c r="A24" s="173" t="s">
        <v>77</v>
      </c>
      <c r="B24" s="37">
        <f>aantalw2001_steenkool</f>
        <v>166</v>
      </c>
      <c r="C24" s="168" t="s">
        <v>111</v>
      </c>
      <c r="D24" s="231"/>
      <c r="E24" s="15"/>
    </row>
    <row r="25" spans="1:7">
      <c r="A25" s="173" t="s">
        <v>78</v>
      </c>
      <c r="B25" s="37">
        <f>aantalw2001_stookolie</f>
        <v>1016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2824</v>
      </c>
      <c r="C28" s="36"/>
      <c r="D28" s="230"/>
    </row>
    <row r="29" spans="1:7" s="15" customFormat="1">
      <c r="A29" s="232" t="s">
        <v>746</v>
      </c>
      <c r="B29" s="37">
        <f>SUM(HH_hh_gas_aantal,HH_rest_gas_aantal)</f>
        <v>1297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1297</v>
      </c>
      <c r="C32" s="169">
        <f>IF(ISERROR(B32/SUM($B$32,$B$34,$B$35,$B$36,$B$38,$B$39)*100),0,B32/SUM($B$32,$B$34,$B$35,$B$36,$B$38,$B$39)*100)</f>
        <v>46.222380612972216</v>
      </c>
      <c r="D32" s="235"/>
      <c r="G32" s="15"/>
    </row>
    <row r="33" spans="1:7">
      <c r="A33" s="173" t="s">
        <v>72</v>
      </c>
      <c r="B33" s="34" t="s">
        <v>111</v>
      </c>
      <c r="C33" s="169"/>
      <c r="D33" s="235"/>
      <c r="G33" s="15"/>
    </row>
    <row r="34" spans="1:7">
      <c r="A34" s="173" t="s">
        <v>73</v>
      </c>
      <c r="B34" s="33">
        <f>IF((($B$28-$B$32-$B$39-$B$77-$B$38)*C20/100)&lt;0,0,($B$28-$B$32-$B$39-$B$77-$B$38)*C20/100)</f>
        <v>336.06230031948877</v>
      </c>
      <c r="C34" s="169">
        <f>IF(ISERROR(B34/SUM($B$32,$B$34,$B$35,$B$36,$B$38,$B$39)*100),0,B34/SUM($B$32,$B$34,$B$35,$B$36,$B$38,$B$39)*100)</f>
        <v>11.976560952226974</v>
      </c>
      <c r="D34" s="235"/>
      <c r="G34" s="15"/>
    </row>
    <row r="35" spans="1:7">
      <c r="A35" s="173" t="s">
        <v>74</v>
      </c>
      <c r="B35" s="33">
        <f>IF((($B$28-$B$32-$B$39-$B$77-$B$38)*C21/100)&lt;0,0,($B$28-$B$32-$B$39-$B$77-$B$38)*C21/100)</f>
        <v>489.90415335463263</v>
      </c>
      <c r="C35" s="169">
        <f>IF(ISERROR(B35/SUM($B$32,$B$34,$B$35,$B$36,$B$38,$B$39)*100),0,B35/SUM($B$32,$B$34,$B$35,$B$36,$B$38,$B$39)*100)</f>
        <v>17.459164410357548</v>
      </c>
      <c r="D35" s="235"/>
      <c r="G35" s="15"/>
    </row>
    <row r="36" spans="1:7">
      <c r="A36" s="173" t="s">
        <v>75</v>
      </c>
      <c r="B36" s="33">
        <f>IF((($B$28-$B$32-$B$39-$B$77-$B$38)*C22/100)&lt;0,0,($B$28-$B$32-$B$39-$B$77-$B$38)*C22/100)</f>
        <v>109.0335463258786</v>
      </c>
      <c r="C36" s="169">
        <f>IF(ISERROR(B36/SUM($B$32,$B$34,$B$35,$B$36,$B$38,$B$39)*100),0,B36/SUM($B$32,$B$34,$B$35,$B$36,$B$38,$B$39)*100)</f>
        <v>3.8857286645003075</v>
      </c>
      <c r="D36" s="235"/>
      <c r="G36" s="15"/>
    </row>
    <row r="37" spans="1:7">
      <c r="A37" s="173" t="s">
        <v>76</v>
      </c>
      <c r="B37" s="34" t="s">
        <v>111</v>
      </c>
      <c r="C37" s="169"/>
      <c r="D37" s="175"/>
      <c r="G37" s="15"/>
    </row>
    <row r="38" spans="1:7">
      <c r="A38" s="173" t="s">
        <v>77</v>
      </c>
      <c r="B38" s="33">
        <f>IF((B24-(B29-B18)*0.1)&lt;0,0,B24-(B29-B18)*0.1)</f>
        <v>105.19999999999999</v>
      </c>
      <c r="C38" s="169">
        <f>IF(ISERROR(B38/SUM($B$32,$B$34,$B$35,$B$36,$B$38,$B$39)*100),0,B38/SUM($B$32,$B$34,$B$35,$B$36,$B$38,$B$39)*100)</f>
        <v>3.7491090520313621</v>
      </c>
      <c r="D38" s="236"/>
      <c r="G38" s="15"/>
    </row>
    <row r="39" spans="1:7">
      <c r="A39" s="173" t="s">
        <v>78</v>
      </c>
      <c r="B39" s="33">
        <f>IF((B25-(B29-B18))&lt;0,0,B25-(B29-B18)*0.9)</f>
        <v>468.79999999999995</v>
      </c>
      <c r="C39" s="169">
        <f>IF(ISERROR(B39/SUM($B$32,$B$34,$B$35,$B$36,$B$38,$B$39)*100),0,B39/SUM($B$32,$B$34,$B$35,$B$36,$B$38,$B$39)*100)</f>
        <v>16.707056307911621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1297</v>
      </c>
      <c r="C44" s="34" t="s">
        <v>111</v>
      </c>
      <c r="D44" s="176"/>
    </row>
    <row r="45" spans="1:7">
      <c r="A45" s="173" t="s">
        <v>72</v>
      </c>
      <c r="B45" s="33" t="str">
        <f t="shared" si="0"/>
        <v>-</v>
      </c>
      <c r="C45" s="34" t="s">
        <v>111</v>
      </c>
      <c r="D45" s="176"/>
    </row>
    <row r="46" spans="1:7">
      <c r="A46" s="173" t="s">
        <v>73</v>
      </c>
      <c r="B46" s="33">
        <f t="shared" si="0"/>
        <v>336.06230031948877</v>
      </c>
      <c r="C46" s="34" t="s">
        <v>111</v>
      </c>
      <c r="D46" s="176"/>
    </row>
    <row r="47" spans="1:7">
      <c r="A47" s="173" t="s">
        <v>74</v>
      </c>
      <c r="B47" s="33">
        <f t="shared" si="0"/>
        <v>489.90415335463263</v>
      </c>
      <c r="C47" s="34" t="s">
        <v>111</v>
      </c>
      <c r="D47" s="176"/>
    </row>
    <row r="48" spans="1:7">
      <c r="A48" s="173" t="s">
        <v>75</v>
      </c>
      <c r="B48" s="33">
        <f t="shared" si="0"/>
        <v>109.0335463258786</v>
      </c>
      <c r="C48" s="33">
        <f>B48*10</f>
        <v>1090.3354632587861</v>
      </c>
      <c r="D48" s="236"/>
    </row>
    <row r="49" spans="1:6">
      <c r="A49" s="173" t="s">
        <v>76</v>
      </c>
      <c r="B49" s="33" t="str">
        <f t="shared" si="0"/>
        <v>-</v>
      </c>
      <c r="C49" s="34" t="s">
        <v>111</v>
      </c>
      <c r="D49" s="236"/>
    </row>
    <row r="50" spans="1:6">
      <c r="A50" s="173" t="s">
        <v>77</v>
      </c>
      <c r="B50" s="33">
        <f t="shared" si="0"/>
        <v>105.19999999999999</v>
      </c>
      <c r="C50" s="33">
        <f>B50*2</f>
        <v>210.39999999999998</v>
      </c>
      <c r="D50" s="236"/>
    </row>
    <row r="51" spans="1:6">
      <c r="A51" s="173" t="s">
        <v>78</v>
      </c>
      <c r="B51" s="33">
        <f t="shared" si="0"/>
        <v>468.79999999999995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5269.6244646719333</v>
      </c>
      <c r="C5" s="17">
        <f>IF(ISERROR('Eigen informatie GS &amp; warmtenet'!B58),0,'Eigen informatie GS &amp; warmtenet'!B58)</f>
        <v>0</v>
      </c>
      <c r="D5" s="30">
        <f>SUM(D6:D12)</f>
        <v>9537.901838813119</v>
      </c>
      <c r="E5" s="17">
        <f>SUM(E6:E12)</f>
        <v>95.723656622652982</v>
      </c>
      <c r="F5" s="17">
        <f>SUM(F6:F12)</f>
        <v>1137.1207222245903</v>
      </c>
      <c r="G5" s="18"/>
      <c r="H5" s="17"/>
      <c r="I5" s="17"/>
      <c r="J5" s="17">
        <f>SUM(J6:J12)</f>
        <v>0</v>
      </c>
      <c r="K5" s="17"/>
      <c r="L5" s="17"/>
      <c r="M5" s="17"/>
      <c r="N5" s="17">
        <f>SUM(N6:N12)</f>
        <v>563.01358873416461</v>
      </c>
      <c r="O5" s="17">
        <f>B38*B39*B40</f>
        <v>3.1266666666666669</v>
      </c>
      <c r="P5" s="17">
        <f>B46*B47*B48/1000-B46*B47*B48/1000/B49</f>
        <v>38.133333333333333</v>
      </c>
      <c r="R5" s="32"/>
    </row>
    <row r="6" spans="1:18">
      <c r="A6" s="32" t="s">
        <v>54</v>
      </c>
      <c r="B6" s="37">
        <f>B26</f>
        <v>561.63892144581303</v>
      </c>
      <c r="C6" s="33"/>
      <c r="D6" s="37">
        <f>IF(ISERROR(TER_kantoor_gas_kWh/1000),0,TER_kantoor_gas_kWh/1000)*0.902</f>
        <v>1987.7656990470027</v>
      </c>
      <c r="E6" s="33">
        <f>$C$26*'E Balans VL '!I12/100/3.6*1000000</f>
        <v>2.1820861157046867</v>
      </c>
      <c r="F6" s="33">
        <f>$C$26*('E Balans VL '!L12+'E Balans VL '!N12)/100/3.6*1000000</f>
        <v>85.420169445167957</v>
      </c>
      <c r="G6" s="34"/>
      <c r="H6" s="33"/>
      <c r="I6" s="33"/>
      <c r="J6" s="33">
        <f>$C$26*('E Balans VL '!D12+'E Balans VL '!E12)/100/3.6*1000000</f>
        <v>0</v>
      </c>
      <c r="K6" s="33"/>
      <c r="L6" s="33"/>
      <c r="M6" s="33"/>
      <c r="N6" s="33">
        <f>$C$26*'E Balans VL '!Y12/100/3.6*1000000</f>
        <v>0.3095303284024653</v>
      </c>
      <c r="O6" s="33"/>
      <c r="P6" s="33"/>
      <c r="R6" s="32"/>
    </row>
    <row r="7" spans="1:18">
      <c r="A7" s="32" t="s">
        <v>53</v>
      </c>
      <c r="B7" s="37">
        <f t="shared" ref="B7:B12" si="0">B27</f>
        <v>889.70034509724701</v>
      </c>
      <c r="C7" s="33"/>
      <c r="D7" s="37">
        <f>IF(ISERROR(TER_horeca_gas_kWh/1000),0,TER_horeca_gas_kWh/1000)*0.902</f>
        <v>691.83364752283967</v>
      </c>
      <c r="E7" s="33">
        <f>$C$27*'E Balans VL '!I9/100/3.6*1000000</f>
        <v>50.11705830578989</v>
      </c>
      <c r="F7" s="33">
        <f>$C$27*('E Balans VL '!L9+'E Balans VL '!N9)/100/3.6*1000000</f>
        <v>256.5363142537422</v>
      </c>
      <c r="G7" s="34"/>
      <c r="H7" s="33"/>
      <c r="I7" s="33"/>
      <c r="J7" s="33">
        <f>$C$27*('E Balans VL '!D9+'E Balans VL '!E9)/100/3.6*1000000</f>
        <v>0</v>
      </c>
      <c r="K7" s="33"/>
      <c r="L7" s="33"/>
      <c r="M7" s="33"/>
      <c r="N7" s="33">
        <f>$C$27*'E Balans VL '!Y9/100/3.6*1000000</f>
        <v>0.24564164196336302</v>
      </c>
      <c r="O7" s="33"/>
      <c r="P7" s="33"/>
      <c r="R7" s="32"/>
    </row>
    <row r="8" spans="1:18">
      <c r="A8" s="6" t="s">
        <v>52</v>
      </c>
      <c r="B8" s="37">
        <f t="shared" si="0"/>
        <v>444.631411300259</v>
      </c>
      <c r="C8" s="33"/>
      <c r="D8" s="37">
        <f>IF(ISERROR(TER_handel_gas_kWh/1000),0,TER_handel_gas_kWh/1000)*0.902</f>
        <v>0</v>
      </c>
      <c r="E8" s="33">
        <f>$C$28*'E Balans VL '!I13/100/3.6*1000000</f>
        <v>6.4086471211577773</v>
      </c>
      <c r="F8" s="33">
        <f>$C$28*('E Balans VL '!L13+'E Balans VL '!N13)/100/3.6*1000000</f>
        <v>77.24283090969638</v>
      </c>
      <c r="G8" s="34"/>
      <c r="H8" s="33"/>
      <c r="I8" s="33"/>
      <c r="J8" s="33">
        <f>$C$28*('E Balans VL '!D13+'E Balans VL '!E13)/100/3.6*1000000</f>
        <v>0</v>
      </c>
      <c r="K8" s="33"/>
      <c r="L8" s="33"/>
      <c r="M8" s="33"/>
      <c r="N8" s="33">
        <f>$C$28*'E Balans VL '!Y13/100/3.6*1000000</f>
        <v>1.3321652056439359</v>
      </c>
      <c r="O8" s="33"/>
      <c r="P8" s="33"/>
      <c r="R8" s="32"/>
    </row>
    <row r="9" spans="1:18">
      <c r="A9" s="32" t="s">
        <v>51</v>
      </c>
      <c r="B9" s="37">
        <f t="shared" si="0"/>
        <v>13.5576836425907</v>
      </c>
      <c r="C9" s="33"/>
      <c r="D9" s="37">
        <f>IF(ISERROR(TER_gezond_gas_kWh/1000),0,TER_gezond_gas_kWh/1000)*0.902</f>
        <v>99.834844283720528</v>
      </c>
      <c r="E9" s="33">
        <f>$C$29*'E Balans VL '!I10/100/3.6*1000000</f>
        <v>1.4483120152838638E-2</v>
      </c>
      <c r="F9" s="33">
        <f>$C$29*('E Balans VL '!L10+'E Balans VL '!N10)/100/3.6*1000000</f>
        <v>2.211670235574096</v>
      </c>
      <c r="G9" s="34"/>
      <c r="H9" s="33"/>
      <c r="I9" s="33"/>
      <c r="J9" s="33">
        <f>$C$29*('E Balans VL '!D10+'E Balans VL '!E10)/100/3.6*1000000</f>
        <v>0</v>
      </c>
      <c r="K9" s="33"/>
      <c r="L9" s="33"/>
      <c r="M9" s="33"/>
      <c r="N9" s="33">
        <f>$C$29*'E Balans VL '!Y10/100/3.6*1000000</f>
        <v>0.13956861724051758</v>
      </c>
      <c r="O9" s="33"/>
      <c r="P9" s="33"/>
      <c r="R9" s="32"/>
    </row>
    <row r="10" spans="1:18">
      <c r="A10" s="32" t="s">
        <v>50</v>
      </c>
      <c r="B10" s="37">
        <f t="shared" si="0"/>
        <v>478.87437736104204</v>
      </c>
      <c r="C10" s="33"/>
      <c r="D10" s="37">
        <f>IF(ISERROR(TER_ander_gas_kWh/1000),0,TER_ander_gas_kWh/1000)*0.902</f>
        <v>68.372155389655688</v>
      </c>
      <c r="E10" s="33">
        <f>$C$30*'E Balans VL '!I14/100/3.6*1000000</f>
        <v>2.2022704192832943</v>
      </c>
      <c r="F10" s="33">
        <f>$C$30*('E Balans VL '!L14+'E Balans VL '!N14)/100/3.6*1000000</f>
        <v>143.53375595058296</v>
      </c>
      <c r="G10" s="34"/>
      <c r="H10" s="33"/>
      <c r="I10" s="33"/>
      <c r="J10" s="33">
        <f>$C$30*('E Balans VL '!D14+'E Balans VL '!E14)/100/3.6*1000000</f>
        <v>0</v>
      </c>
      <c r="K10" s="33"/>
      <c r="L10" s="33"/>
      <c r="M10" s="33"/>
      <c r="N10" s="33">
        <f>$C$30*'E Balans VL '!Y14/100/3.6*1000000</f>
        <v>333.32817750903871</v>
      </c>
      <c r="O10" s="33"/>
      <c r="P10" s="33"/>
      <c r="R10" s="32"/>
    </row>
    <row r="11" spans="1:18">
      <c r="A11" s="32" t="s">
        <v>55</v>
      </c>
      <c r="B11" s="37">
        <f t="shared" si="0"/>
        <v>13.2723902621118</v>
      </c>
      <c r="C11" s="33"/>
      <c r="D11" s="37">
        <f>IF(ISERROR(TER_onderwijs_gas_kWh/1000),0,TER_onderwijs_gas_kWh/1000)*0.902</f>
        <v>156.45695391558738</v>
      </c>
      <c r="E11" s="33">
        <f>$C$31*'E Balans VL '!I11/100/3.6*1000000</f>
        <v>1.231188740393617E-2</v>
      </c>
      <c r="F11" s="33">
        <f>$C$31*('E Balans VL '!L11+'E Balans VL '!N11)/100/3.6*1000000</f>
        <v>4.6622856551212051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2867.9493355628697</v>
      </c>
      <c r="C12" s="33"/>
      <c r="D12" s="37">
        <f>IF(ISERROR(TER_rest_gas_kWh/1000),0,TER_rest_gas_kWh/1000)*0.902</f>
        <v>6533.6385386543125</v>
      </c>
      <c r="E12" s="33">
        <f>$C$32*'E Balans VL '!I8/100/3.6*1000000</f>
        <v>34.78679965316055</v>
      </c>
      <c r="F12" s="33">
        <f>$C$32*('E Balans VL '!L8+'E Balans VL '!N8)/100/3.6*1000000</f>
        <v>567.51369577470552</v>
      </c>
      <c r="G12" s="34"/>
      <c r="H12" s="33"/>
      <c r="I12" s="33"/>
      <c r="J12" s="33">
        <f>$C$32*('E Balans VL '!D8+'E Balans VL '!E8)/100/3.6*1000000</f>
        <v>0</v>
      </c>
      <c r="K12" s="33"/>
      <c r="L12" s="33"/>
      <c r="M12" s="33"/>
      <c r="N12" s="33">
        <f>$C$32*'E Balans VL '!Y8/100/3.6*1000000</f>
        <v>227.65850543187554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5269.6244646719333</v>
      </c>
      <c r="C16" s="21">
        <f t="shared" ca="1" si="1"/>
        <v>0</v>
      </c>
      <c r="D16" s="21">
        <f t="shared" ca="1" si="1"/>
        <v>9537.901838813119</v>
      </c>
      <c r="E16" s="21">
        <f t="shared" si="1"/>
        <v>95.723656622652982</v>
      </c>
      <c r="F16" s="21">
        <f t="shared" ca="1" si="1"/>
        <v>1137.1207222245903</v>
      </c>
      <c r="G16" s="21">
        <f t="shared" si="1"/>
        <v>0</v>
      </c>
      <c r="H16" s="21">
        <f t="shared" si="1"/>
        <v>0</v>
      </c>
      <c r="I16" s="21">
        <f t="shared" si="1"/>
        <v>0</v>
      </c>
      <c r="J16" s="21">
        <f t="shared" si="1"/>
        <v>0</v>
      </c>
      <c r="K16" s="21">
        <f t="shared" si="1"/>
        <v>0</v>
      </c>
      <c r="L16" s="21">
        <f t="shared" ca="1" si="1"/>
        <v>0</v>
      </c>
      <c r="M16" s="21">
        <f t="shared" si="1"/>
        <v>0</v>
      </c>
      <c r="N16" s="21">
        <f t="shared" ca="1" si="1"/>
        <v>563.01358873416461</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0.20313200700084061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1070.4293936495401</v>
      </c>
      <c r="C20" s="23">
        <f t="shared" ref="C20:P20" ca="1" si="2">C16*C18</f>
        <v>0</v>
      </c>
      <c r="D20" s="23">
        <f t="shared" ca="1" si="2"/>
        <v>1926.6561714402501</v>
      </c>
      <c r="E20" s="23">
        <f t="shared" si="2"/>
        <v>21.729270053342226</v>
      </c>
      <c r="F20" s="23">
        <f t="shared" ca="1" si="2"/>
        <v>303.61123283396563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561.63892144581303</v>
      </c>
      <c r="C26" s="39">
        <f>IF(ISERROR(B26*3.6/1000000/'E Balans VL '!Z12*100),0,B26*3.6/1000000/'E Balans VL '!Z12*100)</f>
        <v>1.1929488891265279E-2</v>
      </c>
      <c r="D26" s="239" t="s">
        <v>692</v>
      </c>
      <c r="F26" s="6"/>
    </row>
    <row r="27" spans="1:18">
      <c r="A27" s="233" t="s">
        <v>53</v>
      </c>
      <c r="B27" s="33">
        <f>IF(ISERROR(TER_horeca_ele_kWh/1000),0,TER_horeca_ele_kWh/1000)</f>
        <v>889.70034509724701</v>
      </c>
      <c r="C27" s="39">
        <f>IF(ISERROR(B27*3.6/1000000/'E Balans VL '!Z9*100),0,B27*3.6/1000000/'E Balans VL '!Z9*100)</f>
        <v>6.917962017607239E-2</v>
      </c>
      <c r="D27" s="239" t="s">
        <v>692</v>
      </c>
      <c r="F27" s="6"/>
    </row>
    <row r="28" spans="1:18">
      <c r="A28" s="173" t="s">
        <v>52</v>
      </c>
      <c r="B28" s="33">
        <f>IF(ISERROR(TER_handel_ele_kWh/1000),0,TER_handel_ele_kWh/1000)</f>
        <v>444.631411300259</v>
      </c>
      <c r="C28" s="39">
        <f>IF(ISERROR(B28*3.6/1000000/'E Balans VL '!Z13*100),0,B28*3.6/1000000/'E Balans VL '!Z13*100)</f>
        <v>1.2721427956125271E-2</v>
      </c>
      <c r="D28" s="239" t="s">
        <v>692</v>
      </c>
      <c r="F28" s="6"/>
    </row>
    <row r="29" spans="1:18">
      <c r="A29" s="233" t="s">
        <v>51</v>
      </c>
      <c r="B29" s="33">
        <f>IF(ISERROR(TER_gezond_ele_kWh/1000),0,TER_gezond_ele_kWh/1000)</f>
        <v>13.5576836425907</v>
      </c>
      <c r="C29" s="39">
        <f>IF(ISERROR(B29*3.6/1000000/'E Balans VL '!Z10*100),0,B29*3.6/1000000/'E Balans VL '!Z10*100)</f>
        <v>1.4781025598265838E-3</v>
      </c>
      <c r="D29" s="239" t="s">
        <v>692</v>
      </c>
      <c r="F29" s="6"/>
    </row>
    <row r="30" spans="1:18">
      <c r="A30" s="233" t="s">
        <v>50</v>
      </c>
      <c r="B30" s="33">
        <f>IF(ISERROR(TER_ander_ele_kWh/1000),0,TER_ander_ele_kWh/1000)</f>
        <v>478.87437736104204</v>
      </c>
      <c r="C30" s="39">
        <f>IF(ISERROR(B30*3.6/1000000/'E Balans VL '!Z14*100),0,B30*3.6/1000000/'E Balans VL '!Z14*100)</f>
        <v>3.5042940634507261E-2</v>
      </c>
      <c r="D30" s="239" t="s">
        <v>692</v>
      </c>
      <c r="F30" s="6"/>
    </row>
    <row r="31" spans="1:18">
      <c r="A31" s="233" t="s">
        <v>55</v>
      </c>
      <c r="B31" s="33">
        <f>IF(ISERROR(TER_onderwijs_ele_kWh/1000),0,TER_onderwijs_ele_kWh/1000)</f>
        <v>13.2723902621118</v>
      </c>
      <c r="C31" s="39">
        <f>IF(ISERROR(B31*3.6/1000000/'E Balans VL '!Z11*100),0,B31*3.6/1000000/'E Balans VL '!Z11*100)</f>
        <v>2.6657694399503905E-3</v>
      </c>
      <c r="D31" s="239" t="s">
        <v>692</v>
      </c>
    </row>
    <row r="32" spans="1:18">
      <c r="A32" s="233" t="s">
        <v>260</v>
      </c>
      <c r="B32" s="33">
        <f>IF(ISERROR(TER_rest_ele_kWh/1000),0,TER_rest_ele_kWh/1000)</f>
        <v>2867.9493355628697</v>
      </c>
      <c r="C32" s="39">
        <f>IF(ISERROR(B32*3.6/1000000/'E Balans VL '!Z8*100),0,B32*3.6/1000000/'E Balans VL '!Z8*100)</f>
        <v>2.337204661481751E-2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1702.5830429669459</v>
      </c>
      <c r="C5" s="17">
        <f>IF(ISERROR('Eigen informatie GS &amp; warmtenet'!B59),0,'Eigen informatie GS &amp; warmtenet'!B59)</f>
        <v>0</v>
      </c>
      <c r="D5" s="30">
        <f>SUM(D6:D15)</f>
        <v>783.75010521417767</v>
      </c>
      <c r="E5" s="17">
        <f>SUM(E6:E15)</f>
        <v>195.38704571003842</v>
      </c>
      <c r="F5" s="17">
        <f>SUM(F6:F15)</f>
        <v>566.83061627443431</v>
      </c>
      <c r="G5" s="18"/>
      <c r="H5" s="17"/>
      <c r="I5" s="17"/>
      <c r="J5" s="17">
        <f>SUM(J6:J15)</f>
        <v>1.8719212876528943</v>
      </c>
      <c r="K5" s="17"/>
      <c r="L5" s="17"/>
      <c r="M5" s="17"/>
      <c r="N5" s="17">
        <f>SUM(N6:N15)</f>
        <v>331.6288349686144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571.02669173853292</v>
      </c>
      <c r="C9" s="33"/>
      <c r="D9" s="37">
        <f>IF( ISERROR(IND_andere_gas_kWh/1000),0,IND_andere_gas_kWh/1000)*0.902</f>
        <v>314.07213869774785</v>
      </c>
      <c r="E9" s="33">
        <f>C31*'E Balans VL '!I19/100/3.6*1000000</f>
        <v>154.56288559725547</v>
      </c>
      <c r="F9" s="33">
        <f>C31*'E Balans VL '!L19/100/3.6*1000000+C31*'E Balans VL '!N19/100/3.6*1000000</f>
        <v>380.36420394451147</v>
      </c>
      <c r="G9" s="34"/>
      <c r="H9" s="33"/>
      <c r="I9" s="33"/>
      <c r="J9" s="40">
        <f>C31*'E Balans VL '!D19/100/3.6*1000000+C31*'E Balans VL '!E19/100/3.6*1000000</f>
        <v>0</v>
      </c>
      <c r="K9" s="33"/>
      <c r="L9" s="33"/>
      <c r="M9" s="33"/>
      <c r="N9" s="33">
        <f>C31*'E Balans VL '!Y19/100/3.6*1000000</f>
        <v>186.43072928721244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401.21091268654499</v>
      </c>
      <c r="C11" s="33"/>
      <c r="D11" s="37">
        <f>IF( ISERROR(IND_textiel_gas_kWh/1000),0,IND_textiel_gas_kWh/1000)*0.902</f>
        <v>0</v>
      </c>
      <c r="E11" s="33">
        <f>C33*'E Balans VL '!I21/100/3.6*1000000</f>
        <v>7.9528211553294051E-2</v>
      </c>
      <c r="F11" s="33">
        <f>C33*'E Balans VL '!L21/100/3.6*1000000+C33*'E Balans VL '!N21/100/3.6*1000000</f>
        <v>14.77708197675689</v>
      </c>
      <c r="G11" s="34"/>
      <c r="H11" s="33"/>
      <c r="I11" s="33"/>
      <c r="J11" s="40">
        <f>C33*'E Balans VL '!D21/100/3.6*1000000+C33*'E Balans VL '!E21/100/3.6*1000000</f>
        <v>0</v>
      </c>
      <c r="K11" s="33"/>
      <c r="L11" s="33"/>
      <c r="M11" s="33"/>
      <c r="N11" s="33">
        <f>C33*'E Balans VL '!Y21/100/3.6*1000000</f>
        <v>1.8655294615687348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730.34543854186802</v>
      </c>
      <c r="C15" s="33"/>
      <c r="D15" s="37">
        <f>IF( ISERROR(IND_rest_gas_kWh/1000),0,IND_rest_gas_kWh/1000)*0.902</f>
        <v>469.67796651642982</v>
      </c>
      <c r="E15" s="33">
        <f>C37*'E Balans VL '!I15/100/3.6*1000000</f>
        <v>40.74463190122966</v>
      </c>
      <c r="F15" s="33">
        <f>C37*'E Balans VL '!L15/100/3.6*1000000+C37*'E Balans VL '!N15/100/3.6*1000000</f>
        <v>171.6893303531659</v>
      </c>
      <c r="G15" s="34"/>
      <c r="H15" s="33"/>
      <c r="I15" s="33"/>
      <c r="J15" s="40">
        <f>C37*'E Balans VL '!D15/100/3.6*1000000+C37*'E Balans VL '!E15/100/3.6*1000000</f>
        <v>1.8719212876528943</v>
      </c>
      <c r="K15" s="33"/>
      <c r="L15" s="33"/>
      <c r="M15" s="33"/>
      <c r="N15" s="33">
        <f>C37*'E Balans VL '!Y15/100/3.6*1000000</f>
        <v>143.33257621983321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1702.5830429669459</v>
      </c>
      <c r="C18" s="21">
        <f>C5+C16</f>
        <v>0</v>
      </c>
      <c r="D18" s="21">
        <f>MAX((D5+D16),0)</f>
        <v>783.75010521417767</v>
      </c>
      <c r="E18" s="21">
        <f>MAX((E5+E16),0)</f>
        <v>195.38704571003842</v>
      </c>
      <c r="F18" s="21">
        <f>MAX((F5+F16),0)</f>
        <v>566.83061627443431</v>
      </c>
      <c r="G18" s="21"/>
      <c r="H18" s="21"/>
      <c r="I18" s="21"/>
      <c r="J18" s="21">
        <f>MAX((J5+J16),0)</f>
        <v>1.8719212876528943</v>
      </c>
      <c r="K18" s="21"/>
      <c r="L18" s="21">
        <f>MAX((L5+L16),0)</f>
        <v>0</v>
      </c>
      <c r="M18" s="21"/>
      <c r="N18" s="21">
        <f>MAX((N5+N16),0)</f>
        <v>331.6288349686144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0.20313200700084061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345.84911060347417</v>
      </c>
      <c r="C22" s="23">
        <f ca="1">C18*C20</f>
        <v>0</v>
      </c>
      <c r="D22" s="23">
        <f>D18*D20</f>
        <v>158.31752125326389</v>
      </c>
      <c r="E22" s="23">
        <f>E18*E20</f>
        <v>44.352859376178721</v>
      </c>
      <c r="F22" s="23">
        <f>F18*F20</f>
        <v>151.34377454527396</v>
      </c>
      <c r="G22" s="23"/>
      <c r="H22" s="23"/>
      <c r="I22" s="23"/>
      <c r="J22" s="23">
        <f>J18*J20</f>
        <v>0.66266013582912453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571.02669173853292</v>
      </c>
      <c r="C31" s="39">
        <f>IF(ISERROR(B31*3.6/1000000/'E Balans VL '!Z19*100),0,B31*3.6/1000000/'E Balans VL '!Z19*100)</f>
        <v>2.4867756921708117E-2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401.21091268654499</v>
      </c>
      <c r="C33" s="39">
        <f>IF(ISERROR(B33*3.6/1000000/'E Balans VL '!Z21*100),0,B33*3.6/1000000/'E Balans VL '!Z21*100)</f>
        <v>2.2907108471408161E-2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730.34543854186802</v>
      </c>
      <c r="C37" s="39">
        <f>IF(ISERROR(B37*3.6/1000000/'E Balans VL '!Z15*100),0,B37*3.6/1000000/'E Balans VL '!Z15*100)</f>
        <v>5.6282086530710512E-3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4945.3513876895995</v>
      </c>
      <c r="C5" s="17">
        <f>'Eigen informatie GS &amp; warmtenet'!B60</f>
        <v>0</v>
      </c>
      <c r="D5" s="30">
        <f>IF(ISERROR(SUM(LB_lb_gas_kWh,LB_rest_gas_kWh)/1000),0,SUM(LB_lb_gas_kWh,LB_rest_gas_kWh)/1000)*0.902</f>
        <v>353.78085600850409</v>
      </c>
      <c r="E5" s="17">
        <f>B17*'E Balans VL '!I25/3.6*1000000/100</f>
        <v>62.317798392812975</v>
      </c>
      <c r="F5" s="17">
        <f>B17*('E Balans VL '!L25/3.6*1000000+'E Balans VL '!N25/3.6*1000000)/100</f>
        <v>17062.701172078123</v>
      </c>
      <c r="G5" s="18"/>
      <c r="H5" s="17"/>
      <c r="I5" s="17"/>
      <c r="J5" s="17">
        <f>('E Balans VL '!D25+'E Balans VL '!E25)/3.6*1000000*landbouw!B17/100</f>
        <v>743.72463193801514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4945.3513876895995</v>
      </c>
      <c r="C8" s="21">
        <f>C5+C6</f>
        <v>0</v>
      </c>
      <c r="D8" s="21">
        <f>MAX((D5+D6),0)</f>
        <v>353.78085600850409</v>
      </c>
      <c r="E8" s="21">
        <f>MAX((E5+E6),0)</f>
        <v>62.317798392812975</v>
      </c>
      <c r="F8" s="21">
        <f>MAX((F5+F6),0)</f>
        <v>17062.701172078123</v>
      </c>
      <c r="G8" s="21"/>
      <c r="H8" s="21"/>
      <c r="I8" s="21"/>
      <c r="J8" s="21">
        <f>MAX((J5+J6),0)</f>
        <v>743.72463193801514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0.20313200700084061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1004.5591527057805</v>
      </c>
      <c r="C12" s="23">
        <f ca="1">C8*C10</f>
        <v>0</v>
      </c>
      <c r="D12" s="23">
        <f>D8*D10</f>
        <v>71.463732913717834</v>
      </c>
      <c r="E12" s="23">
        <f>E8*E10</f>
        <v>14.146140235168545</v>
      </c>
      <c r="F12" s="23">
        <f>F8*F10</f>
        <v>4555.7412129448594</v>
      </c>
      <c r="G12" s="23"/>
      <c r="H12" s="23"/>
      <c r="I12" s="23"/>
      <c r="J12" s="23">
        <f>J8*J10</f>
        <v>263.27851970605735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0.68972065015454476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817.44176618981373</v>
      </c>
      <c r="C26" s="249">
        <f>B26*'GWP N2O_CH4'!B5</f>
        <v>17166.277089986088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354.83005601867512</v>
      </c>
      <c r="C27" s="249">
        <f>B27*'GWP N2O_CH4'!B5</f>
        <v>7451.4311763921778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12.186188669297868</v>
      </c>
      <c r="C28" s="249">
        <f>B28*'GWP N2O_CH4'!B4</f>
        <v>3777.7184874823392</v>
      </c>
      <c r="D28" s="50"/>
    </row>
    <row r="29" spans="1:4">
      <c r="A29" s="41" t="s">
        <v>277</v>
      </c>
      <c r="B29" s="249">
        <f>B34*'ha_N2O bodem landbouw'!B4</f>
        <v>35.846964168873143</v>
      </c>
      <c r="C29" s="249">
        <f>B29*'GWP N2O_CH4'!B4</f>
        <v>11112.558892350675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8.9506287601044086E-3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7.1849039789119973E-6</v>
      </c>
      <c r="C5" s="448" t="s">
        <v>211</v>
      </c>
      <c r="D5" s="433">
        <f>SUM(D6:D11)</f>
        <v>1.4028105470866077E-5</v>
      </c>
      <c r="E5" s="433">
        <f>SUM(E6:E11)</f>
        <v>4.1880425293714491E-4</v>
      </c>
      <c r="F5" s="446" t="s">
        <v>211</v>
      </c>
      <c r="G5" s="433">
        <f>SUM(G6:G11)</f>
        <v>0.11824674639280403</v>
      </c>
      <c r="H5" s="433">
        <f>SUM(H6:H11)</f>
        <v>2.076751692373938E-2</v>
      </c>
      <c r="I5" s="448" t="s">
        <v>211</v>
      </c>
      <c r="J5" s="448" t="s">
        <v>211</v>
      </c>
      <c r="K5" s="448" t="s">
        <v>211</v>
      </c>
      <c r="L5" s="448" t="s">
        <v>211</v>
      </c>
      <c r="M5" s="433">
        <f>SUM(M6:M11)</f>
        <v>6.2840464021553591E-3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3.7037489628921169E-6</v>
      </c>
      <c r="C6" s="887"/>
      <c r="D6" s="887">
        <f>vkm_2011_GW_PW*SUMIFS(TableVerdeelsleutelVkm[CNG],TableVerdeelsleutelVkm[Voertuigtype],"Lichte voertuigen")*SUMIFS(TableECFTransport[EnergieConsumptieFactor (PJ per km)],TableECFTransport[Index],CONCATENATE($A6,"_CNG_CNG"))</f>
        <v>5.2452329129531536E-6</v>
      </c>
      <c r="E6" s="887">
        <f>vkm_2011_GW_PW*SUMIFS(TableVerdeelsleutelVkm[LPG],TableVerdeelsleutelVkm[Voertuigtype],"Lichte voertuigen")*SUMIFS(TableECFTransport[EnergieConsumptieFactor (PJ per km)],TableECFTransport[Index],CONCATENATE($A6,"_LPG_LPG"))</f>
        <v>1.6473549803323664E-4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2.9607479790443373E-2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7.9335624494706793E-3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1.6984767048741677E-3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2.8794923197617586E-2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1.0230537701983706E-5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1.2994237542621532E-3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3.4811550160198808E-6</v>
      </c>
      <c r="C8" s="887"/>
      <c r="D8" s="436">
        <f>vkm_2011_NGW_PW*SUMIFS(TableVerdeelsleutelVkm[CNG],TableVerdeelsleutelVkm[Voertuigtype],"Lichte voertuigen")*SUMIFS(TableECFTransport[EnergieConsumptieFactor (PJ per km)],TableECFTransport[Index],CONCATENATE($A8,"_CNG_CNG"))</f>
        <v>8.7828725579129233E-6</v>
      </c>
      <c r="E8" s="436">
        <f>vkm_2011_NGW_PW*SUMIFS(TableVerdeelsleutelVkm[LPG],TableVerdeelsleutelVkm[Voertuigtype],"Lichte voertuigen")*SUMIFS(TableECFTransport[EnergieConsumptieFactor (PJ per km)],TableECFTransport[Index],CONCATENATE($A8,"_LPG_LPG"))</f>
        <v>2.540687549039083E-4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4.306711766006413E-2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1.2818083309519016E-2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2.529057484345623E-3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1.6777225744678929E-2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5.6406270477014994E-6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7.5708845867341441E-4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1.995806660808888</v>
      </c>
      <c r="C14" s="21"/>
      <c r="D14" s="21">
        <f t="shared" ref="D14:M14" si="0">((D5)*10^9/3600)+D12</f>
        <v>3.8966959641294658</v>
      </c>
      <c r="E14" s="21">
        <f t="shared" si="0"/>
        <v>116.33451470476247</v>
      </c>
      <c r="F14" s="21"/>
      <c r="G14" s="21">
        <f t="shared" si="0"/>
        <v>32846.318442445561</v>
      </c>
      <c r="H14" s="21">
        <f t="shared" si="0"/>
        <v>5768.754701038717</v>
      </c>
      <c r="I14" s="21"/>
      <c r="J14" s="21"/>
      <c r="K14" s="21"/>
      <c r="L14" s="21"/>
      <c r="M14" s="21">
        <f t="shared" si="0"/>
        <v>1745.5684450431554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0.20313200700084061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0.40541221259575538</v>
      </c>
      <c r="C18" s="23"/>
      <c r="D18" s="23">
        <f t="shared" ref="D18:M18" si="1">D14*D16</f>
        <v>0.78713258475415215</v>
      </c>
      <c r="E18" s="23">
        <f t="shared" si="1"/>
        <v>26.407934837981081</v>
      </c>
      <c r="F18" s="23"/>
      <c r="G18" s="23">
        <f t="shared" si="1"/>
        <v>8769.9670241329659</v>
      </c>
      <c r="H18" s="23">
        <f t="shared" si="1"/>
        <v>1436.4199205586406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7.7668189393316522E-4</v>
      </c>
      <c r="H50" s="323">
        <f t="shared" si="2"/>
        <v>0</v>
      </c>
      <c r="I50" s="323">
        <f t="shared" si="2"/>
        <v>0</v>
      </c>
      <c r="J50" s="323">
        <f t="shared" si="2"/>
        <v>0</v>
      </c>
      <c r="K50" s="323">
        <f t="shared" si="2"/>
        <v>0</v>
      </c>
      <c r="L50" s="323">
        <f t="shared" si="2"/>
        <v>0</v>
      </c>
      <c r="M50" s="323">
        <f t="shared" si="2"/>
        <v>3.4540943522173028E-5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7.7668189393316522E-4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3.4540943522173028E-5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215.74497053699034</v>
      </c>
      <c r="H54" s="21">
        <f t="shared" si="3"/>
        <v>0</v>
      </c>
      <c r="I54" s="21">
        <f t="shared" si="3"/>
        <v>0</v>
      </c>
      <c r="J54" s="21">
        <f t="shared" si="3"/>
        <v>0</v>
      </c>
      <c r="K54" s="21">
        <f t="shared" si="3"/>
        <v>0</v>
      </c>
      <c r="L54" s="21">
        <f t="shared" si="3"/>
        <v>0</v>
      </c>
      <c r="M54" s="21">
        <f t="shared" si="3"/>
        <v>9.5947065339369537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0.20313200700084061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57.603907133376424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2222.7660999999998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2222.7660999999998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2019-07-04T14:27:29Z</dcterms:modified>
</cp:coreProperties>
</file>