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20"/>
  <c r="E10"/>
  <c r="K78" i="14"/>
  <c r="K8" i="59"/>
  <c r="K10" s="1"/>
  <c r="E90" i="14"/>
  <c r="E18" i="59"/>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J78" i="14"/>
  <c r="J8" i="59"/>
  <c r="J1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9" i="48" l="1"/>
  <c r="D30"/>
  <c r="D24"/>
  <c r="D28"/>
  <c r="D31"/>
  <c r="D32"/>
  <c r="L27"/>
  <c r="L32"/>
  <c r="L29"/>
  <c r="L30"/>
  <c r="L28"/>
  <c r="L22"/>
  <c r="L31"/>
  <c r="L24"/>
  <c r="K32"/>
  <c r="K28"/>
  <c r="K26"/>
  <c r="K29"/>
  <c r="K25"/>
  <c r="K24"/>
  <c r="K31"/>
  <c r="K30"/>
  <c r="K27"/>
  <c r="K22"/>
  <c r="J29"/>
  <c r="J27"/>
  <c r="J32"/>
  <c r="J31"/>
  <c r="J30"/>
  <c r="J24"/>
  <c r="J28"/>
  <c r="O4"/>
  <c r="P11" i="14"/>
  <c r="I22" i="48"/>
  <c r="I31"/>
  <c r="I26"/>
  <c r="I32"/>
  <c r="I25"/>
  <c r="I27"/>
  <c r="I24"/>
  <c r="I30"/>
  <c r="I28"/>
  <c r="I29"/>
  <c r="E32"/>
  <c r="E31"/>
  <c r="E28"/>
  <c r="E24"/>
  <c r="E30"/>
  <c r="E29"/>
  <c r="K5"/>
  <c r="L10" i="14"/>
  <c r="L16" s="1"/>
  <c r="L27" s="1"/>
  <c r="P5" i="48"/>
  <c r="P23" s="1"/>
  <c r="Q10" i="14"/>
  <c r="H29" i="48"/>
  <c r="H26"/>
  <c r="H32"/>
  <c r="H25"/>
  <c r="H24"/>
  <c r="H22"/>
  <c r="H28"/>
  <c r="H30"/>
  <c r="H23"/>
  <c r="D11" i="14"/>
  <c r="C4" i="48"/>
  <c r="G32"/>
  <c r="G26"/>
  <c r="G30"/>
  <c r="G29"/>
  <c r="G22"/>
  <c r="G24"/>
  <c r="G25"/>
  <c r="G23"/>
  <c r="M32"/>
  <c r="M26"/>
  <c r="M25"/>
  <c r="M29"/>
  <c r="M24"/>
  <c r="M22"/>
  <c r="M30"/>
  <c r="M23"/>
  <c r="B7"/>
  <c r="C24" i="14"/>
  <c r="C26" s="1"/>
  <c r="P4" i="48"/>
  <c r="Q11" i="14"/>
  <c r="E11"/>
  <c r="D4" i="48"/>
  <c r="D22" s="1"/>
  <c r="C11" i="14"/>
  <c r="B4" i="48"/>
  <c r="F32"/>
  <c r="F27"/>
  <c r="F29"/>
  <c r="F31"/>
  <c r="F30"/>
  <c r="F28"/>
  <c r="F24"/>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L63"/>
  <c r="B9" i="48"/>
  <c r="C20" i="14"/>
  <c r="C22" s="1"/>
  <c r="O5" i="48"/>
  <c r="O23" s="1"/>
  <c r="P10" i="14"/>
  <c r="P22" i="48"/>
  <c r="P33" s="1"/>
  <c r="Q16" i="14"/>
  <c r="Q27" s="1"/>
  <c r="K15" i="48"/>
  <c r="K23"/>
  <c r="E9"/>
  <c r="F20" i="14"/>
  <c r="F22" s="1"/>
  <c r="D9" i="48"/>
  <c r="D27" s="1"/>
  <c r="E20" i="14"/>
  <c r="E22" s="1"/>
  <c r="K24"/>
  <c r="K26" s="1"/>
  <c r="J7" i="48"/>
  <c r="J25" s="1"/>
  <c r="J10" i="14"/>
  <c r="J16" s="1"/>
  <c r="J27" s="1"/>
  <c r="I5" i="48"/>
  <c r="F4"/>
  <c r="F22" s="1"/>
  <c r="G11" i="14"/>
  <c r="M12" i="22"/>
  <c r="N18" i="14"/>
  <c r="M13" i="48"/>
  <c r="M31" s="1"/>
  <c r="O22"/>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H20"/>
  <c r="H22" s="1"/>
  <c r="H27" s="1"/>
  <c r="G9" i="48"/>
  <c r="O8"/>
  <c r="P13" i="14"/>
  <c r="G31" i="48"/>
  <c r="Q13"/>
  <c r="Q63" i="14"/>
  <c r="R18"/>
  <c r="N19"/>
  <c r="N22" s="1"/>
  <c r="N27" s="1"/>
  <c r="M10" i="48"/>
  <c r="M28" s="1"/>
  <c r="E7"/>
  <c r="E25" s="1"/>
  <c r="F24" i="14"/>
  <c r="F26" s="1"/>
  <c r="E27" i="48"/>
  <c r="Q46" i="14"/>
  <c r="Q61" s="1"/>
  <c r="H19"/>
  <c r="G10" i="48"/>
  <c r="I23"/>
  <c r="I33" s="1"/>
  <c r="I15"/>
  <c r="P16" i="14"/>
  <c r="P27"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M27" i="48"/>
  <c r="M33" s="1"/>
  <c r="M15"/>
  <c r="H9"/>
  <c r="I20" i="14"/>
  <c r="O26" i="48"/>
  <c r="O33" s="1"/>
  <c r="O15"/>
  <c r="E22"/>
  <c r="Q4"/>
  <c r="R11" i="14"/>
  <c r="G28" i="48"/>
  <c r="Q10"/>
  <c r="E20" i="15"/>
  <c r="F40" i="14" s="1"/>
  <c r="F10"/>
  <c r="E5" i="48"/>
  <c r="E23" s="1"/>
  <c r="G27"/>
  <c r="G33" s="1"/>
  <c r="G15"/>
  <c r="K10" i="14"/>
  <c r="J5" i="48"/>
  <c r="J23" s="1"/>
  <c r="J22"/>
  <c r="R19" i="14"/>
  <c r="M61"/>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H27" i="48"/>
  <c r="H33" s="1"/>
  <c r="H15"/>
  <c r="Q9"/>
  <c r="E8"/>
  <c r="F13" i="14"/>
  <c r="F16" s="1"/>
  <c r="F27" s="1"/>
  <c r="F63" s="1"/>
  <c r="I22"/>
  <c r="I27" s="1"/>
  <c r="I63" s="1"/>
  <c r="R20"/>
  <c r="K16"/>
  <c r="K27" s="1"/>
  <c r="J22" i="16"/>
  <c r="K43" i="14" s="1"/>
  <c r="K46" s="1"/>
  <c r="K61" s="1"/>
  <c r="K13"/>
  <c r="J8" i="48"/>
  <c r="F46" i="14"/>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<sst xmlns="http://schemas.openxmlformats.org/spreadsheetml/2006/main" count="2438" uniqueCount="916">
  <si>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</si>
  <si>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</si>
  <si>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</si>
  <si>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</si>
  <si>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</si>
  <si>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</si>
  <si>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</si>
  <si>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</si>
  <si>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</si>
  <si>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</si>
  <si>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</si>
  <si>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</si>
  <si>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</si>
  <si>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</si>
  <si>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</si>
  <si>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</si>
  <si>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</si>
  <si>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</si>
  <si>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</si>
  <si>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</si>
  <si>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</si>
  <si>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</si>
  <si>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</si>
  <si>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</si>
  <si>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</si>
  <si>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</si>
  <si>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</si>
  <si>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</si>
  <si>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</si>
  <si>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</si>
  <si>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</si>
  <si>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</si>
  <si>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</si>
  <si>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</si>
  <si>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</si>
  <si>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</si>
  <si>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</si>
  <si>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</si>
  <si>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</si>
  <si>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</si>
  <si>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</si>
  <si>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</si>
  <si>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</si>
  <si>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</si>
  <si>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</si>
  <si>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</si>
  <si>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</si>
  <si>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</si>
  <si>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</si>
  <si>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</si>
  <si>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</si>
  <si>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</si>
  <si>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</si>
  <si>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</si>
  <si>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</si>
  <si>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</si>
  <si>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</si>
  <si>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</si>
  <si>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</si>
  <si>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</si>
  <si>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</si>
  <si>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</si>
  <si>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</si>
  <si>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</si>
  <si>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</si>
  <si>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</si>
  <si>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</si>
  <si>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</si>
  <si>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</si>
  <si>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</si>
  <si>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</si>
  <si>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</si>
  <si>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</si>
  <si>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</si>
  <si>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</si>
  <si>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</si>
  <si>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</si>
  <si>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</si>
  <si>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</si>
  <si>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</si>
  <si>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</si>
  <si>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</si>
  <si>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</si>
  <si>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</si>
  <si>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</si>
  <si>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</si>
  <si>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</si>
  <si>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</si>
  <si>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</si>
  <si>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</si>
  <si>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</si>
  <si>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</si>
  <si>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</si>
  <si>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</si>
  <si>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</si>
  <si>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</si>
  <si>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</si>
  <si>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</si>
  <si>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</si>
  <si>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</si>
  <si>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</si>
  <si>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</si>
  <si>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</si>
  <si>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</si>
  <si>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</si>
  <si>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</si>
  <si>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</si>
  <si>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</si>
  <si>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</si>
  <si>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</si>
  <si>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</si>
  <si>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</si>
  <si>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</si>
  <si>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</si>
  <si>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</si>
  <si>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</si>
  <si>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</si>
  <si>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</si>
  <si>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</si>
  <si>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</si>
  <si>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</si>
  <si>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</si>
  <si>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</si>
  <si>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</si>
  <si>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</si>
  <si>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</si>
  <si>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</si>
  <si>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</si>
  <si>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</si>
  <si>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</si>
  <si>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</si>
  <si>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</si>
  <si>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</si>
  <si>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</si>
  <si>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</si>
  <si>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</si>
  <si>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</si>
  <si>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</si>
  <si>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</si>
  <si>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</si>
  <si>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</si>
  <si>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</si>
  <si>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</si>
  <si>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</si>
  <si>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</si>
  <si>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</si>
  <si>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</si>
  <si>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</si>
  <si>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</si>
  <si>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</si>
  <si>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</si>
  <si>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</si>
  <si>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</si>
  <si>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</si>
  <si>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</si>
  <si>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</si>
  <si>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</si>
  <si>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</si>
  <si>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</si>
  <si>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</si>
  <si>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</si>
  <si>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</si>
  <si>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</si>
  <si>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</si>
  <si>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</si>
  <si>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</si>
  <si>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</si>
  <si>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</si>
  <si>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</si>
  <si>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</si>
  <si>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</si>
  <si>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</si>
  <si>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</si>
  <si>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</si>
  <si>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</si>
  <si>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</si>
  <si>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</si>
  <si>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</si>
  <si>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</si>
  <si>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</si>
  <si>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</si>
  <si>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</si>
  <si>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</si>
  <si>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</si>
  <si>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</si>
  <si>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</si>
  <si>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</si>
  <si>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</si>
  <si>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</si>
  <si>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</si>
  <si>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</si>
  <si>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</si>
  <si>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</si>
  <si>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</si>
  <si>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</si>
  <si>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</si>
  <si>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</si>
  <si>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</si>
  <si>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</si>
  <si>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</si>
  <si>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</si>
  <si>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</si>
  <si>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</si>
  <si>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</si>
  <si>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</si>
  <si>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</si>
  <si>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</si>
  <si>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</si>
  <si>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</si>
  <si>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</si>
  <si>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</si>
  <si>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</si>
  <si>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</si>
  <si>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</si>
  <si>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</si>
  <si>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</si>
  <si>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</si>
  <si>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</si>
  <si>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</si>
  <si>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</si>
  <si>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</si>
  <si>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</si>
  <si>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</si>
  <si>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</si>
  <si>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</si>
  <si>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</si>
  <si>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</si>
  <si>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</si>
  <si>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</si>
  <si>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</si>
  <si>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</si>
  <si>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</si>
  <si>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</si>
  <si>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</si>
  <si>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</si>
  <si>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</si>
  <si>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</si>
  <si>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</si>
  <si>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</si>
  <si>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</si>
  <si>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</si>
  <si>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</si>
  <si>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</si>
  <si>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</si>
  <si>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</si>
  <si>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</si>
  <si>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</si>
  <si>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</si>
  <si>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</si>
  <si>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</si>
  <si>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</si>
  <si>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</si>
  <si>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</si>
  <si>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</si>
  <si>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</si>
  <si>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</si>
  <si>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</si>
  <si>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</si>
  <si>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</si>
  <si>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</si>
  <si>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</si>
  <si>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</si>
  <si>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</si>
  <si>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</si>
  <si>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</si>
  <si>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</si>
  <si>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</si>
  <si>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</si>
  <si>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</si>
  <si>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</si>
  <si>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</si>
  <si>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</si>
  <si>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</si>
  <si>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</si>
  <si>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</si>
  <si>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</si>
  <si>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</si>
  <si>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</si>
  <si>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</si>
  <si>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</si>
  <si>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</si>
  <si>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</si>
  <si>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</si>
  <si>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</si>
  <si>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</si>
  <si>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</si>
  <si>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</si>
  <si>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</si>
  <si>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</si>
  <si>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</si>
  <si>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</si>
  <si>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</si>
  <si>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</si>
  <si>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</si>
  <si>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</si>
  <si>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</si>
  <si>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</si>
  <si>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</si>
  <si>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</si>
  <si>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</si>
  <si>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</si>
  <si>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</si>
  <si>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</si>
  <si>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</si>
  <si>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</si>
  <si>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</si>
  <si>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</si>
  <si>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</si>
  <si>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</si>
  <si>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</si>
  <si>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</si>
  <si>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</si>
  <si>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</si>
  <si>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</si>
  <si>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</si>
  <si>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</si>
  <si>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</si>
  <si>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</si>
  <si>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</si>
  <si>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</si>
  <si>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</si>
  <si>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</si>
  <si>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</si>
  <si>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</si>
  <si>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</si>
  <si>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</si>
  <si>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</si>
  <si>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</si>
  <si>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</si>
  <si>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</si>
  <si>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</si>
  <si>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</si>
  <si>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</si>
  <si>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</si>
  <si>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</si>
  <si>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</si>
  <si>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</si>
  <si>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</si>
  <si>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</si>
  <si>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</si>
  <si>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</si>
  <si>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</si>
  <si>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</si>
  <si>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</si>
  <si>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</si>
  <si>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</si>
  <si>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</si>
  <si>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</si>
  <si>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</si>
  <si>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</si>
  <si>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</si>
  <si>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</si>
  <si>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</si>
  <si>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</si>
  <si>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</si>
  <si>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</si>
  <si>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</si>
  <si>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</si>
  <si>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</si>
  <si>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</si>
  <si>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</si>
  <si>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</si>
  <si>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</si>
  <si>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</si>
  <si>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</si>
  <si>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</si>
  <si>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</si>
  <si>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</si>
  <si>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</si>
  <si>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</si>
  <si>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</si>
  <si>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</si>
  <si>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</si>
  <si>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</si>
  <si>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</si>
  <si>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</si>
  <si>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</si>
  <si>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</si>
  <si>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</si>
  <si>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</si>
  <si>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</si>
  <si>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</si>
  <si>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</si>
  <si>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</si>
  <si>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</si>
  <si>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</si>
  <si>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</si>
  <si>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</si>
  <si>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</si>
  <si>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</si>
  <si>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</si>
  <si>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</si>
  <si>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</si>
  <si>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</si>
  <si>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</si>
  <si>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</si>
  <si>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</si>
  <si>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</si>
  <si>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</si>
  <si>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</si>
  <si>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</si>
  <si>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</si>
  <si>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</si>
  <si>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</si>
  <si>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</si>
  <si>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</si>
  <si>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</si>
  <si>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</si>
  <si>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</si>
  <si>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</si>
  <si>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</si>
  <si>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</si>
  <si>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</si>
  <si>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</si>
  <si>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</si>
  <si>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</si>
  <si>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</si>
  <si>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</si>
  <si>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</si>
  <si>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</si>
  <si>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</si>
  <si>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</si>
  <si>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</si>
  <si>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</si>
  <si>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</si>
  <si>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</si>
  <si>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</si>
  <si>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</si>
  <si>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</si>
  <si>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</si>
  <si>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</si>
  <si>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</si>
  <si>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</si>
  <si>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</si>
  <si>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</si>
  <si>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</si>
  <si>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</si>
  <si>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</si>
  <si>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</si>
  <si>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</si>
  <si>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</si>
  <si>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</si>
  <si>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</si>
  <si>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</si>
  <si>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</si>
  <si>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</si>
  <si>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</si>
  <si>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</si>
  <si>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</si>
  <si>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</si>
  <si>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</si>
  <si>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</si>
  <si>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</si>
  <si>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</si>
  <si>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</si>
  <si>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</si>
  <si>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</si>
  <si>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</si>
  <si>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</si>
  <si>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</si>
  <si>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</si>
  <si>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</si>
  <si>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</si>
  <si>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</si>
  <si>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</si>
  <si>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</si>
  <si>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</si>
  <si>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</si>
  <si>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</si>
  <si>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</si>
  <si>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</si>
  <si>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</si>
  <si>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</si>
  <si>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</si>
  <si>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</si>
  <si>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</si>
  <si>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</si>
  <si>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</si>
  <si>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</si>
  <si>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</si>
  <si>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</si>
  <si>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</si>
  <si>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</si>
  <si>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</si>
  <si>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</si>
  <si>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</si>
  <si>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</si>
  <si>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</si>
  <si>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</si>
  <si>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</si>
  <si>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</si>
  <si>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</si>
  <si>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</si>
  <si>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</si>
  <si>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</si>
  <si>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</si>
  <si>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</si>
  <si>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</si>
  <si>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</si>
  <si>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</si>
  <si>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</si>
  <si>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</si>
  <si>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</si>
  <si>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</si>
  <si>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</si>
  <si>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</si>
  <si>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</si>
  <si>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</si>
  <si>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</si>
  <si>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</si>
  <si>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</si>
  <si>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</si>
  <si>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</si>
  <si>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</si>
  <si>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</si>
  <si>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</si>
  <si>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</si>
  <si>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</si>
  <si>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</si>
  <si>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</si>
  <si>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</si>
  <si>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</si>
  <si>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</si>
  <si>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</si>
  <si>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</si>
  <si>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</si>
  <si>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</si>
  <si>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</si>
  <si>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</si>
  <si>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</si>
  <si>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</si>
  <si>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</si>
  <si>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</si>
  <si>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</si>
  <si>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</si>
  <si>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</si>
  <si>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</si>
  <si>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</si>
  <si>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</si>
  <si>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</si>
  <si>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</si>
  <si>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</si>
  <si>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</si>
  <si>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</si>
  <si>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</si>
  <si>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</si>
  <si>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</si>
  <si>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</si>
  <si>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</si>
  <si>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</si>
  <si>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</si>
  <si>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</si>
  <si>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</si>
  <si>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</si>
  <si>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</si>
  <si>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</si>
  <si>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</si>
  <si>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</si>
  <si>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</si>
  <si>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</si>
  <si>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</si>
  <si>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</si>
  <si>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</si>
  <si>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</si>
  <si>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</si>
  <si>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</si>
  <si>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</si>
  <si>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</si>
  <si>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</si>
  <si>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</si>
  <si>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</si>
  <si>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</si>
  <si>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</si>
  <si>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</si>
  <si>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</si>
  <si>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</si>
  <si>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</si>
  <si>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</si>
  <si>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</si>
  <si>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</si>
  <si>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</si>
  <si>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</si>
  <si>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</si>
  <si>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</si>
  <si>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</si>
  <si>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</si>
  <si>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</si>
  <si>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</si>
  <si>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</si>
  <si>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</si>
  <si>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</si>
  <si>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</si>
  <si>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</si>
  <si>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</si>
  <si>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</si>
  <si>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</si>
  <si>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</si>
  <si>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</si>
  <si>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</si>
  <si>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</si>
  <si>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</si>
  <si>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</si>
  <si>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</si>
  <si>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</si>
  <si>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</si>
  <si>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</si>
  <si>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</si>
  <si>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</si>
  <si>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</si>
  <si>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</si>
  <si>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</si>
  <si>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</si>
  <si>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</si>
  <si>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</si>
  <si>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</si>
  <si>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</si>
  <si>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</si>
  <si>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</si>
  <si>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</si>
  <si>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</si>
  <si>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</si>
  <si>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</si>
  <si>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</si>
  <si>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</si>
  <si>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</si>
  <si>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</si>
  <si>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</si>
  <si>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</si>
  <si>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</si>
  <si>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</si>
  <si>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</si>
  <si>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</si>
  <si>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</si>
  <si>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</si>
  <si>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</si>
  <si>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</si>
  <si>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</si>
  <si>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</si>
  <si>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</si>
  <si>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</si>
  <si>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</si>
  <si>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</si>
  <si>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</si>
  <si>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</si>
  <si>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</si>
  <si>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</si>
  <si>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</si>
  <si>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</si>
  <si>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</si>
  <si>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</si>
  <si>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</si>
  <si>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</si>
  <si>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</si>
  <si>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</si>
  <si>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</si>
  <si>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</si>
  <si>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</si>
  <si>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</si>
  <si>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</si>
  <si>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</si>
  <si>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</si>
  <si>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</si>
  <si>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</si>
  <si>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</si>
  <si>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</si>
  <si>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</si>
  <si>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</si>
  <si>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</si>
  <si>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</si>
  <si>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</si>
  <si>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</si>
  <si>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</si>
  <si>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</si>
  <si>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</si>
  <si>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</si>
  <si>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</si>
  <si>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</si>
  <si>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</si>
  <si>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</si>
  <si>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</si>
  <si>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</si>
  <si>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</si>
  <si>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</si>
  <si>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</si>
  <si>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</si>
  <si>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</si>
  <si>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</si>
  <si>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</si>
  <si>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</si>
  <si>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</si>
  <si>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</si>
  <si>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</si>
  <si>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</si>
  <si>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</si>
  <si>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</si>
  <si>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</si>
  <si>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</si>
  <si>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</si>
  <si>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</si>
  <si>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</si>
  <si>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</si>
  <si>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</si>
  <si>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</si>
  <si>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</si>
  <si>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</si>
  <si>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</si>
  <si>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</si>
  <si>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</si>
  <si>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</si>
  <si>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</si>
  <si>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</si>
  <si>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</si>
  <si>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</si>
  <si>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</si>
  <si>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</si>
  <si>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</si>
  <si>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</si>
  <si>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</si>
  <si>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</si>
  <si>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</si>
  <si>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</si>
  <si>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</si>
  <si>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</si>
  <si>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</si>
  <si>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</si>
  <si>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</si>
  <si>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</si>
  <si>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</si>
  <si>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</si>
  <si>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</si>
  <si>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</si>
  <si>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</si>
  <si>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</si>
  <si>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</si>
  <si>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</si>
  <si>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</si>
  <si>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</si>
  <si>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</si>
  <si>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</si>
  <si>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</si>
  <si>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</si>
  <si>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</si>
  <si>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</si>
  <si>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</si>
  <si>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</si>
  <si>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</si>
  <si>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</si>
  <si>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</si>
  <si>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</si>
  <si>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</si>
  <si>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</si>
  <si>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</si>
  <si>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</si>
  <si>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</si>
  <si>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</si>
  <si>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</si>
  <si>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</si>
  <si>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</si>
  <si>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</si>
  <si>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</si>
  <si>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</si>
  <si>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</si>
  <si>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</si>
  <si>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</si>
  <si>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</si>
  <si>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</si>
  <si>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</si>
  <si>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</si>
  <si>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</si>
  <si>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</si>
  <si>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</si>
  <si>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</si>
  <si>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</si>
  <si>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</si>
  <si>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</si>
  <si>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</si>
  <si>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</si>
  <si>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</si>
  <si>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</si>
  <si>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</si>
  <si>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</si>
  <si>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</si>
  <si>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</si>
  <si>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</si>
  <si>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</si>
  <si>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</si>
  <si>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</si>
  <si>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</si>
  <si>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</si>
  <si>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</si>
  <si>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</si>
  <si>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</si>
  <si>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</si>
  <si>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</si>
  <si>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</si>
  <si>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</si>
  <si>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</si>
  <si>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</si>
  <si>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</si>
  <si>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</si>
  <si>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</si>
  <si>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</si>
  <si>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</si>
  <si>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</si>
  <si>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</si>
  <si>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</si>
  <si>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</si>
  <si>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</si>
  <si>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</si>
  <si>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</si>
  <si>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</si>
  <si>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</si>
  <si>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</si>
  <si>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</si>
  <si>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</si>
  <si>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</si>
  <si>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</si>
  <si>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</si>
  <si>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</si>
  <si>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</si>
  <si>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</si>
  <si>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</si>
  <si>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</si>
  <si>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</si>
  <si>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</si>
  <si>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</si>
  <si>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</si>
  <si>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</si>
  <si>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</si>
  <si>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</si>
  <si>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</si>
  <si>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</si>
  <si>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</si>
  <si>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</si>
  <si>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</si>
  <si>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</si>
  <si>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</si>
  <si>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</si>
  <si>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</si>
  <si>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</si>
  <si>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</si>
  <si>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</si>
  <si>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</si>
  <si>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</si>
  <si>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</si>
  <si>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</si>
  <si>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</si>
  <si>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</si>
  <si>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</si>
  <si>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</si>
  <si>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</si>
  <si>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</si>
  <si>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</si>
  <si>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</si>
  <si>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</si>
  <si>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</si>
  <si>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</si>
  <si>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</si>
  <si>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</si>
  <si>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</si>
  <si>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</si>
  <si>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</si>
  <si>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</si>
  <si>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</si>
  <si>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</si>
  <si>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</si>
  <si>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</si>
  <si>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</si>
  <si>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</si>
  <si>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</si>
  <si>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</si>
  <si>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</si>
  <si>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</si>
  <si>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</si>
  <si>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</si>
  <si>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</si>
  <si>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</si>
  <si>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</si>
  <si>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</si>
  <si>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</si>
  <si>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</si>
  <si>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</si>
  <si>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</si>
  <si>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</si>
  <si>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</si>
  <si>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</si>
  <si>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</si>
  <si>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</si>
  <si>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</si>
  <si>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</si>
  <si>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</si>
  <si>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</si>
  <si>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</si>
  <si>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</si>
  <si>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</si>
  <si>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</si>
  <si>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</si>
  <si>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</si>
  <si>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</si>
  <si>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</si>
  <si>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</si>
  <si>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</si>
  <si>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</si>
  <si>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43010</t>
  </si>
  <si>
    <t>MALDEGEM</t>
  </si>
  <si>
    <t>Cultuurgrond (ha)</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</si>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</sst>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221007.33145531677</c:v>
                </c:pt>
                <c:pt idx="1">
                  <c:v>62083.764298151065</c:v>
                </c:pt>
                <c:pt idx="2">
                  <c:v>1586.085</c:v>
                </c:pt>
                <c:pt idx="3">
                  <c:v>25477.325389005138</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105600"/>
        <c:axId val="180107136"/>
      </c:barChart>
      <c:catAx>
        <c:axId val="180105600"/>
        <c:scaling>
          <c:orientation val="minMax"/>
        </c:scaling>
        <c:axPos val="b"/>
        <c:numFmt formatCode="General" sourceLinked="0"/>
        <c:tickLblPos val="nextTo"/>
        <c:crossAx val="180107136"/>
        <c:crosses val="autoZero"/>
        <c:auto val="1"/>
        <c:lblAlgn val="ctr"/>
        <c:lblOffset val="100"/>
      </c:catAx>
      <c:valAx>
        <c:axId val="180107136"/>
        <c:scaling>
          <c:orientation val="minMax"/>
        </c:scaling>
        <c:axPos val="l"/>
        <c:majorGridlines/>
        <c:numFmt formatCode="#,##0" sourceLinked="1"/>
        <c:tickLblPos val="nextTo"/>
        <c:crossAx val="180105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221007.33145531677</c:v>
                </c:pt>
                <c:pt idx="1">
                  <c:v>62083.764298151065</c:v>
                </c:pt>
                <c:pt idx="2">
                  <c:v>1586.085</c:v>
                </c:pt>
                <c:pt idx="3">
                  <c:v>25477.325389005138</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37114.401142093891</c:v>
                </c:pt>
                <c:pt idx="2">
                  <c:v>11139.898893925711</c:v>
                </c:pt>
                <c:pt idx="3">
                  <c:v>235.04127173596353</c:v>
                </c:pt>
                <c:pt idx="4">
                  <c:v>6192.0739891645608</c:v>
                </c:pt>
                <c:pt idx="5">
                  <c:v>13771.871839897967</c:v>
                </c:pt>
                <c:pt idx="6">
                  <c:v>53800.513713333705</c:v>
                </c:pt>
                <c:pt idx="7">
                  <c:v>390.6099713851375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497408"/>
        <c:axId val="180536064"/>
      </c:barChart>
      <c:catAx>
        <c:axId val="180497408"/>
        <c:scaling>
          <c:orientation val="minMax"/>
        </c:scaling>
        <c:axPos val="b"/>
        <c:numFmt formatCode="General" sourceLinked="0"/>
        <c:tickLblPos val="nextTo"/>
        <c:crossAx val="180536064"/>
        <c:crosses val="autoZero"/>
        <c:auto val="1"/>
        <c:lblAlgn val="ctr"/>
        <c:lblOffset val="100"/>
      </c:catAx>
      <c:valAx>
        <c:axId val="180536064"/>
        <c:scaling>
          <c:orientation val="minMax"/>
        </c:scaling>
        <c:axPos val="l"/>
        <c:majorGridlines/>
        <c:numFmt formatCode="#,##0" sourceLinked="1"/>
        <c:tickLblPos val="nextTo"/>
        <c:crossAx val="18049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37114.401142093891</c:v>
                </c:pt>
                <c:pt idx="2">
                  <c:v>11139.898893925711</c:v>
                </c:pt>
                <c:pt idx="3">
                  <c:v>235.04127173596353</c:v>
                </c:pt>
                <c:pt idx="4">
                  <c:v>6192.0739891645608</c:v>
                </c:pt>
                <c:pt idx="5">
                  <c:v>13771.871839897967</c:v>
                </c:pt>
                <c:pt idx="6">
                  <c:v>53800.513713333705</c:v>
                </c:pt>
                <c:pt idx="7">
                  <c:v>390.6099713851375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43010</v>
      </c>
      <c r="B6" s="398"/>
      <c r="C6" s="399"/>
    </row>
    <row r="7" spans="1:7" s="396" customFormat="1" ht="15.75" customHeight="1">
      <c r="A7" s="400" t="str">
        <f>txtMunicipality</f>
        <v>MALDEGEM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24656.722764986109</v>
      </c>
      <c r="D10" s="690">
        <f ca="1">tertiair!C16</f>
        <v>0</v>
      </c>
      <c r="E10" s="690">
        <f ca="1">tertiair!D16</f>
        <v>31430.86006343531</v>
      </c>
      <c r="F10" s="690">
        <f>tertiair!E16</f>
        <v>376.51322123430458</v>
      </c>
      <c r="G10" s="690">
        <f ca="1">tertiair!F16</f>
        <v>4818.6086660394431</v>
      </c>
      <c r="H10" s="690">
        <f>tertiair!G16</f>
        <v>0</v>
      </c>
      <c r="I10" s="690">
        <f>tertiair!H16</f>
        <v>0</v>
      </c>
      <c r="J10" s="690">
        <f>tertiair!I16</f>
        <v>0</v>
      </c>
      <c r="K10" s="690">
        <f>tertiair!J16</f>
        <v>0</v>
      </c>
      <c r="L10" s="690">
        <f>tertiair!K16</f>
        <v>0</v>
      </c>
      <c r="M10" s="690">
        <f ca="1">tertiair!L16</f>
        <v>0</v>
      </c>
      <c r="N10" s="690">
        <f>tertiair!M16</f>
        <v>0</v>
      </c>
      <c r="O10" s="690">
        <f ca="1">tertiair!N16</f>
        <v>2319.001249122568</v>
      </c>
      <c r="P10" s="690">
        <f>tertiair!O16</f>
        <v>10.943333333333335</v>
      </c>
      <c r="Q10" s="691">
        <f>tertiair!P16</f>
        <v>57.2</v>
      </c>
      <c r="R10" s="693">
        <f ca="1">SUM(C10:Q10)</f>
        <v>63669.849298151072</v>
      </c>
      <c r="S10" s="67"/>
    </row>
    <row r="11" spans="1:19" s="458" customFormat="1">
      <c r="A11" s="805" t="s">
        <v>225</v>
      </c>
      <c r="B11" s="810"/>
      <c r="C11" s="690">
        <f>huishoudens!B8</f>
        <v>45528.545712027197</v>
      </c>
      <c r="D11" s="690">
        <f>huishoudens!C8</f>
        <v>0</v>
      </c>
      <c r="E11" s="690">
        <f>huishoudens!D8</f>
        <v>97108.898611947428</v>
      </c>
      <c r="F11" s="690">
        <f>huishoudens!E8</f>
        <v>10730.662699781624</v>
      </c>
      <c r="G11" s="690">
        <f>huishoudens!F8</f>
        <v>24068.051729388531</v>
      </c>
      <c r="H11" s="690">
        <f>huishoudens!G8</f>
        <v>0</v>
      </c>
      <c r="I11" s="690">
        <f>huishoudens!H8</f>
        <v>0</v>
      </c>
      <c r="J11" s="690">
        <f>huishoudens!I8</f>
        <v>0</v>
      </c>
      <c r="K11" s="690">
        <f>huishoudens!J8</f>
        <v>5337.6193808271382</v>
      </c>
      <c r="L11" s="690">
        <f>huishoudens!K8</f>
        <v>0</v>
      </c>
      <c r="M11" s="690">
        <f>huishoudens!L8</f>
        <v>0</v>
      </c>
      <c r="N11" s="690">
        <f>huishoudens!M8</f>
        <v>0</v>
      </c>
      <c r="O11" s="690">
        <f>huishoudens!N8</f>
        <v>36986.619988011502</v>
      </c>
      <c r="P11" s="690">
        <f>huishoudens!O8</f>
        <v>312.66666666666669</v>
      </c>
      <c r="Q11" s="691">
        <f>huishoudens!P8</f>
        <v>934.26666666666665</v>
      </c>
      <c r="R11" s="693">
        <f>SUM(C11:Q11)</f>
        <v>221007.33145531677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33594.197091832226</v>
      </c>
      <c r="D13" s="690">
        <f>industrie!C18</f>
        <v>0</v>
      </c>
      <c r="E13" s="690">
        <f>industrie!D18</f>
        <v>15867.828971854324</v>
      </c>
      <c r="F13" s="690">
        <f>industrie!E18</f>
        <v>2971.4757147018754</v>
      </c>
      <c r="G13" s="690">
        <f>industrie!F18</f>
        <v>18335.749713266479</v>
      </c>
      <c r="H13" s="690">
        <f>industrie!G18</f>
        <v>0</v>
      </c>
      <c r="I13" s="690">
        <f>industrie!H18</f>
        <v>0</v>
      </c>
      <c r="J13" s="690">
        <f>industrie!I18</f>
        <v>0</v>
      </c>
      <c r="K13" s="690">
        <f>industrie!J18</f>
        <v>51.102351804060774</v>
      </c>
      <c r="L13" s="690">
        <f>industrie!K18</f>
        <v>0</v>
      </c>
      <c r="M13" s="690">
        <f>industrie!L18</f>
        <v>0</v>
      </c>
      <c r="N13" s="690">
        <f>industrie!M18</f>
        <v>0</v>
      </c>
      <c r="O13" s="690">
        <f>industrie!N18</f>
        <v>10168.148816051049</v>
      </c>
      <c r="P13" s="690">
        <f>industrie!O18</f>
        <v>0</v>
      </c>
      <c r="Q13" s="691">
        <f>industrie!P18</f>
        <v>0</v>
      </c>
      <c r="R13" s="693">
        <f>SUM(C13:Q13)</f>
        <v>80988.502659510006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103779.46556884554</v>
      </c>
      <c r="D16" s="725">
        <f t="shared" ref="D16:R16" ca="1" si="0">SUM(D9:D15)</f>
        <v>0</v>
      </c>
      <c r="E16" s="725">
        <f t="shared" ca="1" si="0"/>
        <v>144407.58764723706</v>
      </c>
      <c r="F16" s="725">
        <f t="shared" si="0"/>
        <v>14078.651635717804</v>
      </c>
      <c r="G16" s="725">
        <f t="shared" ca="1" si="0"/>
        <v>47222.410108694457</v>
      </c>
      <c r="H16" s="725">
        <f t="shared" si="0"/>
        <v>0</v>
      </c>
      <c r="I16" s="725">
        <f t="shared" si="0"/>
        <v>0</v>
      </c>
      <c r="J16" s="725">
        <f t="shared" si="0"/>
        <v>0</v>
      </c>
      <c r="K16" s="725">
        <f t="shared" si="0"/>
        <v>5388.7217326311993</v>
      </c>
      <c r="L16" s="725">
        <f t="shared" si="0"/>
        <v>0</v>
      </c>
      <c r="M16" s="725">
        <f t="shared" ca="1" si="0"/>
        <v>0</v>
      </c>
      <c r="N16" s="725">
        <f t="shared" si="0"/>
        <v>0</v>
      </c>
      <c r="O16" s="725">
        <f t="shared" ca="1" si="0"/>
        <v>49473.770053185115</v>
      </c>
      <c r="P16" s="725">
        <f t="shared" si="0"/>
        <v>323.61</v>
      </c>
      <c r="Q16" s="725">
        <f t="shared" si="0"/>
        <v>991.4666666666667</v>
      </c>
      <c r="R16" s="725">
        <f t="shared" ca="1" si="0"/>
        <v>365665.68341297784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1462.9586943263575</v>
      </c>
      <c r="I19" s="690">
        <f>transport!H54</f>
        <v>0</v>
      </c>
      <c r="J19" s="690">
        <f>transport!I54</f>
        <v>0</v>
      </c>
      <c r="K19" s="690">
        <f>transport!J54</f>
        <v>0</v>
      </c>
      <c r="L19" s="690">
        <f>transport!K54</f>
        <v>0</v>
      </c>
      <c r="M19" s="690">
        <f>transport!L54</f>
        <v>0</v>
      </c>
      <c r="N19" s="690">
        <f>transport!M54</f>
        <v>65.061351411324466</v>
      </c>
      <c r="O19" s="690">
        <f>transport!N54</f>
        <v>0</v>
      </c>
      <c r="P19" s="690">
        <f>transport!O54</f>
        <v>0</v>
      </c>
      <c r="Q19" s="691">
        <f>transport!P54</f>
        <v>0</v>
      </c>
      <c r="R19" s="693">
        <f>SUM(C19:Q19)</f>
        <v>1528.020045737682</v>
      </c>
      <c r="S19" s="67"/>
    </row>
    <row r="20" spans="1:19" s="458" customFormat="1">
      <c r="A20" s="805" t="s">
        <v>307</v>
      </c>
      <c r="B20" s="810"/>
      <c r="C20" s="690">
        <f>transport!B14</f>
        <v>12.40120870689822</v>
      </c>
      <c r="D20" s="690">
        <f>transport!C14</f>
        <v>0</v>
      </c>
      <c r="E20" s="690">
        <f>transport!D14</f>
        <v>20.277921983803477</v>
      </c>
      <c r="F20" s="690">
        <f>transport!E14</f>
        <v>628.67548770915289</v>
      </c>
      <c r="G20" s="690">
        <f>transport!F14</f>
        <v>0</v>
      </c>
      <c r="H20" s="690">
        <f>transport!G14</f>
        <v>172568.7700420068</v>
      </c>
      <c r="I20" s="690">
        <f>transport!H14</f>
        <v>30425.738579292356</v>
      </c>
      <c r="J20" s="690">
        <f>transport!I14</f>
        <v>0</v>
      </c>
      <c r="K20" s="690">
        <f>transport!J14</f>
        <v>0</v>
      </c>
      <c r="L20" s="690">
        <f>transport!K14</f>
        <v>0</v>
      </c>
      <c r="M20" s="690">
        <f>transport!L14</f>
        <v>0</v>
      </c>
      <c r="N20" s="690">
        <f>transport!M14</f>
        <v>9176.2932507571295</v>
      </c>
      <c r="O20" s="690">
        <f>transport!N14</f>
        <v>0</v>
      </c>
      <c r="P20" s="690">
        <f>transport!O14</f>
        <v>0</v>
      </c>
      <c r="Q20" s="691">
        <f>transport!P14</f>
        <v>0</v>
      </c>
      <c r="R20" s="693">
        <f>SUM(C20:Q20)</f>
        <v>212832.15649045611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12.40120870689822</v>
      </c>
      <c r="D22" s="808">
        <f t="shared" ref="D22:R22" si="1">SUM(D18:D21)</f>
        <v>0</v>
      </c>
      <c r="E22" s="808">
        <f t="shared" si="1"/>
        <v>20.277921983803477</v>
      </c>
      <c r="F22" s="808">
        <f t="shared" si="1"/>
        <v>628.67548770915289</v>
      </c>
      <c r="G22" s="808">
        <f t="shared" si="1"/>
        <v>0</v>
      </c>
      <c r="H22" s="808">
        <f t="shared" si="1"/>
        <v>174031.72873633317</v>
      </c>
      <c r="I22" s="808">
        <f t="shared" si="1"/>
        <v>30425.738579292356</v>
      </c>
      <c r="J22" s="808">
        <f t="shared" si="1"/>
        <v>0</v>
      </c>
      <c r="K22" s="808">
        <f t="shared" si="1"/>
        <v>0</v>
      </c>
      <c r="L22" s="808">
        <f t="shared" si="1"/>
        <v>0</v>
      </c>
      <c r="M22" s="808">
        <f t="shared" si="1"/>
        <v>0</v>
      </c>
      <c r="N22" s="808">
        <f t="shared" si="1"/>
        <v>9241.3546021684542</v>
      </c>
      <c r="O22" s="808">
        <f t="shared" si="1"/>
        <v>0</v>
      </c>
      <c r="P22" s="808">
        <f t="shared" si="1"/>
        <v>0</v>
      </c>
      <c r="Q22" s="808">
        <f t="shared" si="1"/>
        <v>0</v>
      </c>
      <c r="R22" s="808">
        <f t="shared" si="1"/>
        <v>214360.17653619379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5459.9023635801077</v>
      </c>
      <c r="D24" s="690">
        <f>+landbouw!C8</f>
        <v>57.160714285714278</v>
      </c>
      <c r="E24" s="690">
        <f>+landbouw!D8</f>
        <v>232.32231644886576</v>
      </c>
      <c r="F24" s="690">
        <f>+landbouw!E8</f>
        <v>68.801803565466741</v>
      </c>
      <c r="G24" s="690">
        <f>+landbouw!F8</f>
        <v>18838.030941622092</v>
      </c>
      <c r="H24" s="690">
        <f>+landbouw!G8</f>
        <v>0</v>
      </c>
      <c r="I24" s="690">
        <f>+landbouw!H8</f>
        <v>0</v>
      </c>
      <c r="J24" s="690">
        <f>+landbouw!I8</f>
        <v>0</v>
      </c>
      <c r="K24" s="690">
        <f>+landbouw!J8</f>
        <v>821.10724950289136</v>
      </c>
      <c r="L24" s="690">
        <f>+landbouw!K8</f>
        <v>0</v>
      </c>
      <c r="M24" s="690">
        <f>+landbouw!L8</f>
        <v>0</v>
      </c>
      <c r="N24" s="690">
        <f>+landbouw!M8</f>
        <v>0</v>
      </c>
      <c r="O24" s="690">
        <f>+landbouw!N8</f>
        <v>0</v>
      </c>
      <c r="P24" s="690">
        <f>+landbouw!O8</f>
        <v>0</v>
      </c>
      <c r="Q24" s="691">
        <f>+landbouw!P8</f>
        <v>0</v>
      </c>
      <c r="R24" s="693">
        <f>SUM(C24:Q24)</f>
        <v>25477.325389005138</v>
      </c>
      <c r="S24" s="67"/>
    </row>
    <row r="25" spans="1:19" s="458" customFormat="1" ht="15" thickBot="1">
      <c r="A25" s="827" t="s">
        <v>872</v>
      </c>
      <c r="B25" s="1004"/>
      <c r="C25" s="1005">
        <f>IF(Onbekend_ele_kWh="---",0,Onbekend_ele_kWh)/1000+IF(REST_rest_ele_kWh="---",0,REST_rest_ele_kWh)/1000</f>
        <v>1552.86171353656</v>
      </c>
      <c r="D25" s="1005"/>
      <c r="E25" s="1005">
        <f>IF(onbekend_gas_kWh="---",0,onbekend_gas_kWh)/1000+IF(REST_rest_gas_kWh="---",0,REST_rest_gas_kWh)/1000</f>
        <v>3761.8598199156299</v>
      </c>
      <c r="F25" s="1005"/>
      <c r="G25" s="1005"/>
      <c r="H25" s="1005"/>
      <c r="I25" s="1005"/>
      <c r="J25" s="1005"/>
      <c r="K25" s="1005"/>
      <c r="L25" s="1005"/>
      <c r="M25" s="1005"/>
      <c r="N25" s="1005"/>
      <c r="O25" s="1005"/>
      <c r="P25" s="1005"/>
      <c r="Q25" s="1006"/>
      <c r="R25" s="693">
        <f>SUM(C25:Q25)</f>
        <v>5314.7215334521898</v>
      </c>
      <c r="S25" s="67"/>
    </row>
    <row r="26" spans="1:19" s="458" customFormat="1" ht="15.75" thickBot="1">
      <c r="A26" s="698" t="s">
        <v>873</v>
      </c>
      <c r="B26" s="813"/>
      <c r="C26" s="808">
        <f>SUM(C24:C25)</f>
        <v>7012.764077116668</v>
      </c>
      <c r="D26" s="808">
        <f t="shared" ref="D26:R26" si="2">SUM(D24:D25)</f>
        <v>57.160714285714278</v>
      </c>
      <c r="E26" s="808">
        <f t="shared" si="2"/>
        <v>3994.1821363644958</v>
      </c>
      <c r="F26" s="808">
        <f t="shared" si="2"/>
        <v>68.801803565466741</v>
      </c>
      <c r="G26" s="808">
        <f t="shared" si="2"/>
        <v>18838.030941622092</v>
      </c>
      <c r="H26" s="808">
        <f t="shared" si="2"/>
        <v>0</v>
      </c>
      <c r="I26" s="808">
        <f t="shared" si="2"/>
        <v>0</v>
      </c>
      <c r="J26" s="808">
        <f t="shared" si="2"/>
        <v>0</v>
      </c>
      <c r="K26" s="808">
        <f t="shared" si="2"/>
        <v>821.10724950289136</v>
      </c>
      <c r="L26" s="808">
        <f t="shared" si="2"/>
        <v>0</v>
      </c>
      <c r="M26" s="808">
        <f t="shared" si="2"/>
        <v>0</v>
      </c>
      <c r="N26" s="808">
        <f t="shared" si="2"/>
        <v>0</v>
      </c>
      <c r="O26" s="808">
        <f t="shared" si="2"/>
        <v>0</v>
      </c>
      <c r="P26" s="808">
        <f t="shared" si="2"/>
        <v>0</v>
      </c>
      <c r="Q26" s="808">
        <f t="shared" si="2"/>
        <v>0</v>
      </c>
      <c r="R26" s="808">
        <f t="shared" si="2"/>
        <v>30792.046922457328</v>
      </c>
      <c r="S26" s="67"/>
    </row>
    <row r="27" spans="1:19" s="458" customFormat="1" ht="17.25" thickTop="1" thickBot="1">
      <c r="A27" s="699" t="s">
        <v>116</v>
      </c>
      <c r="B27" s="800"/>
      <c r="C27" s="700">
        <f ca="1">C22+C16+C26</f>
        <v>110804.6308546691</v>
      </c>
      <c r="D27" s="700">
        <f t="shared" ref="D27:R27" ca="1" si="3">D22+D16+D26</f>
        <v>57.160714285714278</v>
      </c>
      <c r="E27" s="700">
        <f t="shared" ca="1" si="3"/>
        <v>148422.04770558534</v>
      </c>
      <c r="F27" s="700">
        <f t="shared" si="3"/>
        <v>14776.128926992424</v>
      </c>
      <c r="G27" s="700">
        <f t="shared" ca="1" si="3"/>
        <v>66060.441050316556</v>
      </c>
      <c r="H27" s="700">
        <f t="shared" si="3"/>
        <v>174031.72873633317</v>
      </c>
      <c r="I27" s="700">
        <f t="shared" si="3"/>
        <v>30425.738579292356</v>
      </c>
      <c r="J27" s="700">
        <f t="shared" si="3"/>
        <v>0</v>
      </c>
      <c r="K27" s="700">
        <f t="shared" si="3"/>
        <v>6209.8289821340904</v>
      </c>
      <c r="L27" s="700">
        <f t="shared" si="3"/>
        <v>0</v>
      </c>
      <c r="M27" s="700">
        <f t="shared" ca="1" si="3"/>
        <v>0</v>
      </c>
      <c r="N27" s="700">
        <f t="shared" si="3"/>
        <v>9241.3546021684542</v>
      </c>
      <c r="O27" s="700">
        <f t="shared" ca="1" si="3"/>
        <v>49473.770053185115</v>
      </c>
      <c r="P27" s="700">
        <f t="shared" si="3"/>
        <v>323.61</v>
      </c>
      <c r="Q27" s="700">
        <f t="shared" si="3"/>
        <v>991.4666666666667</v>
      </c>
      <c r="R27" s="700">
        <f t="shared" ca="1" si="3"/>
        <v>610817.90687162895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3653.8694177950229</v>
      </c>
      <c r="D40" s="690">
        <f ca="1">tertiair!C20</f>
        <v>0</v>
      </c>
      <c r="E40" s="690">
        <f ca="1">tertiair!D20</f>
        <v>6349.0337328139331</v>
      </c>
      <c r="F40" s="690">
        <f>tertiair!E20</f>
        <v>85.468501220187136</v>
      </c>
      <c r="G40" s="690">
        <f ca="1">tertiair!F20</f>
        <v>1286.5685138325314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11374.940165661676</v>
      </c>
    </row>
    <row r="41" spans="1:18">
      <c r="A41" s="818" t="s">
        <v>225</v>
      </c>
      <c r="B41" s="825"/>
      <c r="C41" s="690">
        <f ca="1">huishoudens!B12</f>
        <v>6746.856117070537</v>
      </c>
      <c r="D41" s="690">
        <f ca="1">huishoudens!C12</f>
        <v>0</v>
      </c>
      <c r="E41" s="690">
        <f>huishoudens!D12</f>
        <v>19615.997519613382</v>
      </c>
      <c r="F41" s="690">
        <f>huishoudens!E12</f>
        <v>2435.8604328504289</v>
      </c>
      <c r="G41" s="690">
        <f>huishoudens!F12</f>
        <v>6426.1698117467386</v>
      </c>
      <c r="H41" s="690">
        <f>huishoudens!G12</f>
        <v>0</v>
      </c>
      <c r="I41" s="690">
        <f>huishoudens!H12</f>
        <v>0</v>
      </c>
      <c r="J41" s="690">
        <f>huishoudens!I12</f>
        <v>0</v>
      </c>
      <c r="K41" s="690">
        <f>huishoudens!J12</f>
        <v>1889.5172608128069</v>
      </c>
      <c r="L41" s="690">
        <f>huishoudens!K12</f>
        <v>0</v>
      </c>
      <c r="M41" s="690">
        <f>huishoudens!L12</f>
        <v>0</v>
      </c>
      <c r="N41" s="690">
        <f>huishoudens!M12</f>
        <v>0</v>
      </c>
      <c r="O41" s="690">
        <f>huishoudens!N12</f>
        <v>0</v>
      </c>
      <c r="P41" s="690">
        <f>huishoudens!O12</f>
        <v>0</v>
      </c>
      <c r="Q41" s="767">
        <f>huishoudens!P12</f>
        <v>0</v>
      </c>
      <c r="R41" s="846">
        <f t="shared" ca="1" si="4"/>
        <v>37114.401142093891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4978.3099943652796</v>
      </c>
      <c r="D43" s="690">
        <f ca="1">industrie!C22</f>
        <v>0</v>
      </c>
      <c r="E43" s="690">
        <f>industrie!D22</f>
        <v>3205.3014523145735</v>
      </c>
      <c r="F43" s="690">
        <f>industrie!E22</f>
        <v>674.52498723732572</v>
      </c>
      <c r="G43" s="690">
        <f>industrie!F22</f>
        <v>4895.6451734421498</v>
      </c>
      <c r="H43" s="690">
        <f>industrie!G22</f>
        <v>0</v>
      </c>
      <c r="I43" s="690">
        <f>industrie!H22</f>
        <v>0</v>
      </c>
      <c r="J43" s="690">
        <f>industrie!I22</f>
        <v>0</v>
      </c>
      <c r="K43" s="690">
        <f>industrie!J22</f>
        <v>18.090232538637512</v>
      </c>
      <c r="L43" s="690">
        <f>industrie!K22</f>
        <v>0</v>
      </c>
      <c r="M43" s="690">
        <f>industrie!L22</f>
        <v>0</v>
      </c>
      <c r="N43" s="690">
        <f>industrie!M22</f>
        <v>0</v>
      </c>
      <c r="O43" s="690">
        <f>industrie!N22</f>
        <v>0</v>
      </c>
      <c r="P43" s="690">
        <f>industrie!O22</f>
        <v>0</v>
      </c>
      <c r="Q43" s="767">
        <f>industrie!P22</f>
        <v>0</v>
      </c>
      <c r="R43" s="845">
        <f t="shared" ca="1" si="4"/>
        <v>13771.871839897967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15379.03552923084</v>
      </c>
      <c r="D46" s="725">
        <f t="shared" ref="D46:Q46" ca="1" si="5">SUM(D39:D45)</f>
        <v>0</v>
      </c>
      <c r="E46" s="725">
        <f t="shared" ca="1" si="5"/>
        <v>29170.332704741886</v>
      </c>
      <c r="F46" s="725">
        <f t="shared" si="5"/>
        <v>3195.8539213079416</v>
      </c>
      <c r="G46" s="725">
        <f t="shared" ca="1" si="5"/>
        <v>12608.38349902142</v>
      </c>
      <c r="H46" s="725">
        <f t="shared" si="5"/>
        <v>0</v>
      </c>
      <c r="I46" s="725">
        <f t="shared" si="5"/>
        <v>0</v>
      </c>
      <c r="J46" s="725">
        <f t="shared" si="5"/>
        <v>0</v>
      </c>
      <c r="K46" s="725">
        <f t="shared" si="5"/>
        <v>1907.6074933514444</v>
      </c>
      <c r="L46" s="725">
        <f t="shared" si="5"/>
        <v>0</v>
      </c>
      <c r="M46" s="725">
        <f t="shared" ca="1" si="5"/>
        <v>0</v>
      </c>
      <c r="N46" s="725">
        <f t="shared" si="5"/>
        <v>0</v>
      </c>
      <c r="O46" s="725">
        <f t="shared" ca="1" si="5"/>
        <v>0</v>
      </c>
      <c r="P46" s="725">
        <f t="shared" si="5"/>
        <v>0</v>
      </c>
      <c r="Q46" s="725">
        <f t="shared" si="5"/>
        <v>0</v>
      </c>
      <c r="R46" s="725">
        <f ca="1">SUM(R39:R45)</f>
        <v>62261.213147653536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390.6099713851375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390.6099713851375</v>
      </c>
    </row>
    <row r="50" spans="1:18">
      <c r="A50" s="821" t="s">
        <v>307</v>
      </c>
      <c r="B50" s="831"/>
      <c r="C50" s="696">
        <f ca="1">transport!B18</f>
        <v>1.8377299233852296</v>
      </c>
      <c r="D50" s="696">
        <f>transport!C18</f>
        <v>0</v>
      </c>
      <c r="E50" s="696">
        <f>transport!D18</f>
        <v>4.0961402407283023</v>
      </c>
      <c r="F50" s="696">
        <f>transport!E18</f>
        <v>142.70933570997772</v>
      </c>
      <c r="G50" s="696">
        <f>transport!F18</f>
        <v>0</v>
      </c>
      <c r="H50" s="696">
        <f>transport!G18</f>
        <v>46075.861601215816</v>
      </c>
      <c r="I50" s="696">
        <f>transport!H18</f>
        <v>7576.0089062437964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53800.513713333705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1.8377299233852296</v>
      </c>
      <c r="D52" s="725">
        <f t="shared" ref="D52:Q52" ca="1" si="6">SUM(D48:D51)</f>
        <v>0</v>
      </c>
      <c r="E52" s="725">
        <f t="shared" si="6"/>
        <v>4.0961402407283023</v>
      </c>
      <c r="F52" s="725">
        <f t="shared" si="6"/>
        <v>142.70933570997772</v>
      </c>
      <c r="G52" s="725">
        <f t="shared" si="6"/>
        <v>0</v>
      </c>
      <c r="H52" s="725">
        <f t="shared" si="6"/>
        <v>46466.471572600953</v>
      </c>
      <c r="I52" s="725">
        <f t="shared" si="6"/>
        <v>7576.0089062437964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54191.123684718841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809.10064409540576</v>
      </c>
      <c r="D54" s="696">
        <f ca="1">+landbouw!C12</f>
        <v>0</v>
      </c>
      <c r="E54" s="696">
        <f>+landbouw!D12</f>
        <v>46.929107922670887</v>
      </c>
      <c r="F54" s="696">
        <f>+landbouw!E12</f>
        <v>15.618009409360951</v>
      </c>
      <c r="G54" s="696">
        <f>+landbouw!F12</f>
        <v>5029.7542614130989</v>
      </c>
      <c r="H54" s="696">
        <f>+landbouw!G12</f>
        <v>0</v>
      </c>
      <c r="I54" s="696">
        <f>+landbouw!H12</f>
        <v>0</v>
      </c>
      <c r="J54" s="696">
        <f>+landbouw!I12</f>
        <v>0</v>
      </c>
      <c r="K54" s="696">
        <f>+landbouw!J12</f>
        <v>290.67196632402351</v>
      </c>
      <c r="L54" s="696">
        <f>+landbouw!K12</f>
        <v>0</v>
      </c>
      <c r="M54" s="696">
        <f>+landbouw!L12</f>
        <v>0</v>
      </c>
      <c r="N54" s="696">
        <f>+landbouw!M12</f>
        <v>0</v>
      </c>
      <c r="O54" s="696">
        <f>+landbouw!N12</f>
        <v>0</v>
      </c>
      <c r="P54" s="696">
        <f>+landbouw!O12</f>
        <v>0</v>
      </c>
      <c r="Q54" s="697">
        <f>+landbouw!P12</f>
        <v>0</v>
      </c>
      <c r="R54" s="724">
        <f ca="1">SUM(C54:Q54)</f>
        <v>6192.0739891645608</v>
      </c>
    </row>
    <row r="55" spans="1:18" ht="15" thickBot="1">
      <c r="A55" s="821" t="s">
        <v>872</v>
      </c>
      <c r="B55" s="831"/>
      <c r="C55" s="696">
        <f ca="1">C25*'EF ele_warmte'!B12</f>
        <v>230.11792683224454</v>
      </c>
      <c r="D55" s="696"/>
      <c r="E55" s="696">
        <f>E25*EF_CO2_aardgas</f>
        <v>759.89568362295734</v>
      </c>
      <c r="F55" s="696"/>
      <c r="G55" s="696"/>
      <c r="H55" s="696"/>
      <c r="I55" s="696"/>
      <c r="J55" s="696"/>
      <c r="K55" s="696"/>
      <c r="L55" s="696"/>
      <c r="M55" s="696"/>
      <c r="N55" s="696"/>
      <c r="O55" s="696"/>
      <c r="P55" s="696"/>
      <c r="Q55" s="697"/>
      <c r="R55" s="724">
        <f ca="1">SUM(C55:Q55)</f>
        <v>990.01361045520184</v>
      </c>
    </row>
    <row r="56" spans="1:18" ht="15.75" thickBot="1">
      <c r="A56" s="819" t="s">
        <v>873</v>
      </c>
      <c r="B56" s="832"/>
      <c r="C56" s="725">
        <f ca="1">SUM(C54:C55)</f>
        <v>1039.2185709276503</v>
      </c>
      <c r="D56" s="725">
        <f t="shared" ref="D56:Q56" ca="1" si="7">SUM(D54:D55)</f>
        <v>0</v>
      </c>
      <c r="E56" s="725">
        <f t="shared" si="7"/>
        <v>806.82479154562827</v>
      </c>
      <c r="F56" s="725">
        <f t="shared" si="7"/>
        <v>15.618009409360951</v>
      </c>
      <c r="G56" s="725">
        <f t="shared" si="7"/>
        <v>5029.7542614130989</v>
      </c>
      <c r="H56" s="725">
        <f t="shared" si="7"/>
        <v>0</v>
      </c>
      <c r="I56" s="725">
        <f t="shared" si="7"/>
        <v>0</v>
      </c>
      <c r="J56" s="725">
        <f t="shared" si="7"/>
        <v>0</v>
      </c>
      <c r="K56" s="725">
        <f t="shared" si="7"/>
        <v>290.67196632402351</v>
      </c>
      <c r="L56" s="725">
        <f t="shared" si="7"/>
        <v>0</v>
      </c>
      <c r="M56" s="725">
        <f t="shared" si="7"/>
        <v>0</v>
      </c>
      <c r="N56" s="725">
        <f t="shared" si="7"/>
        <v>0</v>
      </c>
      <c r="O56" s="725">
        <f t="shared" si="7"/>
        <v>0</v>
      </c>
      <c r="P56" s="725">
        <f t="shared" si="7"/>
        <v>0</v>
      </c>
      <c r="Q56" s="726">
        <f t="shared" si="7"/>
        <v>0</v>
      </c>
      <c r="R56" s="727">
        <f ca="1">SUM(R54:R55)</f>
        <v>7182.0875996197628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16420.091830081874</v>
      </c>
      <c r="D61" s="733">
        <f t="shared" ref="D61:Q61" ca="1" si="8">D46+D52+D56</f>
        <v>0</v>
      </c>
      <c r="E61" s="733">
        <f t="shared" ca="1" si="8"/>
        <v>29981.253636528239</v>
      </c>
      <c r="F61" s="733">
        <f t="shared" si="8"/>
        <v>3354.1812664272807</v>
      </c>
      <c r="G61" s="733">
        <f t="shared" ca="1" si="8"/>
        <v>17638.137760434518</v>
      </c>
      <c r="H61" s="733">
        <f t="shared" si="8"/>
        <v>46466.471572600953</v>
      </c>
      <c r="I61" s="733">
        <f t="shared" si="8"/>
        <v>7576.0089062437964</v>
      </c>
      <c r="J61" s="733">
        <f t="shared" si="8"/>
        <v>0</v>
      </c>
      <c r="K61" s="733">
        <f t="shared" si="8"/>
        <v>2198.2794596754679</v>
      </c>
      <c r="L61" s="733">
        <f t="shared" si="8"/>
        <v>0</v>
      </c>
      <c r="M61" s="733">
        <f t="shared" ca="1" si="8"/>
        <v>0</v>
      </c>
      <c r="N61" s="733">
        <f t="shared" si="8"/>
        <v>0</v>
      </c>
      <c r="O61" s="733">
        <f t="shared" ca="1" si="8"/>
        <v>0</v>
      </c>
      <c r="P61" s="733">
        <f t="shared" si="8"/>
        <v>0</v>
      </c>
      <c r="Q61" s="733">
        <f t="shared" si="8"/>
        <v>0</v>
      </c>
      <c r="R61" s="733">
        <f ca="1">R46+R52+R56</f>
        <v>123634.42443199214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0.14818958109808966</v>
      </c>
      <c r="D63" s="776">
        <f t="shared" ca="1" si="9"/>
        <v>0</v>
      </c>
      <c r="E63" s="1011">
        <f t="shared" ca="1" si="9"/>
        <v>0.20200000000000001</v>
      </c>
      <c r="F63" s="776">
        <f t="shared" si="9"/>
        <v>0.22700000000000004</v>
      </c>
      <c r="G63" s="776">
        <f t="shared" ca="1" si="9"/>
        <v>0.26699999999999996</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29626.488300000001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6839.0720000000001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36505.572799999994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45528.545712027197</v>
      </c>
      <c r="C4" s="462">
        <f>huishoudens!C8</f>
        <v>0</v>
      </c>
      <c r="D4" s="462">
        <f>huishoudens!D8</f>
        <v>97108.898611947428</v>
      </c>
      <c r="E4" s="462">
        <f>huishoudens!E8</f>
        <v>10730.662699781624</v>
      </c>
      <c r="F4" s="462">
        <f>huishoudens!F8</f>
        <v>24068.051729388531</v>
      </c>
      <c r="G4" s="462">
        <f>huishoudens!G8</f>
        <v>0</v>
      </c>
      <c r="H4" s="462">
        <f>huishoudens!H8</f>
        <v>0</v>
      </c>
      <c r="I4" s="462">
        <f>huishoudens!I8</f>
        <v>0</v>
      </c>
      <c r="J4" s="462">
        <f>huishoudens!J8</f>
        <v>5337.6193808271382</v>
      </c>
      <c r="K4" s="462">
        <f>huishoudens!K8</f>
        <v>0</v>
      </c>
      <c r="L4" s="462">
        <f>huishoudens!L8</f>
        <v>0</v>
      </c>
      <c r="M4" s="462">
        <f>huishoudens!M8</f>
        <v>0</v>
      </c>
      <c r="N4" s="462">
        <f>huishoudens!N8</f>
        <v>36986.619988011502</v>
      </c>
      <c r="O4" s="462">
        <f>huishoudens!O8</f>
        <v>312.66666666666669</v>
      </c>
      <c r="P4" s="463">
        <f>huishoudens!P8</f>
        <v>934.26666666666665</v>
      </c>
      <c r="Q4" s="464">
        <f>SUM(B4:P4)</f>
        <v>221007.33145531677</v>
      </c>
    </row>
    <row r="5" spans="1:17">
      <c r="A5" s="461" t="s">
        <v>156</v>
      </c>
      <c r="B5" s="462">
        <f ca="1">tertiair!B16</f>
        <v>23070.63776498611</v>
      </c>
      <c r="C5" s="462">
        <f ca="1">tertiair!C16</f>
        <v>0</v>
      </c>
      <c r="D5" s="462">
        <f ca="1">tertiair!D16</f>
        <v>31430.86006343531</v>
      </c>
      <c r="E5" s="462">
        <f>tertiair!E16</f>
        <v>376.51322123430458</v>
      </c>
      <c r="F5" s="462">
        <f ca="1">tertiair!F16</f>
        <v>4818.6086660394431</v>
      </c>
      <c r="G5" s="462">
        <f>tertiair!G16</f>
        <v>0</v>
      </c>
      <c r="H5" s="462">
        <f>tertiair!H16</f>
        <v>0</v>
      </c>
      <c r="I5" s="462">
        <f>tertiair!I16</f>
        <v>0</v>
      </c>
      <c r="J5" s="462">
        <f>tertiair!J16</f>
        <v>0</v>
      </c>
      <c r="K5" s="462">
        <f>tertiair!K16</f>
        <v>0</v>
      </c>
      <c r="L5" s="462">
        <f ca="1">tertiair!L16</f>
        <v>0</v>
      </c>
      <c r="M5" s="462">
        <f>tertiair!M16</f>
        <v>0</v>
      </c>
      <c r="N5" s="462">
        <f ca="1">tertiair!N16</f>
        <v>2319.001249122568</v>
      </c>
      <c r="O5" s="462">
        <f>tertiair!O16</f>
        <v>10.943333333333335</v>
      </c>
      <c r="P5" s="463">
        <f>tertiair!P16</f>
        <v>57.2</v>
      </c>
      <c r="Q5" s="461">
        <f t="shared" ref="Q5:Q14" ca="1" si="0">SUM(B5:P5)</f>
        <v>62083.764298151065</v>
      </c>
    </row>
    <row r="6" spans="1:17">
      <c r="A6" s="461" t="s">
        <v>194</v>
      </c>
      <c r="B6" s="462">
        <f>'openbare verlichting'!B8</f>
        <v>1586.085</v>
      </c>
      <c r="C6" s="462"/>
      <c r="D6" s="462"/>
      <c r="E6" s="462"/>
      <c r="F6" s="462"/>
      <c r="G6" s="462"/>
      <c r="H6" s="462"/>
      <c r="I6" s="462"/>
      <c r="J6" s="462"/>
      <c r="K6" s="462"/>
      <c r="L6" s="462"/>
      <c r="M6" s="462"/>
      <c r="N6" s="462"/>
      <c r="O6" s="462"/>
      <c r="P6" s="463"/>
      <c r="Q6" s="461">
        <f t="shared" si="0"/>
        <v>1586.085</v>
      </c>
    </row>
    <row r="7" spans="1:17">
      <c r="A7" s="461" t="s">
        <v>112</v>
      </c>
      <c r="B7" s="462">
        <f>landbouw!B8</f>
        <v>5459.9023635801077</v>
      </c>
      <c r="C7" s="462">
        <f>landbouw!C8</f>
        <v>57.160714285714278</v>
      </c>
      <c r="D7" s="462">
        <f>landbouw!D8</f>
        <v>232.32231644886576</v>
      </c>
      <c r="E7" s="462">
        <f>landbouw!E8</f>
        <v>68.801803565466741</v>
      </c>
      <c r="F7" s="462">
        <f>landbouw!F8</f>
        <v>18838.030941622092</v>
      </c>
      <c r="G7" s="462">
        <f>landbouw!G8</f>
        <v>0</v>
      </c>
      <c r="H7" s="462">
        <f>landbouw!H8</f>
        <v>0</v>
      </c>
      <c r="I7" s="462">
        <f>landbouw!I8</f>
        <v>0</v>
      </c>
      <c r="J7" s="462">
        <f>landbouw!J8</f>
        <v>821.10724950289136</v>
      </c>
      <c r="K7" s="462">
        <f>landbouw!K8</f>
        <v>0</v>
      </c>
      <c r="L7" s="462">
        <f>landbouw!L8</f>
        <v>0</v>
      </c>
      <c r="M7" s="462">
        <f>landbouw!M8</f>
        <v>0</v>
      </c>
      <c r="N7" s="462">
        <f>landbouw!N8</f>
        <v>0</v>
      </c>
      <c r="O7" s="462">
        <f>landbouw!O8</f>
        <v>0</v>
      </c>
      <c r="P7" s="463">
        <f>landbouw!P8</f>
        <v>0</v>
      </c>
      <c r="Q7" s="461">
        <f t="shared" si="0"/>
        <v>25477.325389005138</v>
      </c>
    </row>
    <row r="8" spans="1:17">
      <c r="A8" s="461" t="s">
        <v>657</v>
      </c>
      <c r="B8" s="462">
        <f>industrie!B18</f>
        <v>33594.197091832226</v>
      </c>
      <c r="C8" s="462">
        <f>industrie!C18</f>
        <v>0</v>
      </c>
      <c r="D8" s="462">
        <f>industrie!D18</f>
        <v>15867.828971854324</v>
      </c>
      <c r="E8" s="462">
        <f>industrie!E18</f>
        <v>2971.4757147018754</v>
      </c>
      <c r="F8" s="462">
        <f>industrie!F18</f>
        <v>18335.749713266479</v>
      </c>
      <c r="G8" s="462">
        <f>industrie!G18</f>
        <v>0</v>
      </c>
      <c r="H8" s="462">
        <f>industrie!H18</f>
        <v>0</v>
      </c>
      <c r="I8" s="462">
        <f>industrie!I18</f>
        <v>0</v>
      </c>
      <c r="J8" s="462">
        <f>industrie!J18</f>
        <v>51.102351804060774</v>
      </c>
      <c r="K8" s="462">
        <f>industrie!K18</f>
        <v>0</v>
      </c>
      <c r="L8" s="462">
        <f>industrie!L18</f>
        <v>0</v>
      </c>
      <c r="M8" s="462">
        <f>industrie!M18</f>
        <v>0</v>
      </c>
      <c r="N8" s="462">
        <f>industrie!N18</f>
        <v>10168.148816051049</v>
      </c>
      <c r="O8" s="462">
        <f>industrie!O18</f>
        <v>0</v>
      </c>
      <c r="P8" s="463">
        <f>industrie!P18</f>
        <v>0</v>
      </c>
      <c r="Q8" s="461">
        <f t="shared" si="0"/>
        <v>80988.502659510006</v>
      </c>
    </row>
    <row r="9" spans="1:17" s="467" customFormat="1">
      <c r="A9" s="465" t="s">
        <v>574</v>
      </c>
      <c r="B9" s="466">
        <f>transport!B14</f>
        <v>12.40120870689822</v>
      </c>
      <c r="C9" s="466">
        <f>transport!C14</f>
        <v>0</v>
      </c>
      <c r="D9" s="466">
        <f>transport!D14</f>
        <v>20.277921983803477</v>
      </c>
      <c r="E9" s="466">
        <f>transport!E14</f>
        <v>628.67548770915289</v>
      </c>
      <c r="F9" s="466">
        <f>transport!F14</f>
        <v>0</v>
      </c>
      <c r="G9" s="466">
        <f>transport!G14</f>
        <v>172568.7700420068</v>
      </c>
      <c r="H9" s="466">
        <f>transport!H14</f>
        <v>30425.738579292356</v>
      </c>
      <c r="I9" s="466">
        <f>transport!I14</f>
        <v>0</v>
      </c>
      <c r="J9" s="466">
        <f>transport!J14</f>
        <v>0</v>
      </c>
      <c r="K9" s="466">
        <f>transport!K14</f>
        <v>0</v>
      </c>
      <c r="L9" s="466">
        <f>transport!L14</f>
        <v>0</v>
      </c>
      <c r="M9" s="466">
        <f>transport!M14</f>
        <v>9176.2932507571295</v>
      </c>
      <c r="N9" s="466">
        <f>transport!N14</f>
        <v>0</v>
      </c>
      <c r="O9" s="466">
        <f>transport!O14</f>
        <v>0</v>
      </c>
      <c r="P9" s="466">
        <f>transport!P14</f>
        <v>0</v>
      </c>
      <c r="Q9" s="465">
        <f>SUM(B9:P9)</f>
        <v>212832.15649045611</v>
      </c>
    </row>
    <row r="10" spans="1:17">
      <c r="A10" s="461" t="s">
        <v>564</v>
      </c>
      <c r="B10" s="462">
        <f>transport!B54</f>
        <v>0</v>
      </c>
      <c r="C10" s="462">
        <f>transport!C54</f>
        <v>0</v>
      </c>
      <c r="D10" s="462">
        <f>transport!D54</f>
        <v>0</v>
      </c>
      <c r="E10" s="462">
        <f>transport!E54</f>
        <v>0</v>
      </c>
      <c r="F10" s="462">
        <f>transport!F54</f>
        <v>0</v>
      </c>
      <c r="G10" s="462">
        <f>transport!G54</f>
        <v>1462.9586943263575</v>
      </c>
      <c r="H10" s="462">
        <f>transport!H54</f>
        <v>0</v>
      </c>
      <c r="I10" s="462">
        <f>transport!I54</f>
        <v>0</v>
      </c>
      <c r="J10" s="462">
        <f>transport!J54</f>
        <v>0</v>
      </c>
      <c r="K10" s="462">
        <f>transport!K54</f>
        <v>0</v>
      </c>
      <c r="L10" s="462">
        <f>transport!L54</f>
        <v>0</v>
      </c>
      <c r="M10" s="462">
        <f>transport!M54</f>
        <v>65.061351411324466</v>
      </c>
      <c r="N10" s="462">
        <f>transport!N54</f>
        <v>0</v>
      </c>
      <c r="O10" s="462">
        <f>transport!O54</f>
        <v>0</v>
      </c>
      <c r="P10" s="463">
        <f>transport!P54</f>
        <v>0</v>
      </c>
      <c r="Q10" s="461">
        <f t="shared" si="0"/>
        <v>1528.020045737682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1552.86171353656</v>
      </c>
      <c r="C14" s="469"/>
      <c r="D14" s="469">
        <f>'SEAP template'!E25</f>
        <v>3761.8598199156299</v>
      </c>
      <c r="E14" s="469"/>
      <c r="F14" s="469"/>
      <c r="G14" s="469"/>
      <c r="H14" s="469"/>
      <c r="I14" s="469"/>
      <c r="J14" s="469"/>
      <c r="K14" s="469"/>
      <c r="L14" s="469"/>
      <c r="M14" s="469"/>
      <c r="N14" s="469"/>
      <c r="O14" s="469"/>
      <c r="P14" s="470"/>
      <c r="Q14" s="461">
        <f t="shared" si="0"/>
        <v>5314.7215334521898</v>
      </c>
    </row>
    <row r="15" spans="1:17" s="474" customFormat="1">
      <c r="A15" s="471" t="s">
        <v>568</v>
      </c>
      <c r="B15" s="472">
        <f ca="1">SUM(B4:B14)</f>
        <v>110804.63085466913</v>
      </c>
      <c r="C15" s="472">
        <f t="shared" ref="C15:Q15" ca="1" si="1">SUM(C4:C14)</f>
        <v>57.160714285714278</v>
      </c>
      <c r="D15" s="472">
        <f t="shared" ca="1" si="1"/>
        <v>148422.04770558534</v>
      </c>
      <c r="E15" s="472">
        <f t="shared" si="1"/>
        <v>14776.128926992424</v>
      </c>
      <c r="F15" s="472">
        <f t="shared" ca="1" si="1"/>
        <v>66060.441050316556</v>
      </c>
      <c r="G15" s="472">
        <f t="shared" si="1"/>
        <v>174031.72873633317</v>
      </c>
      <c r="H15" s="472">
        <f t="shared" si="1"/>
        <v>30425.738579292356</v>
      </c>
      <c r="I15" s="472">
        <f t="shared" si="1"/>
        <v>0</v>
      </c>
      <c r="J15" s="472">
        <f t="shared" si="1"/>
        <v>6209.8289821340904</v>
      </c>
      <c r="K15" s="472">
        <f t="shared" si="1"/>
        <v>0</v>
      </c>
      <c r="L15" s="472">
        <f t="shared" ca="1" si="1"/>
        <v>0</v>
      </c>
      <c r="M15" s="472">
        <f t="shared" si="1"/>
        <v>9241.3546021684542</v>
      </c>
      <c r="N15" s="472">
        <f t="shared" ca="1" si="1"/>
        <v>49473.770053185115</v>
      </c>
      <c r="O15" s="472">
        <f t="shared" si="1"/>
        <v>323.61</v>
      </c>
      <c r="P15" s="472">
        <f t="shared" si="1"/>
        <v>991.4666666666667</v>
      </c>
      <c r="Q15" s="472">
        <f t="shared" ca="1" si="1"/>
        <v>610817.90687162895</v>
      </c>
    </row>
    <row r="17" spans="1:17">
      <c r="A17" s="475" t="s">
        <v>569</v>
      </c>
      <c r="B17" s="781">
        <f ca="1">huishoudens!B10</f>
        <v>0.14818958109808966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6746.856117070537</v>
      </c>
      <c r="C22" s="462">
        <f t="shared" ref="C22:C32" ca="1" si="3">C4*$C$17</f>
        <v>0</v>
      </c>
      <c r="D22" s="462">
        <f t="shared" ref="D22:D32" si="4">D4*$D$17</f>
        <v>19615.997519613382</v>
      </c>
      <c r="E22" s="462">
        <f t="shared" ref="E22:E32" si="5">E4*$E$17</f>
        <v>2435.8604328504289</v>
      </c>
      <c r="F22" s="462">
        <f t="shared" ref="F22:F32" si="6">F4*$F$17</f>
        <v>6426.1698117467386</v>
      </c>
      <c r="G22" s="462">
        <f t="shared" ref="G22:G32" si="7">G4*$G$17</f>
        <v>0</v>
      </c>
      <c r="H22" s="462">
        <f t="shared" ref="H22:H32" si="8">H4*$H$17</f>
        <v>0</v>
      </c>
      <c r="I22" s="462">
        <f t="shared" ref="I22:I32" si="9">I4*$I$17</f>
        <v>0</v>
      </c>
      <c r="J22" s="462">
        <f t="shared" ref="J22:J32" si="10">J4*$J$17</f>
        <v>1889.5172608128069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37114.401142093891</v>
      </c>
    </row>
    <row r="23" spans="1:17">
      <c r="A23" s="461" t="s">
        <v>156</v>
      </c>
      <c r="B23" s="462">
        <f t="shared" ca="1" si="2"/>
        <v>3418.8281460590592</v>
      </c>
      <c r="C23" s="462">
        <f t="shared" ca="1" si="3"/>
        <v>0</v>
      </c>
      <c r="D23" s="462">
        <f t="shared" ca="1" si="4"/>
        <v>6349.0337328139331</v>
      </c>
      <c r="E23" s="462">
        <f t="shared" si="5"/>
        <v>85.468501220187136</v>
      </c>
      <c r="F23" s="462">
        <f t="shared" ca="1" si="6"/>
        <v>1286.5685138325314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11139.898893925711</v>
      </c>
    </row>
    <row r="24" spans="1:17">
      <c r="A24" s="461" t="s">
        <v>194</v>
      </c>
      <c r="B24" s="462">
        <f t="shared" ca="1" si="2"/>
        <v>235.04127173596353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235.04127173596353</v>
      </c>
    </row>
    <row r="25" spans="1:17">
      <c r="A25" s="461" t="s">
        <v>112</v>
      </c>
      <c r="B25" s="462">
        <f t="shared" ca="1" si="2"/>
        <v>809.10064409540576</v>
      </c>
      <c r="C25" s="462">
        <f t="shared" ca="1" si="3"/>
        <v>0</v>
      </c>
      <c r="D25" s="462">
        <f t="shared" si="4"/>
        <v>46.929107922670887</v>
      </c>
      <c r="E25" s="462">
        <f t="shared" si="5"/>
        <v>15.618009409360951</v>
      </c>
      <c r="F25" s="462">
        <f t="shared" si="6"/>
        <v>5029.7542614130989</v>
      </c>
      <c r="G25" s="462">
        <f t="shared" si="7"/>
        <v>0</v>
      </c>
      <c r="H25" s="462">
        <f t="shared" si="8"/>
        <v>0</v>
      </c>
      <c r="I25" s="462">
        <f t="shared" si="9"/>
        <v>0</v>
      </c>
      <c r="J25" s="462">
        <f t="shared" si="10"/>
        <v>290.67196632402351</v>
      </c>
      <c r="K25" s="462">
        <f t="shared" si="11"/>
        <v>0</v>
      </c>
      <c r="L25" s="462">
        <f t="shared" si="12"/>
        <v>0</v>
      </c>
      <c r="M25" s="462">
        <f t="shared" si="13"/>
        <v>0</v>
      </c>
      <c r="N25" s="462">
        <f t="shared" si="14"/>
        <v>0</v>
      </c>
      <c r="O25" s="462">
        <f t="shared" si="15"/>
        <v>0</v>
      </c>
      <c r="P25" s="463">
        <f t="shared" si="16"/>
        <v>0</v>
      </c>
      <c r="Q25" s="461">
        <f t="shared" ca="1" si="17"/>
        <v>6192.0739891645608</v>
      </c>
    </row>
    <row r="26" spans="1:17">
      <c r="A26" s="461" t="s">
        <v>657</v>
      </c>
      <c r="B26" s="462">
        <f t="shared" ca="1" si="2"/>
        <v>4978.3099943652796</v>
      </c>
      <c r="C26" s="462">
        <f t="shared" ca="1" si="3"/>
        <v>0</v>
      </c>
      <c r="D26" s="462">
        <f t="shared" si="4"/>
        <v>3205.3014523145735</v>
      </c>
      <c r="E26" s="462">
        <f t="shared" si="5"/>
        <v>674.52498723732572</v>
      </c>
      <c r="F26" s="462">
        <f t="shared" si="6"/>
        <v>4895.6451734421498</v>
      </c>
      <c r="G26" s="462">
        <f t="shared" si="7"/>
        <v>0</v>
      </c>
      <c r="H26" s="462">
        <f t="shared" si="8"/>
        <v>0</v>
      </c>
      <c r="I26" s="462">
        <f t="shared" si="9"/>
        <v>0</v>
      </c>
      <c r="J26" s="462">
        <f t="shared" si="10"/>
        <v>18.090232538637512</v>
      </c>
      <c r="K26" s="462">
        <f t="shared" si="11"/>
        <v>0</v>
      </c>
      <c r="L26" s="462">
        <f t="shared" si="12"/>
        <v>0</v>
      </c>
      <c r="M26" s="462">
        <f t="shared" si="13"/>
        <v>0</v>
      </c>
      <c r="N26" s="462">
        <f t="shared" si="14"/>
        <v>0</v>
      </c>
      <c r="O26" s="462">
        <f t="shared" si="15"/>
        <v>0</v>
      </c>
      <c r="P26" s="463">
        <f t="shared" si="16"/>
        <v>0</v>
      </c>
      <c r="Q26" s="461">
        <f t="shared" ca="1" si="17"/>
        <v>13771.871839897967</v>
      </c>
    </row>
    <row r="27" spans="1:17" s="467" customFormat="1">
      <c r="A27" s="465" t="s">
        <v>574</v>
      </c>
      <c r="B27" s="775">
        <f t="shared" ca="1" si="2"/>
        <v>1.8377299233852296</v>
      </c>
      <c r="C27" s="466">
        <f t="shared" ca="1" si="3"/>
        <v>0</v>
      </c>
      <c r="D27" s="466">
        <f t="shared" si="4"/>
        <v>4.0961402407283023</v>
      </c>
      <c r="E27" s="466">
        <f t="shared" si="5"/>
        <v>142.70933570997772</v>
      </c>
      <c r="F27" s="466">
        <f t="shared" si="6"/>
        <v>0</v>
      </c>
      <c r="G27" s="466">
        <f t="shared" si="7"/>
        <v>46075.861601215816</v>
      </c>
      <c r="H27" s="466">
        <f t="shared" si="8"/>
        <v>7576.0089062437964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53800.513713333705</v>
      </c>
    </row>
    <row r="28" spans="1:17">
      <c r="A28" s="461" t="s">
        <v>564</v>
      </c>
      <c r="B28" s="462">
        <f t="shared" ca="1" si="2"/>
        <v>0</v>
      </c>
      <c r="C28" s="462">
        <f t="shared" ca="1" si="3"/>
        <v>0</v>
      </c>
      <c r="D28" s="462">
        <f t="shared" si="4"/>
        <v>0</v>
      </c>
      <c r="E28" s="462">
        <f t="shared" si="5"/>
        <v>0</v>
      </c>
      <c r="F28" s="462">
        <f t="shared" si="6"/>
        <v>0</v>
      </c>
      <c r="G28" s="462">
        <f t="shared" si="7"/>
        <v>390.6099713851375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390.6099713851375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230.11792683224454</v>
      </c>
      <c r="C32" s="462">
        <f t="shared" ca="1" si="3"/>
        <v>0</v>
      </c>
      <c r="D32" s="462">
        <f t="shared" si="4"/>
        <v>759.89568362295734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990.01361045520184</v>
      </c>
    </row>
    <row r="33" spans="1:17" s="474" customFormat="1">
      <c r="A33" s="471" t="s">
        <v>568</v>
      </c>
      <c r="B33" s="472">
        <f ca="1">SUM(B22:B32)</f>
        <v>16420.091830081874</v>
      </c>
      <c r="C33" s="472">
        <f t="shared" ref="C33:Q33" ca="1" si="18">SUM(C22:C32)</f>
        <v>0</v>
      </c>
      <c r="D33" s="472">
        <f t="shared" ca="1" si="18"/>
        <v>29981.253636528243</v>
      </c>
      <c r="E33" s="472">
        <f t="shared" si="18"/>
        <v>3354.1812664272802</v>
      </c>
      <c r="F33" s="472">
        <f t="shared" ca="1" si="18"/>
        <v>17638.137760434518</v>
      </c>
      <c r="G33" s="472">
        <f t="shared" si="18"/>
        <v>46466.471572600953</v>
      </c>
      <c r="H33" s="472">
        <f t="shared" si="18"/>
        <v>7576.0089062437964</v>
      </c>
      <c r="I33" s="472">
        <f t="shared" si="18"/>
        <v>0</v>
      </c>
      <c r="J33" s="472">
        <f t="shared" si="18"/>
        <v>2198.2794596754679</v>
      </c>
      <c r="K33" s="472">
        <f t="shared" si="18"/>
        <v>0</v>
      </c>
      <c r="L33" s="472">
        <f t="shared" ca="1" si="18"/>
        <v>0</v>
      </c>
      <c r="M33" s="472">
        <f t="shared" si="18"/>
        <v>0</v>
      </c>
      <c r="N33" s="472">
        <f t="shared" ca="1" si="18"/>
        <v>0</v>
      </c>
      <c r="O33" s="472">
        <f t="shared" si="18"/>
        <v>0</v>
      </c>
      <c r="P33" s="472">
        <f t="shared" si="18"/>
        <v>0</v>
      </c>
      <c r="Q33" s="472">
        <f t="shared" ca="1" si="18"/>
        <v>123634.42443199216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29626.488300000001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6839.0720000000001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36505.572799999994</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0.14818958109808966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0.14818958109808966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0.14818958109808966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0.14818958109808966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9629</v>
      </c>
      <c r="C9" s="338">
        <v>10006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6463</v>
      </c>
    </row>
    <row r="15" spans="1:6">
      <c r="A15" s="1295" t="s">
        <v>184</v>
      </c>
      <c r="B15" s="335">
        <v>430</v>
      </c>
    </row>
    <row r="16" spans="1:6">
      <c r="A16" s="1295" t="s">
        <v>6</v>
      </c>
      <c r="B16" s="335">
        <v>3899</v>
      </c>
    </row>
    <row r="17" spans="1:6">
      <c r="A17" s="1295" t="s">
        <v>7</v>
      </c>
      <c r="B17" s="335">
        <v>2400</v>
      </c>
    </row>
    <row r="18" spans="1:6">
      <c r="A18" s="1295" t="s">
        <v>8</v>
      </c>
      <c r="B18" s="335">
        <v>4310</v>
      </c>
    </row>
    <row r="19" spans="1:6">
      <c r="A19" s="1295" t="s">
        <v>9</v>
      </c>
      <c r="B19" s="335">
        <v>3829</v>
      </c>
    </row>
    <row r="20" spans="1:6">
      <c r="A20" s="1295" t="s">
        <v>10</v>
      </c>
      <c r="B20" s="335">
        <v>2496</v>
      </c>
    </row>
    <row r="21" spans="1:6">
      <c r="A21" s="1295" t="s">
        <v>11</v>
      </c>
      <c r="B21" s="335">
        <v>13001</v>
      </c>
    </row>
    <row r="22" spans="1:6">
      <c r="A22" s="1295" t="s">
        <v>12</v>
      </c>
      <c r="B22" s="335">
        <v>29707</v>
      </c>
    </row>
    <row r="23" spans="1:6">
      <c r="A23" s="1295" t="s">
        <v>13</v>
      </c>
      <c r="B23" s="335">
        <v>568</v>
      </c>
    </row>
    <row r="24" spans="1:6">
      <c r="A24" s="1295" t="s">
        <v>14</v>
      </c>
      <c r="B24" s="335">
        <v>35</v>
      </c>
    </row>
    <row r="25" spans="1:6">
      <c r="A25" s="1295" t="s">
        <v>15</v>
      </c>
      <c r="B25" s="335">
        <v>3896</v>
      </c>
    </row>
    <row r="26" spans="1:6">
      <c r="A26" s="1295" t="s">
        <v>16</v>
      </c>
      <c r="B26" s="335">
        <v>713</v>
      </c>
    </row>
    <row r="27" spans="1:6">
      <c r="A27" s="1295" t="s">
        <v>17</v>
      </c>
      <c r="B27" s="335">
        <v>619</v>
      </c>
    </row>
    <row r="28" spans="1:6" s="341" customFormat="1">
      <c r="A28" s="1296" t="s">
        <v>18</v>
      </c>
      <c r="B28" s="1296">
        <v>69600</v>
      </c>
    </row>
    <row r="29" spans="1:6">
      <c r="A29" s="1296" t="s">
        <v>906</v>
      </c>
      <c r="B29" s="1296">
        <v>448</v>
      </c>
      <c r="C29" s="341"/>
      <c r="D29" s="341"/>
      <c r="E29" s="341"/>
      <c r="F29" s="341"/>
    </row>
    <row r="30" spans="1:6">
      <c r="A30" s="1291" t="s">
        <v>907</v>
      </c>
      <c r="B30" s="1291">
        <v>155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4303341.8107019803</v>
      </c>
      <c r="E38" s="335">
        <v>8</v>
      </c>
      <c r="F38" s="335">
        <v>456657.95059981802</v>
      </c>
    </row>
    <row r="39" spans="1:6">
      <c r="A39" s="1295" t="s">
        <v>30</v>
      </c>
      <c r="B39" s="1295" t="s">
        <v>31</v>
      </c>
      <c r="C39" s="335">
        <v>5892</v>
      </c>
      <c r="D39" s="335">
        <v>107659532.82921</v>
      </c>
      <c r="E39" s="335">
        <v>9157</v>
      </c>
      <c r="F39" s="335">
        <v>41704871.7120272</v>
      </c>
    </row>
    <row r="40" spans="1:6">
      <c r="A40" s="1295" t="s">
        <v>30</v>
      </c>
      <c r="B40" s="1295" t="s">
        <v>29</v>
      </c>
      <c r="C40" s="335">
        <v>0</v>
      </c>
      <c r="D40" s="335">
        <v>0</v>
      </c>
      <c r="E40" s="335">
        <v>0</v>
      </c>
      <c r="F40" s="335">
        <v>0</v>
      </c>
    </row>
    <row r="41" spans="1:6">
      <c r="A41" s="1295" t="s">
        <v>32</v>
      </c>
      <c r="B41" s="1295" t="s">
        <v>33</v>
      </c>
      <c r="C41" s="335">
        <v>120</v>
      </c>
      <c r="D41" s="335">
        <v>5132101.1516128704</v>
      </c>
      <c r="E41" s="335">
        <v>279</v>
      </c>
      <c r="F41" s="335">
        <v>4664860.4529430801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133705.22135802801</v>
      </c>
      <c r="E44" s="335">
        <v>25</v>
      </c>
      <c r="F44" s="335">
        <v>907352.94806119101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633470.11846530205</v>
      </c>
      <c r="E47" s="335">
        <v>4</v>
      </c>
      <c r="F47" s="335">
        <v>1263473.35900383</v>
      </c>
    </row>
    <row r="48" spans="1:6">
      <c r="A48" s="1295" t="s">
        <v>32</v>
      </c>
      <c r="B48" s="1295" t="s">
        <v>29</v>
      </c>
      <c r="C48" s="335">
        <v>59</v>
      </c>
      <c r="D48" s="335">
        <v>4099106.82531776</v>
      </c>
      <c r="E48" s="335">
        <v>89</v>
      </c>
      <c r="F48" s="335">
        <v>19902616.092372201</v>
      </c>
    </row>
    <row r="49" spans="1:6">
      <c r="A49" s="1295" t="s">
        <v>32</v>
      </c>
      <c r="B49" s="1295" t="s">
        <v>40</v>
      </c>
      <c r="C49" s="335">
        <v>0</v>
      </c>
      <c r="D49" s="335">
        <v>0</v>
      </c>
      <c r="E49" s="335">
        <v>0</v>
      </c>
      <c r="F49" s="335">
        <v>0</v>
      </c>
    </row>
    <row r="50" spans="1:6">
      <c r="A50" s="1295" t="s">
        <v>32</v>
      </c>
      <c r="B50" s="1295" t="s">
        <v>41</v>
      </c>
      <c r="C50" s="335">
        <v>13</v>
      </c>
      <c r="D50" s="335">
        <v>7593444.8116876399</v>
      </c>
      <c r="E50" s="335">
        <v>26</v>
      </c>
      <c r="F50" s="335">
        <v>6855894.2394519197</v>
      </c>
    </row>
    <row r="51" spans="1:6">
      <c r="A51" s="1295" t="s">
        <v>42</v>
      </c>
      <c r="B51" s="1295" t="s">
        <v>43</v>
      </c>
      <c r="C51" s="335">
        <v>14</v>
      </c>
      <c r="D51" s="335">
        <v>166449.31608501301</v>
      </c>
      <c r="E51" s="335">
        <v>234</v>
      </c>
      <c r="F51" s="335">
        <v>5054426.4579879995</v>
      </c>
    </row>
    <row r="52" spans="1:6">
      <c r="A52" s="1295" t="s">
        <v>42</v>
      </c>
      <c r="B52" s="1295" t="s">
        <v>29</v>
      </c>
      <c r="C52" s="335">
        <v>4</v>
      </c>
      <c r="D52" s="335">
        <v>91114.227649871405</v>
      </c>
      <c r="E52" s="335">
        <v>23</v>
      </c>
      <c r="F52" s="335">
        <v>405475.90559210803</v>
      </c>
    </row>
    <row r="53" spans="1:6">
      <c r="A53" s="1295" t="s">
        <v>44</v>
      </c>
      <c r="B53" s="1295" t="s">
        <v>45</v>
      </c>
      <c r="C53" s="335">
        <v>149</v>
      </c>
      <c r="D53" s="335">
        <v>3761859.8199156299</v>
      </c>
      <c r="E53" s="335">
        <v>314</v>
      </c>
      <c r="F53" s="335">
        <v>1552861.7135365601</v>
      </c>
    </row>
    <row r="54" spans="1:6">
      <c r="A54" s="1295" t="s">
        <v>46</v>
      </c>
      <c r="B54" s="1295" t="s">
        <v>47</v>
      </c>
      <c r="C54" s="335">
        <v>0</v>
      </c>
      <c r="D54" s="335">
        <v>0</v>
      </c>
      <c r="E54" s="335">
        <v>3</v>
      </c>
      <c r="F54" s="335">
        <v>1586085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56</v>
      </c>
      <c r="D57" s="335">
        <v>3203097.4150470402</v>
      </c>
      <c r="E57" s="335">
        <v>96</v>
      </c>
      <c r="F57" s="335">
        <v>2937796.4207004402</v>
      </c>
    </row>
    <row r="58" spans="1:6">
      <c r="A58" s="1295" t="s">
        <v>49</v>
      </c>
      <c r="B58" s="1295" t="s">
        <v>51</v>
      </c>
      <c r="C58" s="335">
        <v>16</v>
      </c>
      <c r="D58" s="335">
        <v>1493927.5367135899</v>
      </c>
      <c r="E58" s="335">
        <v>49</v>
      </c>
      <c r="F58" s="335">
        <v>1053408.3860233801</v>
      </c>
    </row>
    <row r="59" spans="1:6">
      <c r="A59" s="1295" t="s">
        <v>49</v>
      </c>
      <c r="B59" s="1295" t="s">
        <v>52</v>
      </c>
      <c r="C59" s="335">
        <v>160</v>
      </c>
      <c r="D59" s="335">
        <v>7558716.73374491</v>
      </c>
      <c r="E59" s="335">
        <v>362</v>
      </c>
      <c r="F59" s="335">
        <v>7418955.8096540105</v>
      </c>
    </row>
    <row r="60" spans="1:6">
      <c r="A60" s="1295" t="s">
        <v>49</v>
      </c>
      <c r="B60" s="1295" t="s">
        <v>53</v>
      </c>
      <c r="C60" s="335">
        <v>69</v>
      </c>
      <c r="D60" s="335">
        <v>3355821.47590206</v>
      </c>
      <c r="E60" s="335">
        <v>123</v>
      </c>
      <c r="F60" s="335">
        <v>3550661.0507311998</v>
      </c>
    </row>
    <row r="61" spans="1:6">
      <c r="A61" s="1295" t="s">
        <v>49</v>
      </c>
      <c r="B61" s="1295" t="s">
        <v>54</v>
      </c>
      <c r="C61" s="335">
        <v>168</v>
      </c>
      <c r="D61" s="335">
        <v>9045016.7400018591</v>
      </c>
      <c r="E61" s="335">
        <v>354</v>
      </c>
      <c r="F61" s="335">
        <v>4700894.4474880397</v>
      </c>
    </row>
    <row r="62" spans="1:6">
      <c r="A62" s="1295" t="s">
        <v>49</v>
      </c>
      <c r="B62" s="1295" t="s">
        <v>55</v>
      </c>
      <c r="C62" s="335">
        <v>5</v>
      </c>
      <c r="D62" s="335">
        <v>374359.40534906002</v>
      </c>
      <c r="E62" s="335">
        <v>16</v>
      </c>
      <c r="F62" s="335">
        <v>417526.25443611701</v>
      </c>
    </row>
    <row r="63" spans="1:6">
      <c r="A63" s="1295" t="s">
        <v>49</v>
      </c>
      <c r="B63" s="1295" t="s">
        <v>29</v>
      </c>
      <c r="C63" s="335">
        <v>174</v>
      </c>
      <c r="D63" s="335">
        <v>9814803.5573604498</v>
      </c>
      <c r="E63" s="335">
        <v>190</v>
      </c>
      <c r="F63" s="335">
        <v>2991395.39595292</v>
      </c>
    </row>
    <row r="64" spans="1:6">
      <c r="A64" s="1295" t="s">
        <v>56</v>
      </c>
      <c r="B64" s="1295" t="s">
        <v>57</v>
      </c>
      <c r="C64" s="335">
        <v>0</v>
      </c>
      <c r="D64" s="335">
        <v>0</v>
      </c>
      <c r="E64" s="335">
        <v>0</v>
      </c>
      <c r="F64" s="335">
        <v>0</v>
      </c>
    </row>
    <row r="65" spans="1:6">
      <c r="A65" s="1295" t="s">
        <v>56</v>
      </c>
      <c r="B65" s="1295" t="s">
        <v>29</v>
      </c>
      <c r="C65" s="335">
        <v>4</v>
      </c>
      <c r="D65" s="335">
        <v>139148.52116012599</v>
      </c>
      <c r="E65" s="335">
        <v>6</v>
      </c>
      <c r="F65" s="335">
        <v>99443.275906667695</v>
      </c>
    </row>
    <row r="66" spans="1:6">
      <c r="A66" s="1295" t="s">
        <v>56</v>
      </c>
      <c r="B66" s="1295" t="s">
        <v>58</v>
      </c>
      <c r="C66" s="335">
        <v>0</v>
      </c>
      <c r="D66" s="335">
        <v>0</v>
      </c>
      <c r="E66" s="335">
        <v>0</v>
      </c>
      <c r="F66" s="335">
        <v>0</v>
      </c>
    </row>
    <row r="67" spans="1:6">
      <c r="A67" s="1296" t="s">
        <v>56</v>
      </c>
      <c r="B67" s="1296" t="s">
        <v>59</v>
      </c>
      <c r="C67" s="335">
        <v>0</v>
      </c>
      <c r="D67" s="335">
        <v>0</v>
      </c>
      <c r="E67" s="335">
        <v>70</v>
      </c>
      <c r="F67" s="335">
        <v>973989.11280715</v>
      </c>
    </row>
    <row r="68" spans="1:6">
      <c r="A68" s="1291" t="s">
        <v>56</v>
      </c>
      <c r="B68" s="1291" t="s">
        <v>60</v>
      </c>
      <c r="C68" s="335">
        <v>8</v>
      </c>
      <c r="D68" s="335">
        <v>242817.815743307</v>
      </c>
      <c r="E68" s="335">
        <v>19</v>
      </c>
      <c r="F68" s="335">
        <v>222981.85887268599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171801722</v>
      </c>
      <c r="E73" s="335">
        <v>199846346.66137004</v>
      </c>
    </row>
    <row r="74" spans="1:6">
      <c r="A74" s="1295" t="s">
        <v>64</v>
      </c>
      <c r="B74" s="1295" t="s">
        <v>727</v>
      </c>
      <c r="C74" s="1295" t="s">
        <v>728</v>
      </c>
      <c r="D74" s="335">
        <v>19023832.662686501</v>
      </c>
      <c r="E74" s="335">
        <v>20770724.499729294</v>
      </c>
    </row>
    <row r="75" spans="1:6">
      <c r="A75" s="1295" t="s">
        <v>65</v>
      </c>
      <c r="B75" s="1295" t="s">
        <v>725</v>
      </c>
      <c r="C75" s="1295" t="s">
        <v>729</v>
      </c>
      <c r="D75" s="335">
        <v>44309645</v>
      </c>
      <c r="E75" s="335">
        <v>51087896.762712181</v>
      </c>
    </row>
    <row r="76" spans="1:6">
      <c r="A76" s="1295" t="s">
        <v>65</v>
      </c>
      <c r="B76" s="1295" t="s">
        <v>727</v>
      </c>
      <c r="C76" s="1295" t="s">
        <v>730</v>
      </c>
      <c r="D76" s="335">
        <v>2307059.6626865012</v>
      </c>
      <c r="E76" s="335">
        <v>2381691.752683741</v>
      </c>
    </row>
    <row r="77" spans="1:6">
      <c r="A77" s="1295" t="s">
        <v>66</v>
      </c>
      <c r="B77" s="1295" t="s">
        <v>725</v>
      </c>
      <c r="C77" s="1295" t="s">
        <v>731</v>
      </c>
      <c r="D77" s="335">
        <v>11000584</v>
      </c>
      <c r="E77" s="335">
        <v>12013704.009214032</v>
      </c>
    </row>
    <row r="78" spans="1:6">
      <c r="A78" s="1291" t="s">
        <v>66</v>
      </c>
      <c r="B78" s="1291" t="s">
        <v>727</v>
      </c>
      <c r="C78" s="1291" t="s">
        <v>732</v>
      </c>
      <c r="D78" s="1291">
        <v>1747606</v>
      </c>
      <c r="E78" s="1291">
        <v>2008232.2797531392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403684.67462699773</v>
      </c>
      <c r="C83" s="335">
        <v>402866.49781702034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29626.488300000001</v>
      </c>
    </row>
    <row r="91" spans="1:6">
      <c r="A91" s="1295" t="s">
        <v>68</v>
      </c>
      <c r="B91" s="335">
        <v>3823.674</v>
      </c>
    </row>
    <row r="92" spans="1:6">
      <c r="A92" s="1291" t="s">
        <v>69</v>
      </c>
      <c r="B92" s="338">
        <v>3015.3980000000001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3634</v>
      </c>
    </row>
    <row r="98" spans="1:6">
      <c r="A98" s="1295" t="s">
        <v>72</v>
      </c>
      <c r="B98" s="335">
        <v>2</v>
      </c>
    </row>
    <row r="99" spans="1:6">
      <c r="A99" s="1295" t="s">
        <v>73</v>
      </c>
      <c r="B99" s="335">
        <v>273</v>
      </c>
    </row>
    <row r="100" spans="1:6">
      <c r="A100" s="1295" t="s">
        <v>74</v>
      </c>
      <c r="B100" s="335">
        <v>857</v>
      </c>
    </row>
    <row r="101" spans="1:6">
      <c r="A101" s="1295" t="s">
        <v>75</v>
      </c>
      <c r="B101" s="335">
        <v>251</v>
      </c>
    </row>
    <row r="102" spans="1:6">
      <c r="A102" s="1295" t="s">
        <v>76</v>
      </c>
      <c r="B102" s="335">
        <v>175</v>
      </c>
    </row>
    <row r="103" spans="1:6">
      <c r="A103" s="1295" t="s">
        <v>77</v>
      </c>
      <c r="B103" s="335">
        <v>357</v>
      </c>
    </row>
    <row r="104" spans="1:6">
      <c r="A104" s="1295" t="s">
        <v>78</v>
      </c>
      <c r="B104" s="335">
        <v>2984</v>
      </c>
    </row>
    <row r="105" spans="1:6">
      <c r="A105" s="1291" t="s">
        <v>79</v>
      </c>
      <c r="B105" s="1291">
        <v>18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35</v>
      </c>
      <c r="C123" s="335">
        <v>25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175</v>
      </c>
    </row>
    <row r="130" spans="1:6">
      <c r="A130" s="1295" t="s">
        <v>295</v>
      </c>
      <c r="B130" s="335">
        <v>7</v>
      </c>
    </row>
    <row r="131" spans="1:6">
      <c r="A131" s="1295" t="s">
        <v>296</v>
      </c>
      <c r="B131" s="335">
        <v>3</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110804.6308546691</v>
      </c>
      <c r="C3" s="43" t="s">
        <v>170</v>
      </c>
      <c r="D3" s="43"/>
      <c r="E3" s="156"/>
      <c r="F3" s="43"/>
      <c r="G3" s="43"/>
      <c r="H3" s="43"/>
      <c r="I3" s="43"/>
      <c r="J3" s="43"/>
      <c r="K3" s="96"/>
    </row>
    <row r="4" spans="1:11">
      <c r="A4" s="366" t="s">
        <v>171</v>
      </c>
      <c r="B4" s="49">
        <f>IF(ISERROR('SEAP template'!B78),0,'SEAP template'!B78)</f>
        <v>36505.572799999994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0.14818958109808966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1586.085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0.14818958109808966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235.04127173596353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B46*B57</f>
        <v>10730.662699781624</v>
      </c>
      <c r="F5" s="17">
        <f>B51*B62</f>
        <v>24068.051729388531</v>
      </c>
      <c r="G5" s="18"/>
      <c r="H5" s="17"/>
      <c r="I5" s="17"/>
      <c r="J5" s="17">
        <f>B50*B61+C50*C61</f>
        <v>5337.6193808271382</v>
      </c>
      <c r="K5" s="17"/>
      <c r="L5" s="17"/>
      <c r="M5" s="17"/>
      <c r="N5" s="17">
        <f>B48*B59+C48*C59</f>
        <v>36986.619988011502</v>
      </c>
      <c r="O5" s="17">
        <f>B69*B70*B71</f>
        <v>312.66666666666669</v>
      </c>
      <c r="P5" s="17">
        <f>B77*B78*B79/1000-B77*B78*B79/1000/B80</f>
        <v>934.26666666666665</v>
      </c>
    </row>
    <row r="6" spans="1:16">
      <c r="A6" s="16" t="s">
        <v>634</v>
      </c>
      <c r="B6" s="783">
        <f>kWh_PV_kleiner_dan_10kW</f>
        <v>3823.674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45528.545712027197</v>
      </c>
      <c r="C8" s="21">
        <f>C5</f>
        <v>0</v>
      </c>
      <c r="D8" s="21">
        <f>D5</f>
        <v>97108.898611947428</v>
      </c>
      <c r="E8" s="21">
        <f>E5</f>
        <v>10730.662699781624</v>
      </c>
      <c r="F8" s="21">
        <f>F5</f>
        <v>24068.051729388531</v>
      </c>
      <c r="G8" s="21"/>
      <c r="H8" s="21"/>
      <c r="I8" s="21"/>
      <c r="J8" s="21">
        <f>J5</f>
        <v>5337.6193808271382</v>
      </c>
      <c r="K8" s="21"/>
      <c r="L8" s="21">
        <f>L5</f>
        <v>0</v>
      </c>
      <c r="M8" s="21">
        <f>M5</f>
        <v>0</v>
      </c>
      <c r="N8" s="21">
        <f>N5</f>
        <v>36986.619988011502</v>
      </c>
      <c r="O8" s="21">
        <f>O5</f>
        <v>312.66666666666669</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0.14818958109808966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6746.856117070537</v>
      </c>
      <c r="C12" s="23">
        <f ca="1">C10*C8</f>
        <v>0</v>
      </c>
      <c r="D12" s="23">
        <f>D8*D10</f>
        <v>19615.997519613382</v>
      </c>
      <c r="E12" s="23">
        <f>E10*E8</f>
        <v>2435.8604328504289</v>
      </c>
      <c r="F12" s="23">
        <f>F10*F8</f>
        <v>6426.1698117467386</v>
      </c>
      <c r="G12" s="23"/>
      <c r="H12" s="23"/>
      <c r="I12" s="23"/>
      <c r="J12" s="23">
        <f>J10*J8</f>
        <v>1889.5172608128069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3634</v>
      </c>
      <c r="C18" s="168" t="s">
        <v>111</v>
      </c>
      <c r="D18" s="230"/>
      <c r="E18" s="15"/>
    </row>
    <row r="19" spans="1:7">
      <c r="A19" s="173" t="s">
        <v>72</v>
      </c>
      <c r="B19" s="37">
        <f>aantalw2001_ander</f>
        <v>2</v>
      </c>
      <c r="C19" s="168" t="s">
        <v>111</v>
      </c>
      <c r="D19" s="231"/>
      <c r="E19" s="15"/>
    </row>
    <row r="20" spans="1:7">
      <c r="A20" s="173" t="s">
        <v>73</v>
      </c>
      <c r="B20" s="37">
        <f>aantalw2001_propaan</f>
        <v>273</v>
      </c>
      <c r="C20" s="169">
        <f>IF(ISERROR(B20/SUM($B$20,$B$21,$B$22)*100),0,B20/SUM($B$20,$B$21,$B$22)*100)</f>
        <v>19.768283852280955</v>
      </c>
      <c r="D20" s="231"/>
      <c r="E20" s="15"/>
    </row>
    <row r="21" spans="1:7">
      <c r="A21" s="173" t="s">
        <v>74</v>
      </c>
      <c r="B21" s="37">
        <f>aantalw2001_elektriciteit</f>
        <v>857</v>
      </c>
      <c r="C21" s="169">
        <f>IF(ISERROR(B21/SUM($B$20,$B$21,$B$22)*100),0,B21/SUM($B$20,$B$21,$B$22)*100)</f>
        <v>62.056480811006523</v>
      </c>
      <c r="D21" s="231"/>
      <c r="E21" s="15"/>
    </row>
    <row r="22" spans="1:7">
      <c r="A22" s="173" t="s">
        <v>75</v>
      </c>
      <c r="B22" s="37">
        <f>aantalw2001_hout</f>
        <v>251</v>
      </c>
      <c r="C22" s="169">
        <f>IF(ISERROR(B22/SUM($B$20,$B$21,$B$22)*100),0,B22/SUM($B$20,$B$21,$B$22)*100)</f>
        <v>18.175235336712529</v>
      </c>
      <c r="D22" s="231"/>
      <c r="E22" s="15"/>
    </row>
    <row r="23" spans="1:7">
      <c r="A23" s="173" t="s">
        <v>76</v>
      </c>
      <c r="B23" s="37">
        <f>aantalw2001_niet_gespec</f>
        <v>175</v>
      </c>
      <c r="C23" s="168" t="s">
        <v>111</v>
      </c>
      <c r="D23" s="230"/>
      <c r="E23" s="15"/>
    </row>
    <row r="24" spans="1:7">
      <c r="A24" s="173" t="s">
        <v>77</v>
      </c>
      <c r="B24" s="37">
        <f>aantalw2001_steenkool</f>
        <v>357</v>
      </c>
      <c r="C24" s="168" t="s">
        <v>111</v>
      </c>
      <c r="D24" s="231"/>
      <c r="E24" s="15"/>
    </row>
    <row r="25" spans="1:7">
      <c r="A25" s="173" t="s">
        <v>78</v>
      </c>
      <c r="B25" s="37">
        <f>aantalw2001_stookolie</f>
        <v>2984</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9629</v>
      </c>
      <c r="C28" s="36"/>
      <c r="D28" s="230"/>
    </row>
    <row r="29" spans="1:7" s="15" customFormat="1">
      <c r="A29" s="232" t="s">
        <v>746</v>
      </c>
      <c r="B29" s="37">
        <f>SUM(HH_hh_gas_aantal,HH_rest_gas_aantal)</f>
        <v>5892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5892</v>
      </c>
      <c r="C32" s="169">
        <f>IF(ISERROR(B32/SUM($B$32,$B$34,$B$35,$B$36,$B$38,$B$39)*100),0,B32/SUM($B$32,$B$34,$B$35,$B$36,$B$38,$B$39)*100)</f>
        <v>61.503131524008346</v>
      </c>
      <c r="D32" s="235"/>
      <c r="G32" s="15"/>
    </row>
    <row r="33" spans="1:7">
      <c r="A33" s="173" t="s">
        <v>72</v>
      </c>
      <c r="B33" s="34" t="s">
        <v>111</v>
      </c>
      <c r="C33" s="169"/>
      <c r="D33" s="235"/>
      <c r="G33" s="15"/>
    </row>
    <row r="34" spans="1:7">
      <c r="A34" s="173" t="s">
        <v>73</v>
      </c>
      <c r="B34" s="33">
        <f>IF((($B$28-$B$32-$B$39-$B$77-$B$38)*C20/100)&lt;0,0,($B$28-$B$32-$B$39-$B$77-$B$38)*C20/100)</f>
        <v>514.96379435191886</v>
      </c>
      <c r="C34" s="169">
        <f>IF(ISERROR(B34/SUM($B$32,$B$34,$B$35,$B$36,$B$38,$B$39)*100),0,B34/SUM($B$32,$B$34,$B$35,$B$36,$B$38,$B$39)*100)</f>
        <v>5.375404951481408</v>
      </c>
      <c r="D34" s="235"/>
      <c r="G34" s="15"/>
    </row>
    <row r="35" spans="1:7">
      <c r="A35" s="173" t="s">
        <v>74</v>
      </c>
      <c r="B35" s="33">
        <f>IF((($B$28-$B$32-$B$39-$B$77-$B$38)*C21/100)&lt;0,0,($B$28-$B$32-$B$39-$B$77-$B$38)*C21/100)</f>
        <v>1616.5713251267198</v>
      </c>
      <c r="C35" s="169">
        <f>IF(ISERROR(B35/SUM($B$32,$B$34,$B$35,$B$36,$B$38,$B$39)*100),0,B35/SUM($B$32,$B$34,$B$35,$B$36,$B$38,$B$39)*100)</f>
        <v>16.874439719485594</v>
      </c>
      <c r="D35" s="235"/>
      <c r="G35" s="15"/>
    </row>
    <row r="36" spans="1:7">
      <c r="A36" s="173" t="s">
        <v>75</v>
      </c>
      <c r="B36" s="33">
        <f>IF((($B$28-$B$32-$B$39-$B$77-$B$38)*C22/100)&lt;0,0,($B$28-$B$32-$B$39-$B$77-$B$38)*C22/100)</f>
        <v>473.46488052136141</v>
      </c>
      <c r="C36" s="169">
        <f>IF(ISERROR(B36/SUM($B$32,$B$34,$B$35,$B$36,$B$38,$B$39)*100),0,B36/SUM($B$32,$B$34,$B$35,$B$36,$B$38,$B$39)*100)</f>
        <v>4.9422221348785111</v>
      </c>
      <c r="D36" s="235"/>
      <c r="G36" s="15"/>
    </row>
    <row r="37" spans="1:7">
      <c r="A37" s="173" t="s">
        <v>76</v>
      </c>
      <c r="B37" s="34" t="s">
        <v>111</v>
      </c>
      <c r="C37" s="169"/>
      <c r="D37" s="175"/>
      <c r="G37" s="15"/>
    </row>
    <row r="38" spans="1:7">
      <c r="A38" s="173" t="s">
        <v>77</v>
      </c>
      <c r="B38" s="33">
        <f>IF((B24-(B29-B18)*0.1)&lt;0,0,B24-(B29-B18)*0.1)</f>
        <v>131.19999999999999</v>
      </c>
      <c r="C38" s="169">
        <f>IF(ISERROR(B38/SUM($B$32,$B$34,$B$35,$B$36,$B$38,$B$39)*100),0,B38/SUM($B$32,$B$34,$B$35,$B$36,$B$38,$B$39)*100)</f>
        <v>1.3695198329853862</v>
      </c>
      <c r="D38" s="236"/>
      <c r="G38" s="15"/>
    </row>
    <row r="39" spans="1:7">
      <c r="A39" s="173" t="s">
        <v>78</v>
      </c>
      <c r="B39" s="33">
        <f>IF((B25-(B29-B18))&lt;0,0,B25-(B29-B18)*0.9)</f>
        <v>951.8</v>
      </c>
      <c r="C39" s="169">
        <f>IF(ISERROR(B39/SUM($B$32,$B$34,$B$35,$B$36,$B$38,$B$39)*100),0,B39/SUM($B$32,$B$34,$B$35,$B$36,$B$38,$B$39)*100)</f>
        <v>9.9352818371607512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5892</v>
      </c>
      <c r="C44" s="34" t="s">
        <v>111</v>
      </c>
      <c r="D44" s="176"/>
    </row>
    <row r="45" spans="1:7">
      <c r="A45" s="173" t="s">
        <v>72</v>
      </c>
      <c r="B45" s="33" t="str">
        <f t="shared" si="0"/>
        <v>-</v>
      </c>
      <c r="C45" s="34" t="s">
        <v>111</v>
      </c>
      <c r="D45" s="176"/>
    </row>
    <row r="46" spans="1:7">
      <c r="A46" s="173" t="s">
        <v>73</v>
      </c>
      <c r="B46" s="33">
        <f t="shared" si="0"/>
        <v>514.96379435191886</v>
      </c>
      <c r="C46" s="34" t="s">
        <v>111</v>
      </c>
      <c r="D46" s="176"/>
    </row>
    <row r="47" spans="1:7">
      <c r="A47" s="173" t="s">
        <v>74</v>
      </c>
      <c r="B47" s="33">
        <f t="shared" si="0"/>
        <v>1616.5713251267198</v>
      </c>
      <c r="C47" s="34" t="s">
        <v>111</v>
      </c>
      <c r="D47" s="176"/>
    </row>
    <row r="48" spans="1:7">
      <c r="A48" s="173" t="s">
        <v>75</v>
      </c>
      <c r="B48" s="33">
        <f t="shared" si="0"/>
        <v>473.46488052136141</v>
      </c>
      <c r="C48" s="33">
        <f>B48*10</f>
        <v>4734.6488052136137</v>
      </c>
      <c r="D48" s="236"/>
    </row>
    <row r="49" spans="1:6">
      <c r="A49" s="173" t="s">
        <v>76</v>
      </c>
      <c r="B49" s="33" t="str">
        <f t="shared" si="0"/>
        <v>-</v>
      </c>
      <c r="C49" s="34" t="s">
        <v>111</v>
      </c>
      <c r="D49" s="236"/>
    </row>
    <row r="50" spans="1:6">
      <c r="A50" s="173" t="s">
        <v>77</v>
      </c>
      <c r="B50" s="33">
        <f t="shared" si="0"/>
        <v>131.19999999999999</v>
      </c>
      <c r="C50" s="33">
        <f>B50*2</f>
        <v>262.39999999999998</v>
      </c>
      <c r="D50" s="236"/>
    </row>
    <row r="51" spans="1:6">
      <c r="A51" s="173" t="s">
        <v>78</v>
      </c>
      <c r="B51" s="33">
        <f t="shared" si="0"/>
        <v>951.8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54</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53</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52</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51</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50</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55</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0.14818958109808966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3418.8281460590592</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4700.89444748804</v>
      </c>
      <c r="C26" s="39">
        <f>IF(ISERROR(B26*3.6/1000000/'E Balans VL '!Z12*100),0,B26*3.6/1000000/'E Balans VL '!Z12*100)</f>
        <v>9.9849326585051745E-2</v>
      </c>
      <c r="D26" s="239" t="s">
        <v>692</v>
      </c>
      <c r="F26" s="6"/>
    </row>
    <row r="27" spans="1:18">
      <c r="A27" s="233" t="s">
        <v>53</v>
      </c>
      <c r="B27" s="33">
        <f>IF(ISERROR(TER_horeca_ele_kWh/1000),0,TER_horeca_ele_kWh/1000)</f>
        <v>3550.6610507311998</v>
      </c>
      <c r="C27" s="39">
        <f>IF(ISERROR(B27*3.6/1000000/'E Balans VL '!Z9*100),0,B27*3.6/1000000/'E Balans VL '!Z9*100)</f>
        <v>0.27608552049815155</v>
      </c>
      <c r="D27" s="239" t="s">
        <v>692</v>
      </c>
      <c r="F27" s="6"/>
    </row>
    <row r="28" spans="1:18">
      <c r="A28" s="173" t="s">
        <v>52</v>
      </c>
      <c r="B28" s="33">
        <f>IF(ISERROR(TER_handel_ele_kWh/1000),0,TER_handel_ele_kWh/1000)</f>
        <v>7418.9558096540104</v>
      </c>
      <c r="C28" s="39">
        <f>IF(ISERROR(B28*3.6/1000000/'E Balans VL '!Z13*100),0,B28*3.6/1000000/'E Balans VL '!Z13*100)</f>
        <v>0.21226505695175918</v>
      </c>
      <c r="D28" s="239" t="s">
        <v>692</v>
      </c>
      <c r="F28" s="6"/>
    </row>
    <row r="29" spans="1:18">
      <c r="A29" s="233" t="s">
        <v>51</v>
      </c>
      <c r="B29" s="33">
        <f>IF(ISERROR(TER_gezond_ele_kWh/1000),0,TER_gezond_ele_kWh/1000)</f>
        <v>1053.40838602338</v>
      </c>
      <c r="C29" s="39">
        <f>IF(ISERROR(B29*3.6/1000000/'E Balans VL '!Z10*100),0,B29*3.6/1000000/'E Balans VL '!Z10*100)</f>
        <v>0.11484599235171537</v>
      </c>
      <c r="D29" s="239" t="s">
        <v>692</v>
      </c>
      <c r="F29" s="6"/>
    </row>
    <row r="30" spans="1:18">
      <c r="A30" s="233" t="s">
        <v>50</v>
      </c>
      <c r="B30" s="33">
        <f>IF(ISERROR(TER_ander_ele_kWh/1000),0,TER_ander_ele_kWh/1000)</f>
        <v>2937.7964207004402</v>
      </c>
      <c r="C30" s="39">
        <f>IF(ISERROR(B30*3.6/1000000/'E Balans VL '!Z14*100),0,B30*3.6/1000000/'E Balans VL '!Z14*100)</f>
        <v>0.2149812778336565</v>
      </c>
      <c r="D30" s="239" t="s">
        <v>692</v>
      </c>
      <c r="F30" s="6"/>
    </row>
    <row r="31" spans="1:18">
      <c r="A31" s="233" t="s">
        <v>55</v>
      </c>
      <c r="B31" s="33">
        <f>IF(ISERROR(TER_onderwijs_ele_kWh/1000),0,TER_onderwijs_ele_kWh/1000)</f>
        <v>417.52625443611703</v>
      </c>
      <c r="C31" s="39">
        <f>IF(ISERROR(B31*3.6/1000000/'E Balans VL '!Z11*100),0,B31*3.6/1000000/'E Balans VL '!Z11*100)</f>
        <v>8.386045824994115E-2</v>
      </c>
      <c r="D31" s="239" t="s">
        <v>692</v>
      </c>
    </row>
    <row r="32" spans="1:18">
      <c r="A32" s="233" t="s">
        <v>260</v>
      </c>
      <c r="B32" s="33">
        <f>IF(ISERROR(TER_rest_ele_kWh/1000),0,TER_rest_ele_kWh/1000)</f>
        <v>2991.3953959529199</v>
      </c>
      <c r="C32" s="39">
        <f>IF(ISERROR(B32*3.6/1000000/'E Balans VL '!Z8*100),0,B32*3.6/1000000/'E Balans VL '!Z8*100)</f>
        <v>2.4378057091388777E-2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7</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10168.148816051049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33</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1522.9994479197985</v>
      </c>
      <c r="O9" s="33"/>
      <c r="P9" s="33"/>
      <c r="R9" s="32"/>
    </row>
    <row r="10" spans="1:18">
      <c r="A10" s="6" t="s">
        <v>41</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2700.5424275284295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3905.9506467643719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10168.148816051049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0.14818958109808966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4978.3099943652796</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907.352948061191</v>
      </c>
      <c r="C30" s="39">
        <f>IF(ISERROR(B30*3.6/1000000/'E Balans VL '!Z18*100),0,B30*3.6/1000000/'E Balans VL '!Z18*100)</f>
        <v>8.9281213863880826E-2</v>
      </c>
      <c r="D30" s="239" t="s">
        <v>692</v>
      </c>
    </row>
    <row r="31" spans="1:18">
      <c r="A31" s="6" t="s">
        <v>33</v>
      </c>
      <c r="B31" s="37">
        <f>IF( ISERROR(IND_ander_ele_kWh/1000),0,IND_ander_ele_kWh/1000)</f>
        <v>4664.8604529430804</v>
      </c>
      <c r="C31" s="39">
        <f>IF(ISERROR(B31*3.6/1000000/'E Balans VL '!Z19*100),0,B31*3.6/1000000/'E Balans VL '!Z19*100)</f>
        <v>0.20315095160314331</v>
      </c>
      <c r="D31" s="239" t="s">
        <v>692</v>
      </c>
    </row>
    <row r="32" spans="1:18">
      <c r="A32" s="173" t="s">
        <v>41</v>
      </c>
      <c r="B32" s="37">
        <f>IF( ISERROR(IND_voed_ele_kWh/1000),0,IND_voed_ele_kWh/1000)</f>
        <v>6855.8942394519199</v>
      </c>
      <c r="C32" s="39">
        <f>IF(ISERROR(B32*3.6/1000000/'E Balans VL '!Z20*100),0,B32*3.6/1000000/'E Balans VL '!Z20*100)</f>
        <v>1.3008070591849987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1263.47335900383</v>
      </c>
      <c r="C35" s="39">
        <f>IF(ISERROR(B35*3.6/1000000/'E Balans VL '!Z22*100),0,B35*3.6/1000000/'E Balans VL '!Z22*100)</f>
        <v>0.17765704167994795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19902.616092372202</v>
      </c>
      <c r="C37" s="39">
        <f>IF(ISERROR(B37*3.6/1000000/'E Balans VL '!Z15*100),0,B37*3.6/1000000/'E Balans VL '!Z15*100)</f>
        <v>0.15337410244319463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5459.9023635801077</v>
      </c>
      <c r="C5" s="17">
        <f>'Eigen informatie GS &amp; warmtenet'!B60</f>
        <v>0</v>
      </c>
      <c r="D5" s="30">
        <f>IF(ISERROR(SUM(LB_lb_gas_kWh,LB_rest_gas_kWh)/1000),0,SUM(LB_lb_gas_kWh,LB_rest_gas_kWh)/1000)*0.902</f>
        <v>232.32231644886576</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5459.9023635801077</v>
      </c>
      <c r="C8" s="21">
        <f>C5+C6</f>
        <v>57.160714285714278</v>
      </c>
      <c r="D8" s="21">
        <f>MAX((D5+D6),0)</f>
        <v>232.32231644886576</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0.14818958109808966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809.10064409540576</v>
      </c>
      <c r="C12" s="23">
        <f ca="1">C8*C10</f>
        <v>0</v>
      </c>
      <c r="D12" s="23">
        <f>D8*D10</f>
        <v>46.929107922670887</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0.76148429358588843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1311.3888507571965</v>
      </c>
      <c r="C26" s="249">
        <f>B26*'GWP N2O_CH4'!B5</f>
        <v>27539.165865901126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420.93891602759868</v>
      </c>
      <c r="C27" s="249">
        <f>B27*'GWP N2O_CH4'!B5</f>
        <v>8839.7172365795723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9">
        <f>B28*'GWP N2O_CH4'!B4</f>
        <v>5472.277425335742</v>
      </c>
      <c r="D28" s="50"/>
    </row>
    <row r="29" spans="1:4">
      <c r="A29" s="41" t="s">
        <v>277</v>
      </c>
      <c r="B29" s="249">
        <f>B34*'ha_N2O bodem landbouw'!B4</f>
        <v>38.497661918150065</v>
      </c>
      <c r="C29" s="249">
        <f>B29*'GWP N2O_CH4'!B4</f>
        <v>11934.27519462652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9.6124815015877028E-3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4.4644351344833593E-5</v>
      </c>
      <c r="C5" s="448" t="s">
        <v>211</v>
      </c>
      <c r="D5" s="433">
        <f>SUM(D6:D11)</f>
        <v>7.3000519141692524E-5</v>
      </c>
      <c r="E5" s="433">
        <f>SUM(E6:E11)</f>
        <v>2.2632317557529503E-3</v>
      </c>
      <c r="F5" s="446" t="s">
        <v>211</v>
      </c>
      <c r="G5" s="433">
        <f>SUM(G6:G11)</f>
        <v>0.6212475721512245</v>
      </c>
      <c r="H5" s="433">
        <f>SUM(H6:H11)</f>
        <v>0.10953265888545248</v>
      </c>
      <c r="I5" s="448" t="s">
        <v>211</v>
      </c>
      <c r="J5" s="448" t="s">
        <v>211</v>
      </c>
      <c r="K5" s="448" t="s">
        <v>211</v>
      </c>
      <c r="L5" s="448" t="s">
        <v>211</v>
      </c>
      <c r="M5" s="433">
        <f>SUM(M6:M11)</f>
        <v>3.3034655702725665E-2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3.3771787018884917E-5</v>
      </c>
      <c r="C6" s="887"/>
      <c r="D6" s="887">
        <f>vkm_2011_GW_PW*SUMIFS(TableVerdeelsleutelVkm[CNG],TableVerdeelsleutelVkm[Voertuigtype],"Lichte voertuigen")*SUMIFS(TableECFTransport[EnergieConsumptieFactor (PJ per km)],TableECFTransport[Index],CONCATENATE($A6,"_CNG_CNG"))</f>
        <v>4.7827455525597136E-5</v>
      </c>
      <c r="E6" s="887">
        <f>vkm_2011_GW_PW*SUMIFS(TableVerdeelsleutelVkm[LPG],TableVerdeelsleutelVkm[Voertuigtype],"Lichte voertuigen")*SUMIFS(TableECFTransport[EnergieConsumptieFactor (PJ per km)],TableECFTransport[Index],CONCATENATE($A6,"_LPG_LPG"))</f>
        <v>1.5021029259186468E-3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0.26996902642883525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7.2340372965053745E-2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1.5487171001124532E-2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0.17958019330398356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6.3802981015692736E-5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8.1038857916972094E-3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8.7101332652672648E-6</v>
      </c>
      <c r="C8" s="887"/>
      <c r="D8" s="436">
        <f>vkm_2011_NGW_PW*SUMIFS(TableVerdeelsleutelVkm[CNG],TableVerdeelsleutelVkm[Voertuigtype],"Lichte voertuigen")*SUMIFS(TableECFTransport[EnergieConsumptieFactor (PJ per km)],TableECFTransport[Index],CONCATENATE($A8,"_CNG_CNG"))</f>
        <v>2.1975462189772093E-5</v>
      </c>
      <c r="E8" s="436">
        <f>vkm_2011_NGW_PW*SUMIFS(TableVerdeelsleutelVkm[LPG],TableVerdeelsleutelVkm[Voertuigtype],"Lichte voertuigen")*SUMIFS(TableECFTransport[EnergieConsumptieFactor (PJ per km)],TableECFTransport[Index],CONCATENATE($A8,"_LPG_LPG"))</f>
        <v>6.3570070955465006E-4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0.10775743465713035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3.2071888013438327E-2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6.3279077268319356E-3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2.7780852400346362E-2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9.3401274943979519E-6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1.2536377017566534E-3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2.162431060681412E-6</v>
      </c>
      <c r="C10" s="887"/>
      <c r="D10" s="436">
        <f>vkm_2011_SW_PW*SUMIFS(TableVerdeelsleutelVkm[CNG],TableVerdeelsleutelVkm[Voertuigtype],"Lichte voertuigen")*SUMIFS(TableECFTransport[EnergieConsumptieFactor (PJ per km)],TableECFTransport[Index],CONCATENATE($A10,"_CNG_CNG"))</f>
        <v>3.1976014263233031E-6</v>
      </c>
      <c r="E10" s="436">
        <f>vkm_2011_SW_PW*SUMIFS(TableVerdeelsleutelVkm[LPG],TableVerdeelsleutelVkm[Voertuigtype],"Lichte voertuigen")*SUMIFS(TableECFTransport[EnergieConsumptieFactor (PJ per km)],TableECFTransport[Index],CONCATENATE($A10,"_LPG_LPG"))</f>
        <v>1.2542812027965336E-4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2.0416010620776519E-2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5.0412225592706894E-3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1.1515540594195686E-3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1.5744054740152488E-2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6.0322391796339834E-6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7.1049942189576709E-4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12.40120870689822</v>
      </c>
      <c r="C14" s="21"/>
      <c r="D14" s="21">
        <f t="shared" ref="D14:M14" si="0">((D5)*10^9/3600)+D12</f>
        <v>20.277921983803477</v>
      </c>
      <c r="E14" s="21">
        <f t="shared" si="0"/>
        <v>628.67548770915289</v>
      </c>
      <c r="F14" s="21"/>
      <c r="G14" s="21">
        <f t="shared" si="0"/>
        <v>172568.7700420068</v>
      </c>
      <c r="H14" s="21">
        <f t="shared" si="0"/>
        <v>30425.738579292356</v>
      </c>
      <c r="I14" s="21"/>
      <c r="J14" s="21"/>
      <c r="K14" s="21"/>
      <c r="L14" s="21"/>
      <c r="M14" s="21">
        <f t="shared" si="0"/>
        <v>9176.2932507571295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0.14818958109808966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1.8377299233852296</v>
      </c>
      <c r="C18" s="23"/>
      <c r="D18" s="23">
        <f t="shared" ref="D18:M18" si="1">D14*D16</f>
        <v>4.0961402407283023</v>
      </c>
      <c r="E18" s="23">
        <f t="shared" si="1"/>
        <v>142.70933570997772</v>
      </c>
      <c r="F18" s="23"/>
      <c r="G18" s="23">
        <f t="shared" si="1"/>
        <v>46075.861601215816</v>
      </c>
      <c r="H18" s="23">
        <f t="shared" si="1"/>
        <v>7576.0089062437964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5.2666512995748873E-3</v>
      </c>
      <c r="H50" s="323">
        <f t="shared" si="2"/>
        <v>0</v>
      </c>
      <c r="I50" s="323">
        <f t="shared" si="2"/>
        <v>0</v>
      </c>
      <c r="J50" s="323">
        <f t="shared" si="2"/>
        <v>0</v>
      </c>
      <c r="K50" s="323">
        <f t="shared" si="2"/>
        <v>0</v>
      </c>
      <c r="L50" s="323">
        <f t="shared" si="2"/>
        <v>0</v>
      </c>
      <c r="M50" s="323">
        <f t="shared" si="2"/>
        <v>2.342208650807681E-4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5.2666512995748873E-3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2.342208650807681E-4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1462.9586943263575</v>
      </c>
      <c r="H54" s="21">
        <f t="shared" si="3"/>
        <v>0</v>
      </c>
      <c r="I54" s="21">
        <f t="shared" si="3"/>
        <v>0</v>
      </c>
      <c r="J54" s="21">
        <f t="shared" si="3"/>
        <v>0</v>
      </c>
      <c r="K54" s="21">
        <f t="shared" si="3"/>
        <v>0</v>
      </c>
      <c r="L54" s="21">
        <f t="shared" si="3"/>
        <v>0</v>
      </c>
      <c r="M54" s="21">
        <f t="shared" si="3"/>
        <v>65.061351411324466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0.14818958109808966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390.6099713851375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29626.488300000001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6839.0720000000001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36505.572799999994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43010</v>
      </c>
      <c r="C28" s="791">
        <v>9991</v>
      </c>
      <c r="D28" s="644" t="s">
        <v>910</v>
      </c>
      <c r="E28" s="643" t="s">
        <v>911</v>
      </c>
      <c r="F28" s="643" t="s">
        <v>912</v>
      </c>
      <c r="G28" s="643" t="s">
        <v>913</v>
      </c>
      <c r="H28" s="643" t="s">
        <v>914</v>
      </c>
      <c r="I28" s="643" t="s">
        <v>911</v>
      </c>
      <c r="J28" s="790">
        <v>41174</v>
      </c>
      <c r="K28" s="790">
        <v>41275</v>
      </c>
      <c r="L28" s="643" t="s">
        <v>915</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2019-07-04T14:27:28Z</dcterms:modified>
</cp:coreProperties>
</file>