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J19"/>
  <c r="I19"/>
  <c r="H19"/>
  <c r="G19"/>
  <c r="G20" s="1"/>
  <c r="F19"/>
  <c r="E19"/>
  <c r="D19"/>
  <c r="C19"/>
  <c r="B19"/>
  <c r="N18"/>
  <c r="M18"/>
  <c r="L18"/>
  <c r="L20" s="1"/>
  <c r="K18"/>
  <c r="J18"/>
  <c r="I18"/>
  <c r="O18" s="1"/>
  <c r="H18"/>
  <c r="G18"/>
  <c r="F18"/>
  <c r="F20" s="1"/>
  <c r="E18"/>
  <c r="D18"/>
  <c r="C18"/>
  <c r="B18"/>
  <c r="L9"/>
  <c r="L10" s="1"/>
  <c r="K9"/>
  <c r="K10" s="1"/>
  <c r="G9"/>
  <c r="F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K20"/>
  <c r="D20"/>
  <c r="B17"/>
  <c r="G12"/>
  <c r="F12"/>
  <c r="E12"/>
  <c r="D12"/>
  <c r="C12"/>
  <c r="G10"/>
  <c r="F10"/>
  <c r="B8"/>
  <c r="B6"/>
  <c r="B5"/>
  <c r="B4"/>
  <c r="B10" s="1"/>
  <c r="I102" l="1"/>
  <c r="H17" s="1"/>
  <c r="H20" s="1"/>
  <c r="B102"/>
  <c r="C17" s="1"/>
  <c r="C102"/>
  <c r="F102"/>
  <c r="G102"/>
  <c r="I101"/>
  <c r="H8" s="1"/>
  <c r="H10" s="1"/>
  <c r="H101"/>
  <c r="B101"/>
  <c r="C8" s="1"/>
  <c r="C101"/>
  <c r="D101"/>
  <c r="F101"/>
  <c r="G101"/>
  <c r="O9"/>
  <c r="B20"/>
  <c r="O19"/>
  <c r="C20"/>
  <c r="C10"/>
  <c r="D102"/>
  <c r="H102"/>
  <c r="E101"/>
  <c r="E8" s="1"/>
  <c r="E10" s="1"/>
  <c r="E102"/>
  <c r="E17" s="1"/>
  <c r="E20" s="1"/>
  <c r="N6" i="17"/>
  <c r="I17" i="18" l="1"/>
  <c r="I20" s="1"/>
  <c r="J8"/>
  <c r="J10" s="1"/>
  <c r="I8"/>
  <c r="I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9" s="1"/>
  <c r="O17"/>
  <c r="O32" s="1"/>
  <c r="M4"/>
  <c r="L4"/>
  <c r="K4"/>
  <c r="I4"/>
  <c r="H4"/>
  <c r="G4"/>
  <c r="P1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E76" i="14"/>
  <c r="E8" i="59" s="1"/>
  <c r="B75" i="14"/>
  <c r="B7" i="59" s="1"/>
  <c r="B74" i="14"/>
  <c r="B6" i="59" s="1"/>
  <c r="B73" i="14"/>
  <c r="B5" i="59" s="1"/>
  <c r="B72" i="14"/>
  <c r="B4" i="59" s="1"/>
  <c r="C64" i="14"/>
  <c r="Q54"/>
  <c r="Q56" s="1"/>
  <c r="P54"/>
  <c r="P56" s="1"/>
  <c r="L54"/>
  <c r="J54"/>
  <c r="J56" s="1"/>
  <c r="I54"/>
  <c r="H54"/>
  <c r="H56" s="1"/>
  <c r="Q24"/>
  <c r="P24"/>
  <c r="N24"/>
  <c r="L24"/>
  <c r="J24"/>
  <c r="I24"/>
  <c r="H24"/>
  <c r="H26" s="1"/>
  <c r="Q50"/>
  <c r="P50"/>
  <c r="O50"/>
  <c r="M50"/>
  <c r="L50"/>
  <c r="K50"/>
  <c r="J50"/>
  <c r="G50"/>
  <c r="D50"/>
  <c r="Q49"/>
  <c r="P49"/>
  <c r="Q20"/>
  <c r="P20"/>
  <c r="O20"/>
  <c r="M20"/>
  <c r="L20"/>
  <c r="L22" s="1"/>
  <c r="K20"/>
  <c r="J20"/>
  <c r="G20"/>
  <c r="D20"/>
  <c r="D22" s="1"/>
  <c r="Q19"/>
  <c r="P19"/>
  <c r="O19"/>
  <c r="M19"/>
  <c r="M22" s="1"/>
  <c r="L19"/>
  <c r="K19"/>
  <c r="J19"/>
  <c r="I19"/>
  <c r="G19"/>
  <c r="F19"/>
  <c r="E19"/>
  <c r="D19"/>
  <c r="Q48"/>
  <c r="P48"/>
  <c r="P52" s="1"/>
  <c r="O48"/>
  <c r="M48"/>
  <c r="L48"/>
  <c r="K48"/>
  <c r="J48"/>
  <c r="G48"/>
  <c r="D48"/>
  <c r="Q18"/>
  <c r="P18"/>
  <c r="O18"/>
  <c r="M18"/>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I56"/>
  <c r="R44"/>
  <c r="Q26"/>
  <c r="I26"/>
  <c r="E25"/>
  <c r="E55" s="1"/>
  <c r="C25"/>
  <c r="B14" i="48" s="1"/>
  <c r="P26" i="14"/>
  <c r="N26"/>
  <c r="L26"/>
  <c r="J26"/>
  <c r="Q22"/>
  <c r="J22"/>
  <c r="L78" l="1"/>
  <c r="L9" i="59"/>
  <c r="Q52" i="14"/>
  <c r="G10" i="59"/>
  <c r="P28" i="48"/>
  <c r="Q11"/>
  <c r="O28"/>
  <c r="K20" i="59"/>
  <c r="L20"/>
  <c r="L10"/>
  <c r="E10"/>
  <c r="K78" i="14"/>
  <c r="K8" i="59"/>
  <c r="K10" s="1"/>
  <c r="E90" i="14"/>
  <c r="E18" i="59"/>
  <c r="E20" s="1"/>
  <c r="K22" i="14"/>
  <c r="N10" i="59"/>
  <c r="P32" i="48"/>
  <c r="D14"/>
  <c r="G22" i="14"/>
  <c r="O22"/>
  <c r="P22"/>
  <c r="P25" i="48"/>
  <c r="N78" i="14"/>
  <c r="K90"/>
  <c r="L90"/>
  <c r="H90"/>
  <c r="L13" i="15"/>
  <c r="N13"/>
  <c r="F77" i="14"/>
  <c r="O78"/>
  <c r="N88"/>
  <c r="E78"/>
  <c r="H77"/>
  <c r="H9" i="59" s="1"/>
  <c r="H10" s="1"/>
  <c r="O88" i="14"/>
  <c r="G89"/>
  <c r="G78"/>
  <c r="O31" i="48"/>
  <c r="O27"/>
  <c r="O29"/>
  <c r="P31"/>
  <c r="Q14"/>
  <c r="O24"/>
  <c r="O30"/>
  <c r="P24"/>
  <c r="P30"/>
  <c r="R9" i="14"/>
  <c r="R25"/>
  <c r="C89" l="1"/>
  <c r="C19" i="59" s="1"/>
  <c r="G19"/>
  <c r="G20" s="1"/>
  <c r="B77" i="14"/>
  <c r="B9" i="59" s="1"/>
  <c r="F9"/>
  <c r="N90" i="14"/>
  <c r="N18" i="59"/>
  <c r="N20" s="1"/>
  <c r="O90" i="14"/>
  <c r="O18" i="59"/>
  <c r="O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90" i="14" l="1"/>
  <c r="M17" i="59"/>
  <c r="M20" s="1"/>
  <c r="M78" i="14"/>
  <c r="M8" i="59"/>
  <c r="M10" s="1"/>
  <c r="F90" i="14"/>
  <c r="F17" i="59"/>
  <c r="F20" s="1"/>
  <c r="F78" i="14"/>
  <c r="F8" i="59"/>
  <c r="F10" s="1"/>
  <c r="I78" i="14"/>
  <c r="J76"/>
  <c r="J87"/>
  <c r="Q87"/>
  <c r="D90"/>
  <c r="Q76"/>
  <c r="D78"/>
  <c r="I90"/>
  <c r="J78" l="1"/>
  <c r="J8" i="59"/>
  <c r="J10" s="1"/>
  <c r="J90" i="14"/>
  <c r="J17" i="59"/>
  <c r="J20" s="1"/>
  <c r="Q78" i="14"/>
  <c r="B9" i="6" s="1"/>
  <c r="P8" i="59"/>
  <c r="P10" s="1"/>
  <c r="Q90" i="14"/>
  <c r="B17" i="6" s="1"/>
  <c r="P17" i="59"/>
  <c r="P20" s="1"/>
  <c r="B87" i="14"/>
  <c r="C76"/>
  <c r="B76"/>
  <c r="C87"/>
  <c r="B90" l="1"/>
  <c r="B17" i="59"/>
  <c r="B20" s="1"/>
  <c r="C78" i="14"/>
  <c r="C8" i="59"/>
  <c r="C10" s="1"/>
  <c r="B78" i="14"/>
  <c r="B4" i="6" s="1"/>
  <c r="B8" i="59"/>
  <c r="B10" s="1"/>
  <c r="C90" i="14"/>
  <c r="C17" i="59"/>
  <c r="C20" s="1"/>
  <c r="C42" i="22"/>
  <c r="H14" i="15" l="1"/>
  <c r="H16" s="1"/>
  <c r="G14"/>
  <c r="G16" s="1"/>
  <c r="I10" i="14" l="1"/>
  <c r="I16" s="1"/>
  <c r="H5" i="48"/>
  <c r="G5"/>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D29" i="48" l="1"/>
  <c r="D30"/>
  <c r="D24"/>
  <c r="D28"/>
  <c r="D31"/>
  <c r="D32"/>
  <c r="K32"/>
  <c r="K28"/>
  <c r="K26"/>
  <c r="K25"/>
  <c r="K27"/>
  <c r="K30"/>
  <c r="K24"/>
  <c r="K22"/>
  <c r="K31"/>
  <c r="K29"/>
  <c r="B7"/>
  <c r="C24" i="14"/>
  <c r="C26" s="1"/>
  <c r="M32" i="48"/>
  <c r="M25"/>
  <c r="M26"/>
  <c r="M29"/>
  <c r="M22"/>
  <c r="M30"/>
  <c r="M24"/>
  <c r="M23"/>
  <c r="P5"/>
  <c r="P23" s="1"/>
  <c r="Q10" i="14"/>
  <c r="J27" i="48"/>
  <c r="J29"/>
  <c r="J32"/>
  <c r="J30"/>
  <c r="J28"/>
  <c r="J24"/>
  <c r="J31"/>
  <c r="O4"/>
  <c r="P11" i="14"/>
  <c r="I22" i="48"/>
  <c r="I31"/>
  <c r="I26"/>
  <c r="I32"/>
  <c r="I25"/>
  <c r="I27"/>
  <c r="I24"/>
  <c r="I29"/>
  <c r="I28"/>
  <c r="I30"/>
  <c r="L27"/>
  <c r="L32"/>
  <c r="L29"/>
  <c r="L22"/>
  <c r="L31"/>
  <c r="L28"/>
  <c r="L30"/>
  <c r="L24"/>
  <c r="P4"/>
  <c r="Q11" i="14"/>
  <c r="E11"/>
  <c r="D4" i="48"/>
  <c r="D22" s="1"/>
  <c r="D11" i="14"/>
  <c r="C4" i="48"/>
  <c r="G32"/>
  <c r="G26"/>
  <c r="G29"/>
  <c r="G24"/>
  <c r="G25"/>
  <c r="G30"/>
  <c r="G22"/>
  <c r="G23"/>
  <c r="E31"/>
  <c r="E32"/>
  <c r="E28"/>
  <c r="E24"/>
  <c r="E30"/>
  <c r="E29"/>
  <c r="L10" i="14"/>
  <c r="L16" s="1"/>
  <c r="L27" s="1"/>
  <c r="K5" i="48"/>
  <c r="H29"/>
  <c r="H26"/>
  <c r="H32"/>
  <c r="H25"/>
  <c r="H24"/>
  <c r="H28"/>
  <c r="H22"/>
  <c r="H30"/>
  <c r="H23"/>
  <c r="C11" i="14"/>
  <c r="B4" i="48"/>
  <c r="F32"/>
  <c r="F27"/>
  <c r="F29"/>
  <c r="F30"/>
  <c r="F24"/>
  <c r="F28"/>
  <c r="F31"/>
  <c r="N31"/>
  <c r="N32"/>
  <c r="N27"/>
  <c r="N29"/>
  <c r="N28"/>
  <c r="N24"/>
  <c r="N30"/>
  <c r="B10"/>
  <c r="C19" i="14"/>
  <c r="D8" i="17"/>
  <c r="D12" s="1"/>
  <c r="E54" i="14" s="1"/>
  <c r="E56" s="1"/>
  <c r="B8" i="9"/>
  <c r="B6" i="48" s="1"/>
  <c r="Q6" s="1"/>
  <c r="C16" i="15"/>
  <c r="I14"/>
  <c r="I16" s="1"/>
  <c r="B13" i="16"/>
  <c r="C35"/>
  <c r="D14" i="15"/>
  <c r="P18" i="16"/>
  <c r="L18"/>
  <c r="L22" s="1"/>
  <c r="M43" i="14" s="1"/>
  <c r="N5" i="17"/>
  <c r="N8" s="1"/>
  <c r="J8"/>
  <c r="J12" s="1"/>
  <c r="K54" i="14" s="1"/>
  <c r="K56" s="1"/>
  <c r="F8" i="17"/>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H18" i="14" l="1"/>
  <c r="G13" i="48"/>
  <c r="H13"/>
  <c r="H31" s="1"/>
  <c r="I18" i="14"/>
  <c r="P22" i="16"/>
  <c r="Q43" i="14" s="1"/>
  <c r="P8" i="48"/>
  <c r="P26" s="1"/>
  <c r="Q13" i="14"/>
  <c r="O22" i="48"/>
  <c r="B9"/>
  <c r="C20" i="14"/>
  <c r="O5" i="48"/>
  <c r="O23" s="1"/>
  <c r="P10" i="14"/>
  <c r="Q16"/>
  <c r="Q27" s="1"/>
  <c r="C22"/>
  <c r="E9" i="48"/>
  <c r="F20" i="14"/>
  <c r="F22" s="1"/>
  <c r="D9" i="48"/>
  <c r="D27" s="1"/>
  <c r="E20" i="14"/>
  <c r="E22" s="1"/>
  <c r="K24"/>
  <c r="K26" s="1"/>
  <c r="J7" i="48"/>
  <c r="J25" s="1"/>
  <c r="J10" i="14"/>
  <c r="J16" s="1"/>
  <c r="J27" s="1"/>
  <c r="I5" i="48"/>
  <c r="K15"/>
  <c r="K23"/>
  <c r="L63" i="14"/>
  <c r="K33" i="48"/>
  <c r="F4"/>
  <c r="F22" s="1"/>
  <c r="G11" i="14"/>
  <c r="M12" i="22"/>
  <c r="N18" i="14"/>
  <c r="M13" i="48"/>
  <c r="M31" s="1"/>
  <c r="P22"/>
  <c r="P33" s="1"/>
  <c r="P15"/>
  <c r="L46" i="14"/>
  <c r="L61" s="1"/>
  <c r="D2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E12" l="1"/>
  <c r="F41" i="14" s="1"/>
  <c r="F11"/>
  <c r="R11" s="1"/>
  <c r="E4" i="48"/>
  <c r="N4"/>
  <c r="N22" s="1"/>
  <c r="O11" i="14"/>
  <c r="M9" i="48"/>
  <c r="N20" i="14"/>
  <c r="H20"/>
  <c r="G9" i="48"/>
  <c r="O8"/>
  <c r="P13" i="14"/>
  <c r="P16" s="1"/>
  <c r="P27" s="1"/>
  <c r="I23" i="48"/>
  <c r="I33" s="1"/>
  <c r="I15"/>
  <c r="Q13"/>
  <c r="G31"/>
  <c r="Q63" i="14"/>
  <c r="R18"/>
  <c r="M10" i="48"/>
  <c r="M28" s="1"/>
  <c r="N19" i="14"/>
  <c r="E7" i="48"/>
  <c r="E25" s="1"/>
  <c r="F24" i="14"/>
  <c r="F26" s="1"/>
  <c r="H19"/>
  <c r="R19" s="1"/>
  <c r="G10" i="48"/>
  <c r="Q46" i="14"/>
  <c r="Q61" s="1"/>
  <c r="K11"/>
  <c r="J4" i="48"/>
  <c r="E27"/>
  <c r="N22" i="14"/>
  <c r="N27" s="1"/>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12" i="17"/>
  <c r="F54" i="14" s="1"/>
  <c r="F56" s="1"/>
  <c r="H14" i="22"/>
  <c r="E16" i="15"/>
  <c r="O22" i="16"/>
  <c r="P43" i="14" s="1"/>
  <c r="P46" s="1"/>
  <c r="P61" s="1"/>
  <c r="P63" s="1"/>
  <c r="J16" i="15"/>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H52" l="1"/>
  <c r="H61" s="1"/>
  <c r="E20" i="15"/>
  <c r="F40" i="14" s="1"/>
  <c r="E5" i="48"/>
  <c r="E23" s="1"/>
  <c r="F10" i="14"/>
  <c r="O26" i="48"/>
  <c r="O33" s="1"/>
  <c r="O15"/>
  <c r="E22"/>
  <c r="Q4"/>
  <c r="N63" i="14"/>
  <c r="H22"/>
  <c r="H27" s="1"/>
  <c r="G28" i="48"/>
  <c r="Q10"/>
  <c r="K10" i="14"/>
  <c r="J5" i="48"/>
  <c r="J23" s="1"/>
  <c r="J22"/>
  <c r="G27"/>
  <c r="G33" s="1"/>
  <c r="G15"/>
  <c r="M27"/>
  <c r="M33" s="1"/>
  <c r="M15"/>
  <c r="I20" i="14"/>
  <c r="I22" s="1"/>
  <c r="I27" s="1"/>
  <c r="H9" i="48"/>
  <c r="Q9" s="1"/>
  <c r="E46" i="14"/>
  <c r="E61" s="1"/>
  <c r="M61"/>
  <c r="M27"/>
  <c r="E16"/>
  <c r="E27" s="1"/>
  <c r="L15" i="48"/>
  <c r="R24" i="14"/>
  <c r="R26" s="1"/>
  <c r="L33" i="48"/>
  <c r="Q7"/>
  <c r="R10" i="14"/>
  <c r="D23" i="48"/>
  <c r="D33" s="1"/>
  <c r="D15"/>
  <c r="C16" i="14"/>
  <c r="C27" s="1"/>
  <c r="B3" i="6" s="1"/>
  <c r="B12" s="1"/>
  <c r="F23" i="48"/>
  <c r="N23"/>
  <c r="Q5"/>
  <c r="B15"/>
  <c r="F18" i="16"/>
  <c r="E18"/>
  <c r="N18"/>
  <c r="J18"/>
  <c r="G18" i="22"/>
  <c r="H50" i="14" s="1"/>
  <c r="E22" i="16"/>
  <c r="F43"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H63" l="1"/>
  <c r="H27" i="48"/>
  <c r="H33" s="1"/>
  <c r="H15"/>
  <c r="E8"/>
  <c r="E26" s="1"/>
  <c r="E33" s="1"/>
  <c r="F13" i="14"/>
  <c r="F16" s="1"/>
  <c r="F27" s="1"/>
  <c r="F63" s="1"/>
  <c r="I63"/>
  <c r="J22" i="16"/>
  <c r="K43" i="14" s="1"/>
  <c r="K46" s="1"/>
  <c r="K61" s="1"/>
  <c r="K13"/>
  <c r="K16" s="1"/>
  <c r="K27" s="1"/>
  <c r="J8" i="48"/>
  <c r="E63" i="14"/>
  <c r="R20"/>
  <c r="R22" s="1"/>
  <c r="F46"/>
  <c r="F61" s="1"/>
  <c r="E15" i="48"/>
  <c r="C55" i="14"/>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J26" i="48" l="1"/>
  <c r="J33" s="1"/>
  <c r="J15"/>
  <c r="K63" i="14"/>
  <c r="G16"/>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<sst xmlns="http://schemas.openxmlformats.org/spreadsheetml/2006/main" count="2438" uniqueCount="916">
  <si>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</si>
  <si>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</si>
  <si>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</si>
  <si>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</si>
  <si>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</si>
  <si>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</si>
  <si>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</si>
  <si>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</si>
  <si>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</si>
  <si>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</si>
  <si>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</si>
  <si>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</si>
  <si>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</si>
  <si>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</si>
  <si>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</si>
  <si>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</si>
  <si>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</si>
  <si>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</si>
  <si>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</si>
  <si>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</si>
  <si>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</si>
  <si>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</si>
  <si>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</si>
  <si>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</si>
  <si>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</si>
  <si>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</si>
  <si>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</si>
  <si>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</si>
  <si>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</si>
  <si>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</si>
  <si>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</si>
  <si>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</si>
  <si>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</si>
  <si>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</si>
  <si>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</si>
  <si>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</si>
  <si>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</si>
  <si>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</si>
  <si>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</si>
  <si>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</si>
  <si>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</si>
  <si>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</si>
  <si>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</si>
  <si>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</si>
  <si>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</si>
  <si>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</si>
  <si>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</si>
  <si>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</si>
  <si>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</si>
  <si>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</si>
  <si>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</si>
  <si>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</si>
  <si>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</si>
  <si>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</si>
  <si>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</si>
  <si>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</si>
  <si>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</si>
  <si>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</si>
  <si>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</si>
  <si>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</si>
  <si>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</si>
  <si>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</si>
  <si>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</si>
  <si>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</si>
  <si>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</si>
  <si>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</si>
  <si>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</si>
  <si>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</si>
  <si>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</si>
  <si>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</si>
  <si>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</si>
  <si>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</si>
  <si>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</si>
  <si>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</si>
  <si>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</si>
  <si>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</si>
  <si>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</si>
  <si>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</si>
  <si>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</si>
  <si>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</si>
  <si>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</si>
  <si>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</si>
  <si>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</si>
  <si>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</si>
  <si>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</si>
  <si>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</si>
  <si>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</si>
  <si>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</si>
  <si>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</si>
  <si>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</si>
  <si>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</si>
  <si>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</si>
  <si>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</si>
  <si>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</si>
  <si>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</si>
  <si>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</si>
  <si>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</si>
  <si>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</si>
  <si>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</si>
  <si>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</si>
  <si>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</si>
  <si>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</si>
  <si>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</si>
  <si>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</si>
  <si>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</si>
  <si>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</si>
  <si>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</si>
  <si>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</si>
  <si>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</si>
  <si>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</si>
  <si>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</si>
  <si>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</si>
  <si>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</si>
  <si>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</si>
  <si>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</si>
  <si>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</si>
  <si>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</si>
  <si>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</si>
  <si>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</si>
  <si>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</si>
  <si>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</si>
  <si>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</si>
  <si>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</si>
  <si>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</si>
  <si>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</si>
  <si>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</si>
  <si>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</si>
  <si>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</si>
  <si>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</si>
  <si>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</si>
  <si>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</si>
  <si>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</si>
  <si>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</si>
  <si>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</si>
  <si>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</si>
  <si>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</si>
  <si>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</si>
  <si>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</si>
  <si>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</si>
  <si>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</si>
  <si>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</si>
  <si>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</si>
  <si>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</si>
  <si>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</si>
  <si>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</si>
  <si>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</si>
  <si>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</si>
  <si>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</si>
  <si>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</si>
  <si>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</si>
  <si>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</si>
  <si>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</si>
  <si>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</si>
  <si>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</si>
  <si>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</si>
  <si>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</si>
  <si>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</si>
  <si>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</si>
  <si>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</si>
  <si>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</si>
  <si>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</si>
  <si>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</si>
  <si>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</si>
  <si>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</si>
  <si>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</si>
  <si>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</si>
  <si>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</si>
  <si>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</si>
  <si>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</si>
  <si>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</si>
  <si>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</si>
  <si>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</si>
  <si>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</si>
  <si>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</si>
  <si>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</si>
  <si>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</si>
  <si>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</si>
  <si>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</si>
  <si>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</si>
  <si>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</si>
  <si>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</si>
  <si>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</si>
  <si>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</si>
  <si>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</si>
  <si>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</si>
  <si>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</si>
  <si>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</si>
  <si>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</si>
  <si>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</si>
  <si>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</si>
  <si>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</si>
  <si>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</si>
  <si>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</si>
  <si>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</si>
  <si>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</si>
  <si>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</si>
  <si>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</si>
  <si>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</si>
  <si>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</si>
  <si>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</si>
  <si>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</si>
  <si>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</si>
  <si>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</si>
  <si>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</si>
  <si>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</si>
  <si>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</si>
  <si>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</si>
  <si>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</si>
  <si>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</si>
  <si>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</si>
  <si>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</si>
  <si>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</si>
  <si>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</si>
  <si>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</si>
  <si>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</si>
  <si>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</si>
  <si>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</si>
  <si>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</si>
  <si>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</si>
  <si>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</si>
  <si>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</si>
  <si>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</si>
  <si>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</si>
  <si>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</si>
  <si>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</si>
  <si>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</si>
  <si>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</si>
  <si>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</si>
  <si>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</si>
  <si>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</si>
  <si>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</si>
  <si>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</si>
  <si>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</si>
  <si>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</si>
  <si>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</si>
  <si>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</si>
  <si>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</si>
  <si>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</si>
  <si>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</si>
  <si>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</si>
  <si>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</si>
  <si>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</si>
  <si>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</si>
  <si>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</si>
  <si>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</si>
  <si>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</si>
  <si>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</si>
  <si>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</si>
  <si>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</si>
  <si>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</si>
  <si>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</si>
  <si>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</si>
  <si>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</si>
  <si>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</si>
  <si>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</si>
  <si>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</si>
  <si>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</si>
  <si>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</si>
  <si>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</si>
  <si>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</si>
  <si>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</si>
  <si>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</si>
  <si>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</si>
  <si>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</si>
  <si>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</si>
  <si>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</si>
  <si>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</si>
  <si>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</si>
  <si>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</si>
  <si>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</si>
  <si>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</si>
  <si>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</si>
  <si>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</si>
  <si>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</si>
  <si>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</si>
  <si>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</si>
  <si>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</si>
  <si>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</si>
  <si>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</si>
  <si>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</si>
  <si>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</si>
  <si>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</si>
  <si>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</si>
  <si>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</si>
  <si>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</si>
  <si>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</si>
  <si>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</si>
  <si>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</si>
  <si>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</si>
  <si>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</si>
  <si>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</si>
  <si>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</si>
  <si>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</si>
  <si>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</si>
  <si>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</si>
  <si>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</si>
  <si>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</si>
  <si>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</si>
  <si>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</si>
  <si>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</si>
  <si>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</si>
  <si>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</si>
  <si>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</si>
  <si>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</si>
  <si>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</si>
  <si>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</si>
  <si>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</si>
  <si>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</si>
  <si>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</si>
  <si>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</si>
  <si>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</si>
  <si>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</si>
  <si>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</si>
  <si>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</si>
  <si>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</si>
  <si>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</si>
  <si>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</si>
  <si>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</si>
  <si>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</si>
  <si>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</si>
  <si>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</si>
  <si>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</si>
  <si>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</si>
  <si>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</si>
  <si>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</si>
  <si>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</si>
  <si>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</si>
  <si>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</si>
  <si>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</si>
  <si>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</si>
  <si>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</si>
  <si>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</si>
  <si>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</si>
  <si>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</si>
  <si>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</si>
  <si>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</si>
  <si>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</si>
  <si>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</si>
  <si>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</si>
  <si>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</si>
  <si>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</si>
  <si>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</si>
  <si>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</si>
  <si>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</si>
  <si>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</si>
  <si>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</si>
  <si>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</si>
  <si>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</si>
  <si>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</si>
  <si>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</si>
  <si>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</si>
  <si>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</si>
  <si>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</si>
  <si>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</si>
  <si>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</si>
  <si>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</si>
  <si>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</si>
  <si>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</si>
  <si>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</si>
  <si>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</si>
  <si>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</si>
  <si>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</si>
  <si>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</si>
  <si>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</si>
  <si>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</si>
  <si>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</si>
  <si>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</si>
  <si>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</si>
  <si>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</si>
  <si>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</si>
  <si>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</si>
  <si>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</si>
  <si>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</si>
  <si>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</si>
  <si>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</si>
  <si>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</si>
  <si>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</si>
  <si>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</si>
  <si>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</si>
  <si>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</si>
  <si>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</si>
  <si>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</si>
  <si>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</si>
  <si>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</si>
  <si>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</si>
  <si>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</si>
  <si>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</si>
  <si>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</si>
  <si>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</si>
  <si>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</si>
  <si>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</si>
  <si>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</si>
  <si>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</si>
  <si>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</si>
  <si>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</si>
  <si>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</si>
  <si>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</si>
  <si>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</si>
  <si>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</si>
  <si>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</si>
  <si>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</si>
  <si>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</si>
  <si>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</si>
  <si>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</si>
  <si>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</si>
  <si>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</si>
  <si>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</si>
  <si>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</si>
  <si>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</si>
  <si>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</si>
  <si>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</si>
  <si>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</si>
  <si>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</si>
  <si>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</si>
  <si>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</si>
  <si>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</si>
  <si>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</si>
  <si>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</si>
  <si>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</si>
  <si>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</si>
  <si>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</si>
  <si>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</si>
  <si>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</si>
  <si>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</si>
  <si>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</si>
  <si>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</si>
  <si>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</si>
  <si>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</si>
  <si>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</si>
  <si>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</si>
  <si>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</si>
  <si>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</si>
  <si>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</si>
  <si>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</si>
  <si>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</si>
  <si>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</si>
  <si>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</si>
  <si>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</si>
  <si>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</si>
  <si>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</si>
  <si>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</si>
  <si>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</si>
  <si>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</si>
  <si>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</si>
  <si>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</si>
  <si>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</si>
  <si>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</si>
  <si>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</si>
  <si>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</si>
  <si>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</si>
  <si>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</si>
  <si>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</si>
  <si>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</si>
  <si>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</si>
  <si>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</si>
  <si>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</si>
  <si>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</si>
  <si>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</si>
  <si>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</si>
  <si>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</si>
  <si>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</si>
  <si>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</si>
  <si>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</si>
  <si>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</si>
  <si>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</si>
  <si>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</si>
  <si>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</si>
  <si>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</si>
  <si>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</si>
  <si>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</si>
  <si>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</si>
  <si>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</si>
  <si>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</si>
  <si>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</si>
  <si>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</si>
  <si>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</si>
  <si>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</si>
  <si>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</si>
  <si>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</si>
  <si>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</si>
  <si>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</si>
  <si>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</si>
  <si>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</si>
  <si>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</si>
  <si>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</si>
  <si>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</si>
  <si>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</si>
  <si>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</si>
  <si>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</si>
  <si>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</si>
  <si>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</si>
  <si>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</si>
  <si>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</si>
  <si>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</si>
  <si>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</si>
  <si>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</si>
  <si>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</si>
  <si>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</si>
  <si>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</si>
  <si>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</si>
  <si>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</si>
  <si>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</si>
  <si>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</si>
  <si>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</si>
  <si>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</si>
  <si>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</si>
  <si>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</si>
  <si>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</si>
  <si>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</si>
  <si>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</si>
  <si>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</si>
  <si>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</si>
  <si>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</si>
  <si>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</si>
  <si>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</si>
  <si>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</si>
  <si>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</si>
  <si>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</si>
  <si>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</si>
  <si>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</si>
  <si>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</si>
  <si>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</si>
  <si>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</si>
  <si>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</si>
  <si>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</si>
  <si>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</si>
  <si>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</si>
  <si>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</si>
  <si>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</si>
  <si>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</si>
  <si>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</si>
  <si>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</si>
  <si>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</si>
  <si>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</si>
  <si>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</si>
  <si>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</si>
  <si>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</si>
  <si>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</si>
  <si>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</si>
  <si>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</si>
  <si>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</si>
  <si>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</si>
  <si>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</si>
  <si>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</si>
  <si>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</si>
  <si>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</si>
  <si>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</si>
  <si>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</si>
  <si>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</si>
  <si>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</si>
  <si>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</si>
  <si>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</si>
  <si>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</si>
  <si>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</si>
  <si>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</si>
  <si>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</si>
  <si>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</si>
  <si>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</si>
  <si>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</si>
  <si>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</si>
  <si>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</si>
  <si>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</si>
  <si>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</si>
  <si>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</si>
  <si>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</si>
  <si>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</si>
  <si>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</si>
  <si>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</si>
  <si>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</si>
  <si>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</si>
  <si>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</si>
  <si>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</si>
  <si>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</si>
  <si>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</si>
  <si>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</si>
  <si>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</si>
  <si>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</si>
  <si>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</si>
  <si>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</si>
  <si>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</si>
  <si>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</si>
  <si>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</si>
  <si>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</si>
  <si>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</si>
  <si>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</si>
  <si>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</si>
  <si>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</si>
  <si>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</si>
  <si>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</si>
  <si>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</si>
  <si>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</si>
  <si>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</si>
  <si>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</si>
  <si>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</si>
  <si>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</si>
  <si>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</si>
  <si>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</si>
  <si>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</si>
  <si>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</si>
  <si>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</si>
  <si>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</si>
  <si>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</si>
  <si>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</si>
  <si>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</si>
  <si>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</si>
  <si>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</si>
  <si>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</si>
  <si>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</si>
  <si>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</si>
  <si>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</si>
  <si>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</si>
  <si>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</si>
  <si>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</si>
  <si>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</si>
  <si>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</si>
  <si>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</si>
  <si>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</si>
  <si>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</si>
  <si>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</si>
  <si>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</si>
  <si>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</si>
  <si>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</si>
  <si>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</si>
  <si>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</si>
  <si>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</si>
  <si>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</si>
  <si>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</si>
  <si>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</si>
  <si>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</si>
  <si>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</si>
  <si>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</si>
  <si>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</si>
  <si>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</si>
  <si>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</si>
  <si>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</si>
  <si>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</si>
  <si>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</si>
  <si>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</si>
  <si>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</si>
  <si>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</si>
  <si>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</si>
  <si>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</si>
  <si>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</si>
  <si>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</si>
  <si>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</si>
  <si>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</si>
  <si>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</si>
  <si>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</si>
  <si>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</si>
  <si>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</si>
  <si>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</si>
  <si>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</si>
  <si>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</si>
  <si>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</si>
  <si>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</si>
  <si>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</si>
  <si>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</si>
  <si>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</si>
  <si>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</si>
  <si>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</si>
  <si>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</si>
  <si>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</si>
  <si>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</si>
  <si>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</si>
  <si>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</si>
  <si>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</si>
  <si>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</si>
  <si>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</si>
  <si>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</si>
  <si>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</si>
  <si>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</si>
  <si>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</si>
  <si>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</si>
  <si>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</si>
  <si>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</si>
  <si>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</si>
  <si>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</si>
  <si>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</si>
  <si>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</si>
  <si>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</si>
  <si>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</si>
  <si>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</si>
  <si>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</si>
  <si>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</si>
  <si>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</si>
  <si>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</si>
  <si>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</si>
  <si>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</si>
  <si>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</si>
  <si>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</si>
  <si>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</si>
  <si>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</si>
  <si>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</si>
  <si>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</si>
  <si>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</si>
  <si>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</si>
  <si>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</si>
  <si>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</si>
  <si>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</si>
  <si>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</si>
  <si>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</si>
  <si>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</si>
  <si>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</si>
  <si>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</si>
  <si>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</si>
  <si>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</si>
  <si>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</si>
  <si>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</si>
  <si>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</si>
  <si>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</si>
  <si>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</si>
  <si>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</si>
  <si>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</si>
  <si>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</si>
  <si>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</si>
  <si>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</si>
  <si>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</si>
  <si>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</si>
  <si>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</si>
  <si>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</si>
  <si>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</si>
  <si>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</si>
  <si>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</si>
  <si>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</si>
  <si>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</si>
  <si>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</si>
  <si>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</si>
  <si>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</si>
  <si>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</si>
  <si>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</si>
  <si>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</si>
  <si>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</si>
  <si>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</si>
  <si>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</si>
  <si>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</si>
  <si>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</si>
  <si>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</si>
  <si>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</si>
  <si>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</si>
  <si>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</si>
  <si>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</si>
  <si>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</si>
  <si>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</si>
  <si>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</si>
  <si>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</si>
  <si>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</si>
  <si>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</si>
  <si>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</si>
  <si>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</si>
  <si>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</si>
  <si>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</si>
  <si>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</si>
  <si>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</si>
  <si>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</si>
  <si>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</si>
  <si>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</si>
  <si>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</si>
  <si>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</si>
  <si>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</si>
  <si>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</si>
  <si>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</si>
  <si>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</si>
  <si>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</si>
  <si>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</si>
  <si>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</si>
  <si>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</si>
  <si>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</si>
  <si>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</si>
  <si>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</si>
  <si>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</si>
  <si>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</si>
  <si>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</si>
  <si>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</si>
  <si>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</si>
  <si>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</si>
  <si>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</si>
  <si>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</si>
  <si>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</si>
  <si>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</si>
  <si>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</si>
  <si>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</si>
  <si>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</si>
  <si>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</si>
  <si>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</si>
  <si>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</si>
  <si>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</si>
  <si>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</si>
  <si>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</si>
  <si>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</si>
  <si>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</si>
  <si>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</si>
  <si>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</si>
  <si>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</si>
  <si>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</si>
  <si>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</si>
  <si>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</si>
  <si>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</si>
  <si>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</si>
  <si>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</si>
  <si>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</si>
  <si>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</si>
  <si>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</si>
  <si>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</si>
  <si>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</si>
  <si>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</si>
  <si>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</si>
  <si>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</si>
  <si>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</si>
  <si>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</si>
  <si>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</si>
  <si>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</si>
  <si>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</si>
  <si>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</si>
  <si>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</si>
  <si>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</si>
  <si>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</si>
  <si>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</si>
  <si>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</si>
  <si>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</si>
  <si>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</si>
  <si>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</si>
  <si>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</si>
  <si>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</si>
  <si>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</si>
  <si>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</si>
  <si>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</si>
  <si>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</si>
  <si>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</si>
  <si>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</si>
  <si>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</si>
  <si>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</si>
  <si>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</si>
  <si>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</si>
  <si>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</si>
  <si>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</si>
  <si>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</si>
  <si>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</si>
  <si>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</si>
  <si>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</si>
  <si>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</si>
  <si>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</si>
  <si>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</si>
  <si>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</si>
  <si>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</si>
  <si>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</si>
  <si>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</si>
  <si>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</si>
  <si>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</si>
  <si>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</si>
  <si>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</si>
  <si>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</si>
  <si>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</si>
  <si>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</si>
  <si>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</si>
  <si>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</si>
  <si>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</si>
  <si>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</si>
  <si>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</si>
  <si>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</si>
  <si>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</si>
  <si>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</si>
  <si>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</si>
  <si>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</si>
  <si>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</si>
  <si>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</si>
  <si>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</si>
  <si>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</si>
  <si>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</si>
  <si>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</si>
  <si>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</si>
  <si>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</si>
  <si>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</si>
  <si>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</si>
  <si>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</si>
  <si>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</si>
  <si>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</si>
  <si>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</si>
  <si>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</si>
  <si>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</si>
  <si>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</si>
  <si>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</si>
  <si>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versie: 2013_07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</si>
  <si>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</si>
  <si>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</si>
  <si>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</si>
  <si>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</si>
  <si>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</si>
  <si>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</si>
  <si>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</si>
  <si>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</si>
  <si>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</si>
  <si>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</si>
  <si>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</si>
  <si>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</si>
  <si>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</si>
  <si>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</si>
  <si>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</si>
  <si>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</si>
  <si>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</si>
  <si>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</si>
  <si>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</si>
  <si>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</si>
  <si>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</si>
  <si>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43007</t>
  </si>
  <si>
    <t>KAPRIJKE</t>
  </si>
  <si>
    <t>Cultuurgrond (ha)</t>
  </si>
  <si>
    <t>Paarden&amp;pony's 200 - 600 kg</t>
  </si>
  <si>
    <t>Paarden&amp;pony's &lt; 200 kg</t>
  </si>
  <si>
    <t>op basis van VEA (maart 2018) en Inventaris Hernieuwbare Energiebronnen (juni 2018)</t>
  </si>
  <si>
    <t>VEA (juni 2018)</t>
  </si>
  <si>
    <t>Matthys LV</t>
  </si>
  <si>
    <t>Wulfhoekstraat 11 , 9970 Kaprijke</t>
  </si>
  <si>
    <t>WKK-0456 Matthys</t>
  </si>
  <si>
    <t>interne verbrandingsmotor</t>
  </si>
  <si>
    <t>WKK interne verbrandinsgmotor (gas)</t>
  </si>
  <si>
    <t>IMEWO</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</si>
</sst>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62737.13900646293</c:v>
                </c:pt>
                <c:pt idx="1">
                  <c:v>13225.394591787488</c:v>
                </c:pt>
                <c:pt idx="2">
                  <c:v>539.11</c:v>
                </c:pt>
                <c:pt idx="3">
                  <c:v>15181.126044009856</c:v>
                </c:pt>
                <c:pt idx="4">
                  <c:v>33429.143537804011</c:v>
                </c:pt>
                <c:pt idx="5">
                  <c:v>69889.998080194957</c:v>
                </c:pt>
                <c:pt idx="6">
                  <c:v>754.87240321875151</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0109696"/>
        <c:axId val="180111232"/>
      </c:barChart>
      <c:catAx>
        <c:axId val="180109696"/>
        <c:scaling>
          <c:orientation val="minMax"/>
        </c:scaling>
        <c:axPos val="b"/>
        <c:numFmt formatCode="General" sourceLinked="0"/>
        <c:tickLblPos val="nextTo"/>
        <c:crossAx val="180111232"/>
        <c:crosses val="autoZero"/>
        <c:auto val="1"/>
        <c:lblAlgn val="ctr"/>
        <c:lblOffset val="100"/>
      </c:catAx>
      <c:valAx>
        <c:axId val="180111232"/>
        <c:scaling>
          <c:orientation val="minMax"/>
        </c:scaling>
        <c:axPos val="l"/>
        <c:majorGridlines/>
        <c:numFmt formatCode="#,##0" sourceLinked="1"/>
        <c:tickLblPos val="nextTo"/>
        <c:crossAx val="18010969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62737.13900646293</c:v>
                </c:pt>
                <c:pt idx="1">
                  <c:v>13225.394591787488</c:v>
                </c:pt>
                <c:pt idx="2">
                  <c:v>539.11</c:v>
                </c:pt>
                <c:pt idx="3">
                  <c:v>15181.126044009856</c:v>
                </c:pt>
                <c:pt idx="4">
                  <c:v>33429.143537804011</c:v>
                </c:pt>
                <c:pt idx="5">
                  <c:v>69889.998080194957</c:v>
                </c:pt>
                <c:pt idx="6">
                  <c:v>754.87240321875151</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12655.844456688623</c:v>
                </c:pt>
                <c:pt idx="2">
                  <c:v>2555.0027389591087</c:v>
                </c:pt>
                <c:pt idx="3">
                  <c:v>112.09731684247242</c:v>
                </c:pt>
                <c:pt idx="4">
                  <c:v>3871.4304071196725</c:v>
                </c:pt>
                <c:pt idx="5">
                  <c:v>6600.5192701013339</c:v>
                </c:pt>
                <c:pt idx="6">
                  <c:v>17665.946581589615</c:v>
                </c:pt>
                <c:pt idx="7">
                  <c:v>192.96912278291259</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0534272"/>
        <c:axId val="180552448"/>
      </c:barChart>
      <c:catAx>
        <c:axId val="180534272"/>
        <c:scaling>
          <c:orientation val="minMax"/>
        </c:scaling>
        <c:axPos val="b"/>
        <c:numFmt formatCode="General" sourceLinked="0"/>
        <c:tickLblPos val="nextTo"/>
        <c:crossAx val="180552448"/>
        <c:crosses val="autoZero"/>
        <c:auto val="1"/>
        <c:lblAlgn val="ctr"/>
        <c:lblOffset val="100"/>
      </c:catAx>
      <c:valAx>
        <c:axId val="180552448"/>
        <c:scaling>
          <c:orientation val="minMax"/>
        </c:scaling>
        <c:axPos val="l"/>
        <c:majorGridlines/>
        <c:numFmt formatCode="#,##0" sourceLinked="1"/>
        <c:tickLblPos val="nextTo"/>
        <c:crossAx val="18053427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12655.844456688623</c:v>
                </c:pt>
                <c:pt idx="2">
                  <c:v>2555.0027389591087</c:v>
                </c:pt>
                <c:pt idx="3">
                  <c:v>112.09731684247242</c:v>
                </c:pt>
                <c:pt idx="4">
                  <c:v>3871.4304071196725</c:v>
                </c:pt>
                <c:pt idx="5">
                  <c:v>6600.5192701013339</c:v>
                </c:pt>
                <c:pt idx="6">
                  <c:v>17665.946581589615</c:v>
                </c:pt>
                <c:pt idx="7">
                  <c:v>192.96912278291259</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881</v>
      </c>
      <c r="B4" s="106"/>
      <c r="C4" s="107"/>
    </row>
    <row r="5" spans="1:7" s="396" customFormat="1" ht="15.75" customHeight="1">
      <c r="A5" s="393" t="s">
        <v>0</v>
      </c>
      <c r="B5" s="394"/>
      <c r="C5" s="395"/>
    </row>
    <row r="6" spans="1:7" s="396" customFormat="1" ht="15" customHeight="1">
      <c r="A6" s="397" t="str">
        <f>txtNIS</f>
        <v>43007</v>
      </c>
      <c r="B6" s="398"/>
      <c r="C6" s="399"/>
    </row>
    <row r="7" spans="1:7" s="396" customFormat="1" ht="15.75" customHeight="1">
      <c r="A7" s="400" t="str">
        <f>txtMunicipality</f>
        <v>KAPRIJKE</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143" t="s">
        <v>221</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57"/>
      <c r="B4" s="457"/>
      <c r="C4" s="63"/>
      <c r="D4" s="63"/>
      <c r="E4" s="63"/>
      <c r="F4" s="63"/>
      <c r="G4" s="63"/>
      <c r="H4" s="63"/>
      <c r="I4" s="63"/>
      <c r="J4" s="63"/>
      <c r="K4" s="63"/>
      <c r="L4" s="63"/>
      <c r="M4" s="63"/>
      <c r="N4" s="63"/>
      <c r="O4" s="63"/>
      <c r="P4" s="63"/>
      <c r="Q4" s="63"/>
      <c r="R4" s="63"/>
    </row>
    <row r="5" spans="1:19" ht="16.5" thickBot="1">
      <c r="A5" s="1145" t="s">
        <v>222</v>
      </c>
      <c r="B5" s="796"/>
      <c r="C5" s="1148" t="s">
        <v>343</v>
      </c>
      <c r="D5" s="1149"/>
      <c r="E5" s="1149"/>
      <c r="F5" s="1149"/>
      <c r="G5" s="1149"/>
      <c r="H5" s="1149"/>
      <c r="I5" s="1149"/>
      <c r="J5" s="1149"/>
      <c r="K5" s="1149"/>
      <c r="L5" s="1149"/>
      <c r="M5" s="1149"/>
      <c r="N5" s="1149"/>
      <c r="O5" s="1149"/>
      <c r="P5" s="1149"/>
      <c r="Q5" s="1149"/>
      <c r="R5" s="1150"/>
    </row>
    <row r="6" spans="1:19" ht="16.5" thickTop="1">
      <c r="A6" s="1146"/>
      <c r="B6" s="797"/>
      <c r="C6" s="1151" t="s">
        <v>21</v>
      </c>
      <c r="D6" s="1153" t="s">
        <v>196</v>
      </c>
      <c r="E6" s="1155" t="s">
        <v>197</v>
      </c>
      <c r="F6" s="1156"/>
      <c r="G6" s="1156"/>
      <c r="H6" s="1156"/>
      <c r="I6" s="1156"/>
      <c r="J6" s="1156"/>
      <c r="K6" s="1156"/>
      <c r="L6" s="1157"/>
      <c r="M6" s="1155" t="s">
        <v>198</v>
      </c>
      <c r="N6" s="1156"/>
      <c r="O6" s="1156"/>
      <c r="P6" s="1156"/>
      <c r="Q6" s="1156"/>
      <c r="R6" s="1158" t="s">
        <v>116</v>
      </c>
    </row>
    <row r="7" spans="1:19" ht="45.75" thickBot="1">
      <c r="A7" s="1147"/>
      <c r="B7" s="798"/>
      <c r="C7" s="1152"/>
      <c r="D7" s="1154"/>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159"/>
    </row>
    <row r="8" spans="1:19" ht="18.75" customHeight="1" thickTop="1">
      <c r="A8" s="804" t="s">
        <v>344</v>
      </c>
      <c r="B8" s="809"/>
      <c r="C8" s="1130"/>
      <c r="D8" s="1130"/>
      <c r="E8" s="1130"/>
      <c r="F8" s="1130"/>
      <c r="G8" s="1130"/>
      <c r="H8" s="1130"/>
      <c r="I8" s="1130"/>
      <c r="J8" s="1130"/>
      <c r="K8" s="1130"/>
      <c r="L8" s="1130"/>
      <c r="M8" s="1130"/>
      <c r="N8" s="1130"/>
      <c r="O8" s="1130"/>
      <c r="P8" s="1130"/>
      <c r="Q8" s="1130"/>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6798.6410266601169</v>
      </c>
      <c r="D10" s="690">
        <f ca="1">tertiair!C16</f>
        <v>0</v>
      </c>
      <c r="E10" s="690">
        <f ca="1">tertiair!D16</f>
        <v>4262.5222903861295</v>
      </c>
      <c r="F10" s="690">
        <f>tertiair!E16</f>
        <v>85.431376320715543</v>
      </c>
      <c r="G10" s="690">
        <f ca="1">tertiair!F16</f>
        <v>1397.1310895676552</v>
      </c>
      <c r="H10" s="690">
        <f>tertiair!G16</f>
        <v>0</v>
      </c>
      <c r="I10" s="690">
        <f>tertiair!H16</f>
        <v>0</v>
      </c>
      <c r="J10" s="690">
        <f>tertiair!I16</f>
        <v>0</v>
      </c>
      <c r="K10" s="690">
        <f>tertiair!J16</f>
        <v>0</v>
      </c>
      <c r="L10" s="690">
        <f>tertiair!K16</f>
        <v>0</v>
      </c>
      <c r="M10" s="690">
        <f ca="1">tertiair!L16</f>
        <v>0</v>
      </c>
      <c r="N10" s="690">
        <f>tertiair!M16</f>
        <v>0</v>
      </c>
      <c r="O10" s="690">
        <f ca="1">tertiair!N16</f>
        <v>1217.6521421862019</v>
      </c>
      <c r="P10" s="690">
        <f>tertiair!O16</f>
        <v>3.1266666666666669</v>
      </c>
      <c r="Q10" s="691">
        <f>tertiair!P16</f>
        <v>0</v>
      </c>
      <c r="R10" s="693">
        <f ca="1">SUM(C10:Q10)</f>
        <v>13764.504591787485</v>
      </c>
      <c r="S10" s="67"/>
    </row>
    <row r="11" spans="1:19" s="458" customFormat="1">
      <c r="A11" s="805" t="s">
        <v>225</v>
      </c>
      <c r="B11" s="810"/>
      <c r="C11" s="690">
        <f>huishoudens!B8</f>
        <v>13499.4239347477</v>
      </c>
      <c r="D11" s="690">
        <f>huishoudens!C8</f>
        <v>0</v>
      </c>
      <c r="E11" s="690">
        <f>huishoudens!D8</f>
        <v>20198.228761315808</v>
      </c>
      <c r="F11" s="690">
        <f>huishoudens!E8</f>
        <v>4316.8562042075509</v>
      </c>
      <c r="G11" s="690">
        <f>huishoudens!F8</f>
        <v>12828.033875098552</v>
      </c>
      <c r="H11" s="690">
        <f>huishoudens!G8</f>
        <v>0</v>
      </c>
      <c r="I11" s="690">
        <f>huishoudens!H8</f>
        <v>0</v>
      </c>
      <c r="J11" s="690">
        <f>huishoudens!I8</f>
        <v>0</v>
      </c>
      <c r="K11" s="690">
        <f>huishoudens!J8</f>
        <v>3852.6871597891013</v>
      </c>
      <c r="L11" s="690">
        <f>huishoudens!K8</f>
        <v>0</v>
      </c>
      <c r="M11" s="690">
        <f>huishoudens!L8</f>
        <v>0</v>
      </c>
      <c r="N11" s="690">
        <f>huishoudens!M8</f>
        <v>0</v>
      </c>
      <c r="O11" s="690">
        <f>huishoudens!N8</f>
        <v>7578.0257379708783</v>
      </c>
      <c r="P11" s="690">
        <f>huishoudens!O8</f>
        <v>101.61666666666667</v>
      </c>
      <c r="Q11" s="691">
        <f>huishoudens!P8</f>
        <v>362.26666666666665</v>
      </c>
      <c r="R11" s="693">
        <f>SUM(C11:Q11)</f>
        <v>62737.13900646293</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9429.9930365156033</v>
      </c>
      <c r="D13" s="690">
        <f>industrie!C18</f>
        <v>0</v>
      </c>
      <c r="E13" s="690">
        <f>industrie!D18</f>
        <v>19021.901212603152</v>
      </c>
      <c r="F13" s="690">
        <f>industrie!E18</f>
        <v>627.01103466852589</v>
      </c>
      <c r="G13" s="690">
        <f>industrie!F18</f>
        <v>2422.8500613879187</v>
      </c>
      <c r="H13" s="690">
        <f>industrie!G18</f>
        <v>0</v>
      </c>
      <c r="I13" s="690">
        <f>industrie!H18</f>
        <v>0</v>
      </c>
      <c r="J13" s="690">
        <f>industrie!I18</f>
        <v>0</v>
      </c>
      <c r="K13" s="690">
        <f>industrie!J18</f>
        <v>22.828386311031597</v>
      </c>
      <c r="L13" s="690">
        <f>industrie!K18</f>
        <v>0</v>
      </c>
      <c r="M13" s="690">
        <f>industrie!L18</f>
        <v>0</v>
      </c>
      <c r="N13" s="690">
        <f>industrie!M18</f>
        <v>0</v>
      </c>
      <c r="O13" s="690">
        <f>industrie!N18</f>
        <v>1904.5598063177852</v>
      </c>
      <c r="P13" s="690">
        <f>industrie!O18</f>
        <v>0</v>
      </c>
      <c r="Q13" s="691">
        <f>industrie!P18</f>
        <v>0</v>
      </c>
      <c r="R13" s="693">
        <f>SUM(C13:Q13)</f>
        <v>33429.143537804011</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29728.057997923421</v>
      </c>
      <c r="D16" s="725">
        <f t="shared" ref="D16:R16" ca="1" si="0">SUM(D9:D15)</f>
        <v>0</v>
      </c>
      <c r="E16" s="725">
        <f t="shared" ca="1" si="0"/>
        <v>43482.652264305085</v>
      </c>
      <c r="F16" s="725">
        <f t="shared" si="0"/>
        <v>5029.2986151967925</v>
      </c>
      <c r="G16" s="725">
        <f t="shared" ca="1" si="0"/>
        <v>16648.015026054127</v>
      </c>
      <c r="H16" s="725">
        <f t="shared" si="0"/>
        <v>0</v>
      </c>
      <c r="I16" s="725">
        <f t="shared" si="0"/>
        <v>0</v>
      </c>
      <c r="J16" s="725">
        <f t="shared" si="0"/>
        <v>0</v>
      </c>
      <c r="K16" s="725">
        <f t="shared" si="0"/>
        <v>3875.5155461001327</v>
      </c>
      <c r="L16" s="725">
        <f t="shared" si="0"/>
        <v>0</v>
      </c>
      <c r="M16" s="725">
        <f t="shared" ca="1" si="0"/>
        <v>0</v>
      </c>
      <c r="N16" s="725">
        <f t="shared" si="0"/>
        <v>0</v>
      </c>
      <c r="O16" s="725">
        <f t="shared" ca="1" si="0"/>
        <v>10700.237686474866</v>
      </c>
      <c r="P16" s="725">
        <f t="shared" si="0"/>
        <v>104.74333333333334</v>
      </c>
      <c r="Q16" s="725">
        <f t="shared" si="0"/>
        <v>362.26666666666665</v>
      </c>
      <c r="R16" s="725">
        <f t="shared" ca="1" si="0"/>
        <v>109930.78713605442</v>
      </c>
      <c r="S16" s="67"/>
    </row>
    <row r="17" spans="1:19" s="458" customFormat="1" ht="15.75">
      <c r="A17" s="807" t="s">
        <v>227</v>
      </c>
      <c r="B17" s="729"/>
      <c r="C17" s="1131"/>
      <c r="D17" s="1131"/>
      <c r="E17" s="1131"/>
      <c r="F17" s="1131"/>
      <c r="G17" s="1131"/>
      <c r="H17" s="1131"/>
      <c r="I17" s="1131"/>
      <c r="J17" s="1131"/>
      <c r="K17" s="1131"/>
      <c r="L17" s="1131"/>
      <c r="M17" s="1131"/>
      <c r="N17" s="1131"/>
      <c r="O17" s="1131"/>
      <c r="P17" s="1131"/>
      <c r="Q17" s="1131"/>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722.73079693974751</v>
      </c>
      <c r="I19" s="690">
        <f>transport!H54</f>
        <v>0</v>
      </c>
      <c r="J19" s="690">
        <f>transport!I54</f>
        <v>0</v>
      </c>
      <c r="K19" s="690">
        <f>transport!J54</f>
        <v>0</v>
      </c>
      <c r="L19" s="690">
        <f>transport!K54</f>
        <v>0</v>
      </c>
      <c r="M19" s="690">
        <f>transport!L54</f>
        <v>0</v>
      </c>
      <c r="N19" s="690">
        <f>transport!M54</f>
        <v>32.141606279003966</v>
      </c>
      <c r="O19" s="690">
        <f>transport!N54</f>
        <v>0</v>
      </c>
      <c r="P19" s="690">
        <f>transport!O54</f>
        <v>0</v>
      </c>
      <c r="Q19" s="691">
        <f>transport!P54</f>
        <v>0</v>
      </c>
      <c r="R19" s="693">
        <f>SUM(C19:Q19)</f>
        <v>754.87240321875151</v>
      </c>
      <c r="S19" s="67"/>
    </row>
    <row r="20" spans="1:19" s="458" customFormat="1">
      <c r="A20" s="805" t="s">
        <v>307</v>
      </c>
      <c r="B20" s="810"/>
      <c r="C20" s="690">
        <f>transport!B14</f>
        <v>4.1228606220986785</v>
      </c>
      <c r="D20" s="690">
        <f>transport!C14</f>
        <v>0</v>
      </c>
      <c r="E20" s="690">
        <f>transport!D14</f>
        <v>6.7209484830407868</v>
      </c>
      <c r="F20" s="690">
        <f>transport!E14</f>
        <v>206.09777097670681</v>
      </c>
      <c r="G20" s="690">
        <f>transport!F14</f>
        <v>0</v>
      </c>
      <c r="H20" s="690">
        <f>transport!G14</f>
        <v>56593.693056572352</v>
      </c>
      <c r="I20" s="690">
        <f>transport!H14</f>
        <v>10065.989727451957</v>
      </c>
      <c r="J20" s="690">
        <f>transport!I14</f>
        <v>0</v>
      </c>
      <c r="K20" s="690">
        <f>transport!J14</f>
        <v>0</v>
      </c>
      <c r="L20" s="690">
        <f>transport!K14</f>
        <v>0</v>
      </c>
      <c r="M20" s="690">
        <f>transport!L14</f>
        <v>0</v>
      </c>
      <c r="N20" s="690">
        <f>transport!M14</f>
        <v>3013.3737160888027</v>
      </c>
      <c r="O20" s="690">
        <f>transport!N14</f>
        <v>0</v>
      </c>
      <c r="P20" s="690">
        <f>transport!O14</f>
        <v>0</v>
      </c>
      <c r="Q20" s="691">
        <f>transport!P14</f>
        <v>0</v>
      </c>
      <c r="R20" s="693">
        <f>SUM(C20:Q20)</f>
        <v>69889.998080194957</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4.1228606220986785</v>
      </c>
      <c r="D22" s="808">
        <f t="shared" ref="D22:R22" si="1">SUM(D18:D21)</f>
        <v>0</v>
      </c>
      <c r="E22" s="808">
        <f t="shared" si="1"/>
        <v>6.7209484830407868</v>
      </c>
      <c r="F22" s="808">
        <f t="shared" si="1"/>
        <v>206.09777097670681</v>
      </c>
      <c r="G22" s="808">
        <f t="shared" si="1"/>
        <v>0</v>
      </c>
      <c r="H22" s="808">
        <f t="shared" si="1"/>
        <v>57316.423853512097</v>
      </c>
      <c r="I22" s="808">
        <f t="shared" si="1"/>
        <v>10065.989727451957</v>
      </c>
      <c r="J22" s="808">
        <f t="shared" si="1"/>
        <v>0</v>
      </c>
      <c r="K22" s="808">
        <f t="shared" si="1"/>
        <v>0</v>
      </c>
      <c r="L22" s="808">
        <f t="shared" si="1"/>
        <v>0</v>
      </c>
      <c r="M22" s="808">
        <f t="shared" si="1"/>
        <v>0</v>
      </c>
      <c r="N22" s="808">
        <f t="shared" si="1"/>
        <v>3045.5153223678067</v>
      </c>
      <c r="O22" s="808">
        <f t="shared" si="1"/>
        <v>0</v>
      </c>
      <c r="P22" s="808">
        <f t="shared" si="1"/>
        <v>0</v>
      </c>
      <c r="Q22" s="808">
        <f t="shared" si="1"/>
        <v>0</v>
      </c>
      <c r="R22" s="808">
        <f t="shared" si="1"/>
        <v>70644.870483413702</v>
      </c>
      <c r="S22" s="67"/>
    </row>
    <row r="23" spans="1:19" s="458" customFormat="1" ht="15.75">
      <c r="A23" s="807" t="s">
        <v>237</v>
      </c>
      <c r="B23" s="729"/>
      <c r="C23" s="1131"/>
      <c r="D23" s="1131"/>
      <c r="E23" s="1131"/>
      <c r="F23" s="1131"/>
      <c r="G23" s="1131"/>
      <c r="H23" s="1131"/>
      <c r="I23" s="1131"/>
      <c r="J23" s="1131"/>
      <c r="K23" s="1131"/>
      <c r="L23" s="1131"/>
      <c r="M23" s="1131"/>
      <c r="N23" s="1131"/>
      <c r="O23" s="1131"/>
      <c r="P23" s="1131"/>
      <c r="Q23" s="1131"/>
      <c r="R23" s="695"/>
      <c r="S23" s="67"/>
    </row>
    <row r="24" spans="1:19" s="458" customFormat="1">
      <c r="A24" s="805" t="s">
        <v>654</v>
      </c>
      <c r="B24" s="810"/>
      <c r="C24" s="690">
        <f>+landbouw!B8</f>
        <v>3222.1143693880958</v>
      </c>
      <c r="D24" s="690">
        <f>+landbouw!C8</f>
        <v>57.160714285714278</v>
      </c>
      <c r="E24" s="690">
        <f>+landbouw!D8</f>
        <v>259.577032632032</v>
      </c>
      <c r="F24" s="690">
        <f>+landbouw!E8</f>
        <v>40.602791981566696</v>
      </c>
      <c r="G24" s="690">
        <f>+landbouw!F8</f>
        <v>11117.101762269916</v>
      </c>
      <c r="H24" s="690">
        <f>+landbouw!G8</f>
        <v>0</v>
      </c>
      <c r="I24" s="690">
        <f>+landbouw!H8</f>
        <v>0</v>
      </c>
      <c r="J24" s="690">
        <f>+landbouw!I8</f>
        <v>0</v>
      </c>
      <c r="K24" s="690">
        <f>+landbouw!J8</f>
        <v>484.56937345253033</v>
      </c>
      <c r="L24" s="690">
        <f>+landbouw!K8</f>
        <v>0</v>
      </c>
      <c r="M24" s="690">
        <f>+landbouw!L8</f>
        <v>0</v>
      </c>
      <c r="N24" s="690">
        <f>+landbouw!M8</f>
        <v>0</v>
      </c>
      <c r="O24" s="690">
        <f>+landbouw!N8</f>
        <v>0</v>
      </c>
      <c r="P24" s="690">
        <f>+landbouw!O8</f>
        <v>0</v>
      </c>
      <c r="Q24" s="691">
        <f>+landbouw!P8</f>
        <v>0</v>
      </c>
      <c r="R24" s="693">
        <f>SUM(C24:Q24)</f>
        <v>15181.126044009856</v>
      </c>
      <c r="S24" s="67"/>
    </row>
    <row r="25" spans="1:19" s="458" customFormat="1" ht="15" thickBot="1">
      <c r="A25" s="827" t="s">
        <v>872</v>
      </c>
      <c r="B25" s="1004"/>
      <c r="C25" s="1005">
        <f>IF(Onbekend_ele_kWh="---",0,Onbekend_ele_kWh)/1000+IF(REST_rest_ele_kWh="---",0,REST_rest_ele_kWh)/1000</f>
        <v>599.92267009289799</v>
      </c>
      <c r="D25" s="1005"/>
      <c r="E25" s="1005">
        <f>IF(onbekend_gas_kWh="---",0,onbekend_gas_kWh)/1000+IF(REST_rest_gas_kWh="---",0,REST_rest_gas_kWh)/1000</f>
        <v>799.29122597841797</v>
      </c>
      <c r="F25" s="1005"/>
      <c r="G25" s="1005"/>
      <c r="H25" s="1005"/>
      <c r="I25" s="1005"/>
      <c r="J25" s="1005"/>
      <c r="K25" s="1005"/>
      <c r="L25" s="1005"/>
      <c r="M25" s="1005"/>
      <c r="N25" s="1005"/>
      <c r="O25" s="1005"/>
      <c r="P25" s="1005"/>
      <c r="Q25" s="1006"/>
      <c r="R25" s="693">
        <f>SUM(C25:Q25)</f>
        <v>1399.213896071316</v>
      </c>
      <c r="S25" s="67"/>
    </row>
    <row r="26" spans="1:19" s="458" customFormat="1" ht="15.75" thickBot="1">
      <c r="A26" s="698" t="s">
        <v>873</v>
      </c>
      <c r="B26" s="813"/>
      <c r="C26" s="808">
        <f>SUM(C24:C25)</f>
        <v>3822.0370394809938</v>
      </c>
      <c r="D26" s="808">
        <f t="shared" ref="D26:R26" si="2">SUM(D24:D25)</f>
        <v>57.160714285714278</v>
      </c>
      <c r="E26" s="808">
        <f t="shared" si="2"/>
        <v>1058.8682586104501</v>
      </c>
      <c r="F26" s="808">
        <f t="shared" si="2"/>
        <v>40.602791981566696</v>
      </c>
      <c r="G26" s="808">
        <f t="shared" si="2"/>
        <v>11117.101762269916</v>
      </c>
      <c r="H26" s="808">
        <f t="shared" si="2"/>
        <v>0</v>
      </c>
      <c r="I26" s="808">
        <f t="shared" si="2"/>
        <v>0</v>
      </c>
      <c r="J26" s="808">
        <f t="shared" si="2"/>
        <v>0</v>
      </c>
      <c r="K26" s="808">
        <f t="shared" si="2"/>
        <v>484.56937345253033</v>
      </c>
      <c r="L26" s="808">
        <f t="shared" si="2"/>
        <v>0</v>
      </c>
      <c r="M26" s="808">
        <f t="shared" si="2"/>
        <v>0</v>
      </c>
      <c r="N26" s="808">
        <f t="shared" si="2"/>
        <v>0</v>
      </c>
      <c r="O26" s="808">
        <f t="shared" si="2"/>
        <v>0</v>
      </c>
      <c r="P26" s="808">
        <f t="shared" si="2"/>
        <v>0</v>
      </c>
      <c r="Q26" s="808">
        <f t="shared" si="2"/>
        <v>0</v>
      </c>
      <c r="R26" s="808">
        <f t="shared" si="2"/>
        <v>16580.339940081172</v>
      </c>
      <c r="S26" s="67"/>
    </row>
    <row r="27" spans="1:19" s="458" customFormat="1" ht="17.25" thickTop="1" thickBot="1">
      <c r="A27" s="699" t="s">
        <v>116</v>
      </c>
      <c r="B27" s="800"/>
      <c r="C27" s="700">
        <f ca="1">C22+C16+C26</f>
        <v>33554.217898026509</v>
      </c>
      <c r="D27" s="700">
        <f t="shared" ref="D27:R27" ca="1" si="3">D22+D16+D26</f>
        <v>57.160714285714278</v>
      </c>
      <c r="E27" s="700">
        <f t="shared" ca="1" si="3"/>
        <v>44548.241471398571</v>
      </c>
      <c r="F27" s="700">
        <f t="shared" si="3"/>
        <v>5275.9991781550661</v>
      </c>
      <c r="G27" s="700">
        <f t="shared" ca="1" si="3"/>
        <v>27765.116788324041</v>
      </c>
      <c r="H27" s="700">
        <f t="shared" si="3"/>
        <v>57316.423853512097</v>
      </c>
      <c r="I27" s="700">
        <f t="shared" si="3"/>
        <v>10065.989727451957</v>
      </c>
      <c r="J27" s="700">
        <f t="shared" si="3"/>
        <v>0</v>
      </c>
      <c r="K27" s="700">
        <f t="shared" si="3"/>
        <v>4360.0849195526635</v>
      </c>
      <c r="L27" s="700">
        <f t="shared" si="3"/>
        <v>0</v>
      </c>
      <c r="M27" s="700">
        <f t="shared" ca="1" si="3"/>
        <v>0</v>
      </c>
      <c r="N27" s="700">
        <f t="shared" si="3"/>
        <v>3045.5153223678067</v>
      </c>
      <c r="O27" s="700">
        <f t="shared" ca="1" si="3"/>
        <v>10700.237686474866</v>
      </c>
      <c r="P27" s="700">
        <f t="shared" si="3"/>
        <v>104.74333333333334</v>
      </c>
      <c r="Q27" s="700">
        <f t="shared" si="3"/>
        <v>362.26666666666665</v>
      </c>
      <c r="R27" s="700">
        <f t="shared" ca="1" si="3"/>
        <v>197155.99755954929</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132"/>
      <c r="B31" s="1132"/>
      <c r="C31" s="1132"/>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133"/>
      <c r="B35" s="815"/>
      <c r="C35" s="1135" t="s">
        <v>347</v>
      </c>
      <c r="D35" s="1136"/>
      <c r="E35" s="1136"/>
      <c r="F35" s="1136"/>
      <c r="G35" s="1136"/>
      <c r="H35" s="1136"/>
      <c r="I35" s="1136"/>
      <c r="J35" s="1136"/>
      <c r="K35" s="1136"/>
      <c r="L35" s="1136"/>
      <c r="M35" s="1136"/>
      <c r="N35" s="1136"/>
      <c r="O35" s="1136"/>
      <c r="P35" s="1136"/>
      <c r="Q35" s="1136"/>
      <c r="R35" s="1137"/>
    </row>
    <row r="36" spans="1:18" ht="16.5" thickTop="1">
      <c r="A36" s="1134"/>
      <c r="B36" s="816"/>
      <c r="C36" s="1138" t="s">
        <v>21</v>
      </c>
      <c r="D36" s="1081" t="s">
        <v>232</v>
      </c>
      <c r="E36" s="1140" t="s">
        <v>197</v>
      </c>
      <c r="F36" s="1141"/>
      <c r="G36" s="1141"/>
      <c r="H36" s="1141"/>
      <c r="I36" s="1141"/>
      <c r="J36" s="1141"/>
      <c r="K36" s="1141"/>
      <c r="L36" s="1142"/>
      <c r="M36" s="1140" t="s">
        <v>198</v>
      </c>
      <c r="N36" s="1141"/>
      <c r="O36" s="1141"/>
      <c r="P36" s="1141"/>
      <c r="Q36" s="1141"/>
      <c r="R36" s="1096" t="s">
        <v>116</v>
      </c>
    </row>
    <row r="37" spans="1:18" ht="45.75" thickBot="1">
      <c r="A37" s="1134"/>
      <c r="B37" s="816"/>
      <c r="C37" s="1139"/>
      <c r="D37" s="108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098"/>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1413.6436298042167</v>
      </c>
      <c r="D40" s="690">
        <f ca="1">tertiair!C20</f>
        <v>0</v>
      </c>
      <c r="E40" s="690">
        <f ca="1">tertiair!D20</f>
        <v>861.02950265799825</v>
      </c>
      <c r="F40" s="690">
        <f>tertiair!E20</f>
        <v>19.392922424802428</v>
      </c>
      <c r="G40" s="690">
        <f ca="1">tertiair!F20</f>
        <v>373.03400091456393</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2667.1000558015812</v>
      </c>
    </row>
    <row r="41" spans="1:18">
      <c r="A41" s="818" t="s">
        <v>225</v>
      </c>
      <c r="B41" s="825"/>
      <c r="C41" s="690">
        <f ca="1">huishoudens!B12</f>
        <v>2806.9395893310616</v>
      </c>
      <c r="D41" s="690">
        <f ca="1">huishoudens!C12</f>
        <v>0</v>
      </c>
      <c r="E41" s="690">
        <f>huishoudens!D12</f>
        <v>4080.0422097857936</v>
      </c>
      <c r="F41" s="690">
        <f>huishoudens!E12</f>
        <v>979.92635835511408</v>
      </c>
      <c r="G41" s="690">
        <f>huishoudens!F12</f>
        <v>3425.0850446513136</v>
      </c>
      <c r="H41" s="690">
        <f>huishoudens!G12</f>
        <v>0</v>
      </c>
      <c r="I41" s="690">
        <f>huishoudens!H12</f>
        <v>0</v>
      </c>
      <c r="J41" s="690">
        <f>huishoudens!I12</f>
        <v>0</v>
      </c>
      <c r="K41" s="690">
        <f>huishoudens!J12</f>
        <v>1363.8512545653418</v>
      </c>
      <c r="L41" s="690">
        <f>huishoudens!K12</f>
        <v>0</v>
      </c>
      <c r="M41" s="690">
        <f>huishoudens!L12</f>
        <v>0</v>
      </c>
      <c r="N41" s="690">
        <f>huishoudens!M12</f>
        <v>0</v>
      </c>
      <c r="O41" s="690">
        <f>huishoudens!N12</f>
        <v>0</v>
      </c>
      <c r="P41" s="690">
        <f>huishoudens!O12</f>
        <v>0</v>
      </c>
      <c r="Q41" s="767">
        <f>huishoudens!P12</f>
        <v>0</v>
      </c>
      <c r="R41" s="846">
        <f t="shared" ca="1" si="4"/>
        <v>12655.844456688623</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1960.7815051410626</v>
      </c>
      <c r="D43" s="690">
        <f ca="1">industrie!C22</f>
        <v>0</v>
      </c>
      <c r="E43" s="690">
        <f>industrie!D22</f>
        <v>3842.4240449458371</v>
      </c>
      <c r="F43" s="690">
        <f>industrie!E22</f>
        <v>142.33150486975538</v>
      </c>
      <c r="G43" s="690">
        <f>industrie!F22</f>
        <v>646.90096639057435</v>
      </c>
      <c r="H43" s="690">
        <f>industrie!G22</f>
        <v>0</v>
      </c>
      <c r="I43" s="690">
        <f>industrie!H22</f>
        <v>0</v>
      </c>
      <c r="J43" s="690">
        <f>industrie!I22</f>
        <v>0</v>
      </c>
      <c r="K43" s="690">
        <f>industrie!J22</f>
        <v>8.0812487541051841</v>
      </c>
      <c r="L43" s="690">
        <f>industrie!K22</f>
        <v>0</v>
      </c>
      <c r="M43" s="690">
        <f>industrie!L22</f>
        <v>0</v>
      </c>
      <c r="N43" s="690">
        <f>industrie!M22</f>
        <v>0</v>
      </c>
      <c r="O43" s="690">
        <f>industrie!N22</f>
        <v>0</v>
      </c>
      <c r="P43" s="690">
        <f>industrie!O22</f>
        <v>0</v>
      </c>
      <c r="Q43" s="767">
        <f>industrie!P22</f>
        <v>0</v>
      </c>
      <c r="R43" s="845">
        <f t="shared" ca="1" si="4"/>
        <v>6600.5192701013339</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6181.3647242763409</v>
      </c>
      <c r="D46" s="725">
        <f t="shared" ref="D46:Q46" ca="1" si="5">SUM(D39:D45)</f>
        <v>0</v>
      </c>
      <c r="E46" s="725">
        <f t="shared" ca="1" si="5"/>
        <v>8783.4957573896281</v>
      </c>
      <c r="F46" s="725">
        <f t="shared" si="5"/>
        <v>1141.6507856496719</v>
      </c>
      <c r="G46" s="725">
        <f t="shared" ca="1" si="5"/>
        <v>4445.0200119564515</v>
      </c>
      <c r="H46" s="725">
        <f t="shared" si="5"/>
        <v>0</v>
      </c>
      <c r="I46" s="725">
        <f t="shared" si="5"/>
        <v>0</v>
      </c>
      <c r="J46" s="725">
        <f t="shared" si="5"/>
        <v>0</v>
      </c>
      <c r="K46" s="725">
        <f t="shared" si="5"/>
        <v>1371.9325033194471</v>
      </c>
      <c r="L46" s="725">
        <f t="shared" si="5"/>
        <v>0</v>
      </c>
      <c r="M46" s="725">
        <f t="shared" ca="1" si="5"/>
        <v>0</v>
      </c>
      <c r="N46" s="725">
        <f t="shared" si="5"/>
        <v>0</v>
      </c>
      <c r="O46" s="725">
        <f t="shared" ca="1" si="5"/>
        <v>0</v>
      </c>
      <c r="P46" s="725">
        <f t="shared" si="5"/>
        <v>0</v>
      </c>
      <c r="Q46" s="725">
        <f t="shared" si="5"/>
        <v>0</v>
      </c>
      <c r="R46" s="725">
        <f ca="1">SUM(R39:R45)</f>
        <v>21923.463782591538</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192.96912278291259</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192.96912278291259</v>
      </c>
    </row>
    <row r="50" spans="1:18">
      <c r="A50" s="821" t="s">
        <v>307</v>
      </c>
      <c r="B50" s="831"/>
      <c r="C50" s="696">
        <f ca="1">transport!B18</f>
        <v>0.85726774397200678</v>
      </c>
      <c r="D50" s="696">
        <f>transport!C18</f>
        <v>0</v>
      </c>
      <c r="E50" s="696">
        <f>transport!D18</f>
        <v>1.3576315935742391</v>
      </c>
      <c r="F50" s="696">
        <f>transport!E18</f>
        <v>46.784194011712451</v>
      </c>
      <c r="G50" s="696">
        <f>transport!F18</f>
        <v>0</v>
      </c>
      <c r="H50" s="696">
        <f>transport!G18</f>
        <v>15110.516046104818</v>
      </c>
      <c r="I50" s="696">
        <f>transport!H18</f>
        <v>2506.4314421355375</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17665.946581589615</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0.85726774397200678</v>
      </c>
      <c r="D52" s="725">
        <f t="shared" ref="D52:Q52" ca="1" si="6">SUM(D48:D51)</f>
        <v>0</v>
      </c>
      <c r="E52" s="725">
        <f t="shared" si="6"/>
        <v>1.3576315935742391</v>
      </c>
      <c r="F52" s="725">
        <f t="shared" si="6"/>
        <v>46.784194011712451</v>
      </c>
      <c r="G52" s="725">
        <f t="shared" si="6"/>
        <v>0</v>
      </c>
      <c r="H52" s="725">
        <f t="shared" si="6"/>
        <v>15303.485168887732</v>
      </c>
      <c r="I52" s="725">
        <f t="shared" si="6"/>
        <v>2506.4314421355375</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17858.915704372528</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669.97528401992292</v>
      </c>
      <c r="D54" s="696">
        <f ca="1">+landbouw!C12</f>
        <v>0</v>
      </c>
      <c r="E54" s="696">
        <f>+landbouw!D12</f>
        <v>52.434560591670468</v>
      </c>
      <c r="F54" s="696">
        <f>+landbouw!E12</f>
        <v>9.2168337798156408</v>
      </c>
      <c r="G54" s="696">
        <f>+landbouw!F12</f>
        <v>2968.266170526068</v>
      </c>
      <c r="H54" s="696">
        <f>+landbouw!G12</f>
        <v>0</v>
      </c>
      <c r="I54" s="696">
        <f>+landbouw!H12</f>
        <v>0</v>
      </c>
      <c r="J54" s="696">
        <f>+landbouw!I12</f>
        <v>0</v>
      </c>
      <c r="K54" s="696">
        <f>+landbouw!J12</f>
        <v>171.53755820219573</v>
      </c>
      <c r="L54" s="696">
        <f>+landbouw!K12</f>
        <v>0</v>
      </c>
      <c r="M54" s="696">
        <f>+landbouw!L12</f>
        <v>0</v>
      </c>
      <c r="N54" s="696">
        <f>+landbouw!M12</f>
        <v>0</v>
      </c>
      <c r="O54" s="696">
        <f>+landbouw!N12</f>
        <v>0</v>
      </c>
      <c r="P54" s="696">
        <f>+landbouw!O12</f>
        <v>0</v>
      </c>
      <c r="Q54" s="697">
        <f>+landbouw!P12</f>
        <v>0</v>
      </c>
      <c r="R54" s="724">
        <f ca="1">SUM(C54:Q54)</f>
        <v>3871.4304071196725</v>
      </c>
    </row>
    <row r="55" spans="1:18" ht="15" thickBot="1">
      <c r="A55" s="821" t="s">
        <v>872</v>
      </c>
      <c r="B55" s="831"/>
      <c r="C55" s="696">
        <f ca="1">C25*'EF ele_warmte'!B12</f>
        <v>124.74211502362346</v>
      </c>
      <c r="D55" s="696"/>
      <c r="E55" s="696">
        <f>E25*EF_CO2_aardgas</f>
        <v>161.45682764764044</v>
      </c>
      <c r="F55" s="696"/>
      <c r="G55" s="696"/>
      <c r="H55" s="696"/>
      <c r="I55" s="696"/>
      <c r="J55" s="696"/>
      <c r="K55" s="696"/>
      <c r="L55" s="696"/>
      <c r="M55" s="696"/>
      <c r="N55" s="696"/>
      <c r="O55" s="696"/>
      <c r="P55" s="696"/>
      <c r="Q55" s="697"/>
      <c r="R55" s="724">
        <f ca="1">SUM(C55:Q55)</f>
        <v>286.19894267126392</v>
      </c>
    </row>
    <row r="56" spans="1:18" ht="15.75" thickBot="1">
      <c r="A56" s="819" t="s">
        <v>873</v>
      </c>
      <c r="B56" s="832"/>
      <c r="C56" s="725">
        <f ca="1">SUM(C54:C55)</f>
        <v>794.71739904354638</v>
      </c>
      <c r="D56" s="725">
        <f t="shared" ref="D56:Q56" ca="1" si="7">SUM(D54:D55)</f>
        <v>0</v>
      </c>
      <c r="E56" s="725">
        <f t="shared" si="7"/>
        <v>213.89138823931091</v>
      </c>
      <c r="F56" s="725">
        <f t="shared" si="7"/>
        <v>9.2168337798156408</v>
      </c>
      <c r="G56" s="725">
        <f t="shared" si="7"/>
        <v>2968.266170526068</v>
      </c>
      <c r="H56" s="725">
        <f t="shared" si="7"/>
        <v>0</v>
      </c>
      <c r="I56" s="725">
        <f t="shared" si="7"/>
        <v>0</v>
      </c>
      <c r="J56" s="725">
        <f t="shared" si="7"/>
        <v>0</v>
      </c>
      <c r="K56" s="725">
        <f t="shared" si="7"/>
        <v>171.53755820219573</v>
      </c>
      <c r="L56" s="725">
        <f t="shared" si="7"/>
        <v>0</v>
      </c>
      <c r="M56" s="725">
        <f t="shared" si="7"/>
        <v>0</v>
      </c>
      <c r="N56" s="725">
        <f t="shared" si="7"/>
        <v>0</v>
      </c>
      <c r="O56" s="725">
        <f t="shared" si="7"/>
        <v>0</v>
      </c>
      <c r="P56" s="725">
        <f t="shared" si="7"/>
        <v>0</v>
      </c>
      <c r="Q56" s="726">
        <f t="shared" si="7"/>
        <v>0</v>
      </c>
      <c r="R56" s="727">
        <f ca="1">SUM(R54:R55)</f>
        <v>4157.6293497909364</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126"/>
      <c r="D58" s="1127"/>
      <c r="E58" s="1127"/>
      <c r="F58" s="1127"/>
      <c r="G58" s="1127"/>
      <c r="H58" s="1127"/>
      <c r="I58" s="1127"/>
      <c r="J58" s="1127"/>
      <c r="K58" s="1127"/>
      <c r="L58" s="1127"/>
      <c r="M58" s="1127"/>
      <c r="N58" s="1127"/>
      <c r="O58" s="1127"/>
      <c r="P58" s="1127"/>
      <c r="Q58" s="1127"/>
      <c r="R58" s="731"/>
    </row>
    <row r="59" spans="1:18" ht="15">
      <c r="A59" s="823" t="s">
        <v>239</v>
      </c>
      <c r="B59" s="810"/>
      <c r="C59" s="1128"/>
      <c r="D59" s="1129"/>
      <c r="E59" s="1129"/>
      <c r="F59" s="1129"/>
      <c r="G59" s="1129"/>
      <c r="H59" s="1129"/>
      <c r="I59" s="1129"/>
      <c r="J59" s="1129"/>
      <c r="K59" s="1129"/>
      <c r="L59" s="1129"/>
      <c r="M59" s="1129"/>
      <c r="N59" s="1129"/>
      <c r="O59" s="1129"/>
      <c r="P59" s="1129"/>
      <c r="Q59" s="1129"/>
      <c r="R59" s="732"/>
    </row>
    <row r="60" spans="1:18" ht="15" thickBot="1">
      <c r="A60" s="834" t="s">
        <v>240</v>
      </c>
      <c r="B60" s="835"/>
      <c r="C60" s="1128"/>
      <c r="D60" s="1129"/>
      <c r="E60" s="1129"/>
      <c r="F60" s="1129"/>
      <c r="G60" s="1129"/>
      <c r="H60" s="1129"/>
      <c r="I60" s="1129"/>
      <c r="J60" s="1129"/>
      <c r="K60" s="1129"/>
      <c r="L60" s="1129"/>
      <c r="M60" s="1129"/>
      <c r="N60" s="1129"/>
      <c r="O60" s="1129"/>
      <c r="P60" s="1129"/>
      <c r="Q60" s="1129"/>
      <c r="R60" s="724"/>
    </row>
    <row r="61" spans="1:18" ht="16.5" thickBot="1">
      <c r="A61" s="837" t="s">
        <v>116</v>
      </c>
      <c r="B61" s="838"/>
      <c r="C61" s="733">
        <f ca="1">C46+C52+C56</f>
        <v>6976.9393910638601</v>
      </c>
      <c r="D61" s="733">
        <f t="shared" ref="D61:Q61" ca="1" si="8">D46+D52+D56</f>
        <v>0</v>
      </c>
      <c r="E61" s="733">
        <f t="shared" ca="1" si="8"/>
        <v>8998.7447772225132</v>
      </c>
      <c r="F61" s="733">
        <f t="shared" si="8"/>
        <v>1197.6518134412001</v>
      </c>
      <c r="G61" s="733">
        <f t="shared" ca="1" si="8"/>
        <v>7413.2861824825195</v>
      </c>
      <c r="H61" s="733">
        <f t="shared" si="8"/>
        <v>15303.485168887732</v>
      </c>
      <c r="I61" s="733">
        <f t="shared" si="8"/>
        <v>2506.4314421355375</v>
      </c>
      <c r="J61" s="733">
        <f t="shared" si="8"/>
        <v>0</v>
      </c>
      <c r="K61" s="733">
        <f t="shared" si="8"/>
        <v>1543.4700615216427</v>
      </c>
      <c r="L61" s="733">
        <f t="shared" si="8"/>
        <v>0</v>
      </c>
      <c r="M61" s="733">
        <f t="shared" ca="1" si="8"/>
        <v>0</v>
      </c>
      <c r="N61" s="733">
        <f t="shared" si="8"/>
        <v>0</v>
      </c>
      <c r="O61" s="733">
        <f t="shared" ca="1" si="8"/>
        <v>0</v>
      </c>
      <c r="P61" s="733">
        <f t="shared" si="8"/>
        <v>0</v>
      </c>
      <c r="Q61" s="733">
        <f t="shared" si="8"/>
        <v>0</v>
      </c>
      <c r="R61" s="733">
        <f ca="1">R46+R52+R56</f>
        <v>43940.008836755005</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0.20793032376040596</v>
      </c>
      <c r="D63" s="776">
        <f t="shared" ca="1" si="9"/>
        <v>0</v>
      </c>
      <c r="E63" s="1011">
        <f t="shared" ca="1" si="9"/>
        <v>0.20200000000000004</v>
      </c>
      <c r="F63" s="776">
        <f t="shared" si="9"/>
        <v>0.22700000000000004</v>
      </c>
      <c r="G63" s="776">
        <f t="shared" ca="1" si="9"/>
        <v>0.26700000000000002</v>
      </c>
      <c r="H63" s="776">
        <f t="shared" si="9"/>
        <v>0.26700000000000002</v>
      </c>
      <c r="I63" s="776">
        <f t="shared" si="9"/>
        <v>0.24900000000000003</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096" t="s">
        <v>241</v>
      </c>
      <c r="B69" s="1074" t="s">
        <v>351</v>
      </c>
      <c r="C69" s="1075"/>
      <c r="D69" s="1118" t="s">
        <v>352</v>
      </c>
      <c r="E69" s="1119"/>
      <c r="F69" s="1119"/>
      <c r="G69" s="1119"/>
      <c r="H69" s="1119"/>
      <c r="I69" s="1119"/>
      <c r="J69" s="1119"/>
      <c r="K69" s="1119"/>
      <c r="L69" s="1119"/>
      <c r="M69" s="1119"/>
      <c r="N69" s="1119"/>
      <c r="O69" s="1120"/>
      <c r="P69" s="1012" t="s">
        <v>664</v>
      </c>
      <c r="Q69" s="1121" t="s">
        <v>663</v>
      </c>
      <c r="R69" s="1122"/>
    </row>
    <row r="70" spans="1:18" ht="61.5" thickTop="1" thickBot="1">
      <c r="A70" s="1097"/>
      <c r="B70" s="1116"/>
      <c r="C70" s="1117"/>
      <c r="D70" s="1123" t="s">
        <v>197</v>
      </c>
      <c r="E70" s="1124"/>
      <c r="F70" s="1124"/>
      <c r="G70" s="1124"/>
      <c r="H70" s="1125"/>
      <c r="I70" s="992" t="s">
        <v>246</v>
      </c>
      <c r="J70" s="992" t="s">
        <v>234</v>
      </c>
      <c r="K70" s="992" t="s">
        <v>209</v>
      </c>
      <c r="L70" s="992" t="s">
        <v>210</v>
      </c>
      <c r="M70" s="742" t="s">
        <v>245</v>
      </c>
      <c r="N70" s="992" t="s">
        <v>247</v>
      </c>
      <c r="O70" s="994" t="s">
        <v>127</v>
      </c>
      <c r="P70" s="1013"/>
      <c r="Q70" s="852"/>
      <c r="R70" s="853"/>
    </row>
    <row r="71" spans="1:18" ht="95.25" customHeight="1" thickTop="1" thickBot="1">
      <c r="A71" s="1098"/>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14"/>
      <c r="D72" s="1114"/>
      <c r="E72" s="1115"/>
      <c r="F72" s="1115"/>
      <c r="G72" s="1105"/>
      <c r="H72" s="1108"/>
      <c r="I72" s="1111"/>
      <c r="J72" s="995"/>
      <c r="K72" s="1089"/>
      <c r="L72" s="1089"/>
      <c r="M72" s="1089"/>
      <c r="N72" s="1089"/>
      <c r="O72" s="1092"/>
      <c r="P72" s="847">
        <v>0</v>
      </c>
      <c r="Q72" s="1018"/>
      <c r="R72" s="847">
        <v>0</v>
      </c>
    </row>
    <row r="73" spans="1:18" ht="15">
      <c r="A73" s="744" t="s">
        <v>250</v>
      </c>
      <c r="B73" s="743">
        <f>'lokale energieproductie'!B5</f>
        <v>0</v>
      </c>
      <c r="C73" s="1112"/>
      <c r="D73" s="1112"/>
      <c r="E73" s="1090"/>
      <c r="F73" s="1090"/>
      <c r="G73" s="1106"/>
      <c r="H73" s="1109"/>
      <c r="I73" s="1112"/>
      <c r="J73" s="996"/>
      <c r="K73" s="1090"/>
      <c r="L73" s="1090"/>
      <c r="M73" s="1090"/>
      <c r="N73" s="1090"/>
      <c r="O73" s="1093"/>
      <c r="P73" s="848">
        <v>0</v>
      </c>
      <c r="Q73" s="854"/>
      <c r="R73" s="848">
        <v>0</v>
      </c>
    </row>
    <row r="74" spans="1:18" ht="15">
      <c r="A74" s="744" t="s">
        <v>251</v>
      </c>
      <c r="B74" s="743">
        <f>'lokale energieproductie'!B6</f>
        <v>1944.3438999999998</v>
      </c>
      <c r="C74" s="1112"/>
      <c r="D74" s="1112"/>
      <c r="E74" s="1090"/>
      <c r="F74" s="1090"/>
      <c r="G74" s="1106"/>
      <c r="H74" s="1109"/>
      <c r="I74" s="1112"/>
      <c r="J74" s="996"/>
      <c r="K74" s="1090"/>
      <c r="L74" s="1090"/>
      <c r="M74" s="1090"/>
      <c r="N74" s="1090"/>
      <c r="O74" s="1093"/>
      <c r="P74" s="848">
        <v>0</v>
      </c>
      <c r="Q74" s="854"/>
      <c r="R74" s="848">
        <v>0</v>
      </c>
    </row>
    <row r="75" spans="1:18" ht="15.75" thickBot="1">
      <c r="A75" s="744" t="s">
        <v>875</v>
      </c>
      <c r="B75" s="743">
        <f>'lokale energieproductie'!B7</f>
        <v>0</v>
      </c>
      <c r="C75" s="1113"/>
      <c r="D75" s="1113"/>
      <c r="E75" s="1091"/>
      <c r="F75" s="1091"/>
      <c r="G75" s="1107"/>
      <c r="H75" s="1110"/>
      <c r="I75" s="1113"/>
      <c r="J75" s="1019"/>
      <c r="K75" s="1091"/>
      <c r="L75" s="1091"/>
      <c r="M75" s="1091"/>
      <c r="N75" s="1091"/>
      <c r="O75" s="1094"/>
      <c r="P75" s="848">
        <v>0</v>
      </c>
      <c r="Q75" s="1020"/>
      <c r="R75" s="848">
        <v>0</v>
      </c>
    </row>
    <row r="76" spans="1:18" ht="15">
      <c r="A76" s="745" t="s">
        <v>252</v>
      </c>
      <c r="B76" s="743">
        <f>'lokale energieproductie'!B8*IFERROR(SUM(I76:O76)/SUM(D76:O76),0)</f>
        <v>40.012499999999996</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47.07352941176471</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1984.3563999999999</v>
      </c>
      <c r="C78" s="748">
        <f>SUM(C72:C77)</f>
        <v>0</v>
      </c>
      <c r="D78" s="749">
        <f t="shared" ref="D78:H78" si="10">SUM(D76:D77)</f>
        <v>0</v>
      </c>
      <c r="E78" s="749">
        <f t="shared" si="10"/>
        <v>0</v>
      </c>
      <c r="F78" s="749">
        <f t="shared" si="10"/>
        <v>0</v>
      </c>
      <c r="G78" s="749">
        <f t="shared" si="10"/>
        <v>0</v>
      </c>
      <c r="H78" s="749">
        <f t="shared" si="10"/>
        <v>0</v>
      </c>
      <c r="I78" s="749">
        <f>SUM(I76:I77)</f>
        <v>0</v>
      </c>
      <c r="J78" s="749">
        <f>SUM(J76:J77)</f>
        <v>47.07352941176471</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096" t="s">
        <v>253</v>
      </c>
      <c r="B84" s="1074" t="s">
        <v>355</v>
      </c>
      <c r="C84" s="1099"/>
      <c r="D84" s="1102" t="s">
        <v>356</v>
      </c>
      <c r="E84" s="1103"/>
      <c r="F84" s="1103"/>
      <c r="G84" s="1103"/>
      <c r="H84" s="1103"/>
      <c r="I84" s="1103"/>
      <c r="J84" s="1103"/>
      <c r="K84" s="1103"/>
      <c r="L84" s="1103"/>
      <c r="M84" s="1103"/>
      <c r="N84" s="1103"/>
      <c r="O84" s="1104"/>
      <c r="P84" s="1012" t="s">
        <v>664</v>
      </c>
      <c r="Q84" s="1074" t="s">
        <v>663</v>
      </c>
      <c r="R84" s="1075"/>
    </row>
    <row r="85" spans="1:19" ht="16.5" customHeight="1" thickTop="1" thickBot="1">
      <c r="A85" s="1097"/>
      <c r="B85" s="1100"/>
      <c r="C85" s="1101"/>
      <c r="D85" s="1076" t="s">
        <v>197</v>
      </c>
      <c r="E85" s="1077"/>
      <c r="F85" s="1077"/>
      <c r="G85" s="1077"/>
      <c r="H85" s="1078"/>
      <c r="I85" s="1079" t="s">
        <v>246</v>
      </c>
      <c r="J85" s="1081" t="s">
        <v>234</v>
      </c>
      <c r="K85" s="1083" t="s">
        <v>209</v>
      </c>
      <c r="L85" s="1083" t="s">
        <v>210</v>
      </c>
      <c r="M85" s="1085" t="s">
        <v>245</v>
      </c>
      <c r="N85" s="1083" t="s">
        <v>257</v>
      </c>
      <c r="O85" s="1087" t="s">
        <v>127</v>
      </c>
      <c r="P85" s="1013"/>
      <c r="Q85" s="852"/>
      <c r="R85" s="853"/>
    </row>
    <row r="86" spans="1:19" ht="110.25" customHeight="1" thickTop="1" thickBot="1">
      <c r="A86" s="1098"/>
      <c r="B86" s="840" t="s">
        <v>662</v>
      </c>
      <c r="C86" s="840" t="s">
        <v>874</v>
      </c>
      <c r="D86" s="1000" t="s">
        <v>199</v>
      </c>
      <c r="E86" s="993" t="s">
        <v>200</v>
      </c>
      <c r="F86" s="991" t="s">
        <v>201</v>
      </c>
      <c r="G86" s="993" t="s">
        <v>203</v>
      </c>
      <c r="H86" s="757" t="s">
        <v>204</v>
      </c>
      <c r="I86" s="1080"/>
      <c r="J86" s="1082"/>
      <c r="K86" s="1084"/>
      <c r="L86" s="1084"/>
      <c r="M86" s="1086"/>
      <c r="N86" s="1084"/>
      <c r="O86" s="1088"/>
      <c r="P86" s="1017"/>
      <c r="Q86" s="1000" t="s">
        <v>665</v>
      </c>
      <c r="R86" s="998" t="s">
        <v>666</v>
      </c>
    </row>
    <row r="87" spans="1:19" ht="15.75" thickTop="1">
      <c r="A87" s="758" t="s">
        <v>252</v>
      </c>
      <c r="B87" s="759">
        <f>'lokale energieproductie'!B17*IFERROR(SUM(I87:O87)/SUM(D87:O87),0)</f>
        <v>57.160714285714278</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67.247899159663874</v>
      </c>
      <c r="K87" s="770">
        <f>'lokale energieproductie'!M17</f>
        <v>0</v>
      </c>
      <c r="L87" s="770">
        <f>'lokale energieproductie'!N17</f>
        <v>0</v>
      </c>
      <c r="M87" s="770">
        <f>'lokale energieproductie'!H17</f>
        <v>0</v>
      </c>
      <c r="N87" s="770">
        <f>'lokale energieproductie'!K17</f>
        <v>0</v>
      </c>
      <c r="O87" s="770">
        <f>'lokale energieproductie'!L17</f>
        <v>0</v>
      </c>
      <c r="P87" s="1071"/>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072"/>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073"/>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57.160714285714278</v>
      </c>
      <c r="C90" s="748">
        <f>SUM(C87:C89)</f>
        <v>0</v>
      </c>
      <c r="D90" s="748">
        <f t="shared" ref="D90:H90" si="12">SUM(D87:D89)</f>
        <v>0</v>
      </c>
      <c r="E90" s="748">
        <f t="shared" si="12"/>
        <v>0</v>
      </c>
      <c r="F90" s="748">
        <f t="shared" si="12"/>
        <v>0</v>
      </c>
      <c r="G90" s="748">
        <f t="shared" si="12"/>
        <v>0</v>
      </c>
      <c r="H90" s="748">
        <f t="shared" si="12"/>
        <v>0</v>
      </c>
      <c r="I90" s="748">
        <f>SUM(I87:I89)</f>
        <v>0</v>
      </c>
      <c r="J90" s="748">
        <f>SUM(J87:J89)</f>
        <v>67.247899159663874</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13499.4239347477</v>
      </c>
      <c r="C4" s="462">
        <f>huishoudens!C8</f>
        <v>0</v>
      </c>
      <c r="D4" s="462">
        <f>huishoudens!D8</f>
        <v>20198.228761315808</v>
      </c>
      <c r="E4" s="462">
        <f>huishoudens!E8</f>
        <v>4316.8562042075509</v>
      </c>
      <c r="F4" s="462">
        <f>huishoudens!F8</f>
        <v>12828.033875098552</v>
      </c>
      <c r="G4" s="462">
        <f>huishoudens!G8</f>
        <v>0</v>
      </c>
      <c r="H4" s="462">
        <f>huishoudens!H8</f>
        <v>0</v>
      </c>
      <c r="I4" s="462">
        <f>huishoudens!I8</f>
        <v>0</v>
      </c>
      <c r="J4" s="462">
        <f>huishoudens!J8</f>
        <v>3852.6871597891013</v>
      </c>
      <c r="K4" s="462">
        <f>huishoudens!K8</f>
        <v>0</v>
      </c>
      <c r="L4" s="462">
        <f>huishoudens!L8</f>
        <v>0</v>
      </c>
      <c r="M4" s="462">
        <f>huishoudens!M8</f>
        <v>0</v>
      </c>
      <c r="N4" s="462">
        <f>huishoudens!N8</f>
        <v>7578.0257379708783</v>
      </c>
      <c r="O4" s="462">
        <f>huishoudens!O8</f>
        <v>101.61666666666667</v>
      </c>
      <c r="P4" s="463">
        <f>huishoudens!P8</f>
        <v>362.26666666666665</v>
      </c>
      <c r="Q4" s="464">
        <f>SUM(B4:P4)</f>
        <v>62737.13900646293</v>
      </c>
    </row>
    <row r="5" spans="1:17">
      <c r="A5" s="461" t="s">
        <v>156</v>
      </c>
      <c r="B5" s="462">
        <f ca="1">tertiair!B16</f>
        <v>6259.5310266601173</v>
      </c>
      <c r="C5" s="462">
        <f ca="1">tertiair!C16</f>
        <v>0</v>
      </c>
      <c r="D5" s="462">
        <f ca="1">tertiair!D16</f>
        <v>4262.5222903861295</v>
      </c>
      <c r="E5" s="462">
        <f>tertiair!E16</f>
        <v>85.431376320715543</v>
      </c>
      <c r="F5" s="462">
        <f ca="1">tertiair!F16</f>
        <v>1397.1310895676552</v>
      </c>
      <c r="G5" s="462">
        <f>tertiair!G16</f>
        <v>0</v>
      </c>
      <c r="H5" s="462">
        <f>tertiair!H16</f>
        <v>0</v>
      </c>
      <c r="I5" s="462">
        <f>tertiair!I16</f>
        <v>0</v>
      </c>
      <c r="J5" s="462">
        <f>tertiair!J16</f>
        <v>0</v>
      </c>
      <c r="K5" s="462">
        <f>tertiair!K16</f>
        <v>0</v>
      </c>
      <c r="L5" s="462">
        <f ca="1">tertiair!L16</f>
        <v>0</v>
      </c>
      <c r="M5" s="462">
        <f>tertiair!M16</f>
        <v>0</v>
      </c>
      <c r="N5" s="462">
        <f ca="1">tertiair!N16</f>
        <v>1217.6521421862019</v>
      </c>
      <c r="O5" s="462">
        <f>tertiair!O16</f>
        <v>3.1266666666666669</v>
      </c>
      <c r="P5" s="463">
        <f>tertiair!P16</f>
        <v>0</v>
      </c>
      <c r="Q5" s="461">
        <f t="shared" ref="Q5:Q14" ca="1" si="0">SUM(B5:P5)</f>
        <v>13225.394591787488</v>
      </c>
    </row>
    <row r="6" spans="1:17">
      <c r="A6" s="461" t="s">
        <v>194</v>
      </c>
      <c r="B6" s="462">
        <f>'openbare verlichting'!B8</f>
        <v>539.11</v>
      </c>
      <c r="C6" s="462"/>
      <c r="D6" s="462"/>
      <c r="E6" s="462"/>
      <c r="F6" s="462"/>
      <c r="G6" s="462"/>
      <c r="H6" s="462"/>
      <c r="I6" s="462"/>
      <c r="J6" s="462"/>
      <c r="K6" s="462"/>
      <c r="L6" s="462"/>
      <c r="M6" s="462"/>
      <c r="N6" s="462"/>
      <c r="O6" s="462"/>
      <c r="P6" s="463"/>
      <c r="Q6" s="461">
        <f t="shared" si="0"/>
        <v>539.11</v>
      </c>
    </row>
    <row r="7" spans="1:17">
      <c r="A7" s="461" t="s">
        <v>112</v>
      </c>
      <c r="B7" s="462">
        <f>landbouw!B8</f>
        <v>3222.1143693880958</v>
      </c>
      <c r="C7" s="462">
        <f>landbouw!C8</f>
        <v>57.160714285714278</v>
      </c>
      <c r="D7" s="462">
        <f>landbouw!D8</f>
        <v>259.577032632032</v>
      </c>
      <c r="E7" s="462">
        <f>landbouw!E8</f>
        <v>40.602791981566696</v>
      </c>
      <c r="F7" s="462">
        <f>landbouw!F8</f>
        <v>11117.101762269916</v>
      </c>
      <c r="G7" s="462">
        <f>landbouw!G8</f>
        <v>0</v>
      </c>
      <c r="H7" s="462">
        <f>landbouw!H8</f>
        <v>0</v>
      </c>
      <c r="I7" s="462">
        <f>landbouw!I8</f>
        <v>0</v>
      </c>
      <c r="J7" s="462">
        <f>landbouw!J8</f>
        <v>484.56937345253033</v>
      </c>
      <c r="K7" s="462">
        <f>landbouw!K8</f>
        <v>0</v>
      </c>
      <c r="L7" s="462">
        <f>landbouw!L8</f>
        <v>0</v>
      </c>
      <c r="M7" s="462">
        <f>landbouw!M8</f>
        <v>0</v>
      </c>
      <c r="N7" s="462">
        <f>landbouw!N8</f>
        <v>0</v>
      </c>
      <c r="O7" s="462">
        <f>landbouw!O8</f>
        <v>0</v>
      </c>
      <c r="P7" s="463">
        <f>landbouw!P8</f>
        <v>0</v>
      </c>
      <c r="Q7" s="461">
        <f t="shared" si="0"/>
        <v>15181.126044009856</v>
      </c>
    </row>
    <row r="8" spans="1:17">
      <c r="A8" s="461" t="s">
        <v>657</v>
      </c>
      <c r="B8" s="462">
        <f>industrie!B18</f>
        <v>9429.9930365156033</v>
      </c>
      <c r="C8" s="462">
        <f>industrie!C18</f>
        <v>0</v>
      </c>
      <c r="D8" s="462">
        <f>industrie!D18</f>
        <v>19021.901212603152</v>
      </c>
      <c r="E8" s="462">
        <f>industrie!E18</f>
        <v>627.01103466852589</v>
      </c>
      <c r="F8" s="462">
        <f>industrie!F18</f>
        <v>2422.8500613879187</v>
      </c>
      <c r="G8" s="462">
        <f>industrie!G18</f>
        <v>0</v>
      </c>
      <c r="H8" s="462">
        <f>industrie!H18</f>
        <v>0</v>
      </c>
      <c r="I8" s="462">
        <f>industrie!I18</f>
        <v>0</v>
      </c>
      <c r="J8" s="462">
        <f>industrie!J18</f>
        <v>22.828386311031597</v>
      </c>
      <c r="K8" s="462">
        <f>industrie!K18</f>
        <v>0</v>
      </c>
      <c r="L8" s="462">
        <f>industrie!L18</f>
        <v>0</v>
      </c>
      <c r="M8" s="462">
        <f>industrie!M18</f>
        <v>0</v>
      </c>
      <c r="N8" s="462">
        <f>industrie!N18</f>
        <v>1904.5598063177852</v>
      </c>
      <c r="O8" s="462">
        <f>industrie!O18</f>
        <v>0</v>
      </c>
      <c r="P8" s="463">
        <f>industrie!P18</f>
        <v>0</v>
      </c>
      <c r="Q8" s="461">
        <f t="shared" si="0"/>
        <v>33429.143537804011</v>
      </c>
    </row>
    <row r="9" spans="1:17" s="467" customFormat="1">
      <c r="A9" s="465" t="s">
        <v>574</v>
      </c>
      <c r="B9" s="466">
        <f>transport!B14</f>
        <v>4.1228606220986785</v>
      </c>
      <c r="C9" s="466">
        <f>transport!C14</f>
        <v>0</v>
      </c>
      <c r="D9" s="466">
        <f>transport!D14</f>
        <v>6.7209484830407868</v>
      </c>
      <c r="E9" s="466">
        <f>transport!E14</f>
        <v>206.09777097670681</v>
      </c>
      <c r="F9" s="466">
        <f>transport!F14</f>
        <v>0</v>
      </c>
      <c r="G9" s="466">
        <f>transport!G14</f>
        <v>56593.693056572352</v>
      </c>
      <c r="H9" s="466">
        <f>transport!H14</f>
        <v>10065.989727451957</v>
      </c>
      <c r="I9" s="466">
        <f>transport!I14</f>
        <v>0</v>
      </c>
      <c r="J9" s="466">
        <f>transport!J14</f>
        <v>0</v>
      </c>
      <c r="K9" s="466">
        <f>transport!K14</f>
        <v>0</v>
      </c>
      <c r="L9" s="466">
        <f>transport!L14</f>
        <v>0</v>
      </c>
      <c r="M9" s="466">
        <f>transport!M14</f>
        <v>3013.3737160888027</v>
      </c>
      <c r="N9" s="466">
        <f>transport!N14</f>
        <v>0</v>
      </c>
      <c r="O9" s="466">
        <f>transport!O14</f>
        <v>0</v>
      </c>
      <c r="P9" s="466">
        <f>transport!P14</f>
        <v>0</v>
      </c>
      <c r="Q9" s="465">
        <f>SUM(B9:P9)</f>
        <v>69889.998080194957</v>
      </c>
    </row>
    <row r="10" spans="1:17">
      <c r="A10" s="461" t="s">
        <v>564</v>
      </c>
      <c r="B10" s="462">
        <f>transport!B54</f>
        <v>0</v>
      </c>
      <c r="C10" s="462">
        <f>transport!C54</f>
        <v>0</v>
      </c>
      <c r="D10" s="462">
        <f>transport!D54</f>
        <v>0</v>
      </c>
      <c r="E10" s="462">
        <f>transport!E54</f>
        <v>0</v>
      </c>
      <c r="F10" s="462">
        <f>transport!F54</f>
        <v>0</v>
      </c>
      <c r="G10" s="462">
        <f>transport!G54</f>
        <v>722.73079693974751</v>
      </c>
      <c r="H10" s="462">
        <f>transport!H54</f>
        <v>0</v>
      </c>
      <c r="I10" s="462">
        <f>transport!I54</f>
        <v>0</v>
      </c>
      <c r="J10" s="462">
        <f>transport!J54</f>
        <v>0</v>
      </c>
      <c r="K10" s="462">
        <f>transport!K54</f>
        <v>0</v>
      </c>
      <c r="L10" s="462">
        <f>transport!L54</f>
        <v>0</v>
      </c>
      <c r="M10" s="462">
        <f>transport!M54</f>
        <v>32.141606279003966</v>
      </c>
      <c r="N10" s="462">
        <f>transport!N54</f>
        <v>0</v>
      </c>
      <c r="O10" s="462">
        <f>transport!O54</f>
        <v>0</v>
      </c>
      <c r="P10" s="463">
        <f>transport!P54</f>
        <v>0</v>
      </c>
      <c r="Q10" s="461">
        <f t="shared" si="0"/>
        <v>754.87240321875151</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599.92267009289799</v>
      </c>
      <c r="C14" s="469"/>
      <c r="D14" s="469">
        <f>'SEAP template'!E25</f>
        <v>799.29122597841797</v>
      </c>
      <c r="E14" s="469"/>
      <c r="F14" s="469"/>
      <c r="G14" s="469"/>
      <c r="H14" s="469"/>
      <c r="I14" s="469"/>
      <c r="J14" s="469"/>
      <c r="K14" s="469"/>
      <c r="L14" s="469"/>
      <c r="M14" s="469"/>
      <c r="N14" s="469"/>
      <c r="O14" s="469"/>
      <c r="P14" s="470"/>
      <c r="Q14" s="461">
        <f t="shared" si="0"/>
        <v>1399.213896071316</v>
      </c>
    </row>
    <row r="15" spans="1:17" s="474" customFormat="1">
      <c r="A15" s="471" t="s">
        <v>568</v>
      </c>
      <c r="B15" s="472">
        <f ca="1">SUM(B4:B14)</f>
        <v>33554.217898026516</v>
      </c>
      <c r="C15" s="472">
        <f t="shared" ref="C15:Q15" ca="1" si="1">SUM(C4:C14)</f>
        <v>57.160714285714278</v>
      </c>
      <c r="D15" s="472">
        <f t="shared" ca="1" si="1"/>
        <v>44548.241471398578</v>
      </c>
      <c r="E15" s="472">
        <f t="shared" si="1"/>
        <v>5275.9991781550661</v>
      </c>
      <c r="F15" s="472">
        <f t="shared" ca="1" si="1"/>
        <v>27765.116788324045</v>
      </c>
      <c r="G15" s="472">
        <f t="shared" si="1"/>
        <v>57316.423853512097</v>
      </c>
      <c r="H15" s="472">
        <f t="shared" si="1"/>
        <v>10065.989727451957</v>
      </c>
      <c r="I15" s="472">
        <f t="shared" si="1"/>
        <v>0</v>
      </c>
      <c r="J15" s="472">
        <f t="shared" si="1"/>
        <v>4360.0849195526635</v>
      </c>
      <c r="K15" s="472">
        <f t="shared" si="1"/>
        <v>0</v>
      </c>
      <c r="L15" s="472">
        <f t="shared" ca="1" si="1"/>
        <v>0</v>
      </c>
      <c r="M15" s="472">
        <f t="shared" si="1"/>
        <v>3045.5153223678067</v>
      </c>
      <c r="N15" s="472">
        <f t="shared" ca="1" si="1"/>
        <v>10700.237686474866</v>
      </c>
      <c r="O15" s="472">
        <f t="shared" si="1"/>
        <v>104.74333333333334</v>
      </c>
      <c r="P15" s="472">
        <f t="shared" si="1"/>
        <v>362.26666666666665</v>
      </c>
      <c r="Q15" s="472">
        <f t="shared" ca="1" si="1"/>
        <v>197155.99755954932</v>
      </c>
    </row>
    <row r="17" spans="1:17">
      <c r="A17" s="475" t="s">
        <v>569</v>
      </c>
      <c r="B17" s="781">
        <f ca="1">huishoudens!B10</f>
        <v>0.20793032376040591</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2806.9395893310616</v>
      </c>
      <c r="C22" s="462">
        <f t="shared" ref="C22:C32" ca="1" si="3">C4*$C$17</f>
        <v>0</v>
      </c>
      <c r="D22" s="462">
        <f t="shared" ref="D22:D32" si="4">D4*$D$17</f>
        <v>4080.0422097857936</v>
      </c>
      <c r="E22" s="462">
        <f t="shared" ref="E22:E32" si="5">E4*$E$17</f>
        <v>979.92635835511408</v>
      </c>
      <c r="F22" s="462">
        <f t="shared" ref="F22:F32" si="6">F4*$F$17</f>
        <v>3425.0850446513136</v>
      </c>
      <c r="G22" s="462">
        <f t="shared" ref="G22:G32" si="7">G4*$G$17</f>
        <v>0</v>
      </c>
      <c r="H22" s="462">
        <f t="shared" ref="H22:H32" si="8">H4*$H$17</f>
        <v>0</v>
      </c>
      <c r="I22" s="462">
        <f t="shared" ref="I22:I32" si="9">I4*$I$17</f>
        <v>0</v>
      </c>
      <c r="J22" s="462">
        <f t="shared" ref="J22:J32" si="10">J4*$J$17</f>
        <v>1363.8512545653418</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12655.844456688623</v>
      </c>
    </row>
    <row r="23" spans="1:17">
      <c r="A23" s="461" t="s">
        <v>156</v>
      </c>
      <c r="B23" s="462">
        <f t="shared" ca="1" si="2"/>
        <v>1301.5463129617442</v>
      </c>
      <c r="C23" s="462">
        <f t="shared" ca="1" si="3"/>
        <v>0</v>
      </c>
      <c r="D23" s="462">
        <f t="shared" ca="1" si="4"/>
        <v>861.02950265799825</v>
      </c>
      <c r="E23" s="462">
        <f t="shared" si="5"/>
        <v>19.392922424802428</v>
      </c>
      <c r="F23" s="462">
        <f t="shared" ca="1" si="6"/>
        <v>373.03400091456393</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2555.0027389591087</v>
      </c>
    </row>
    <row r="24" spans="1:17">
      <c r="A24" s="461" t="s">
        <v>194</v>
      </c>
      <c r="B24" s="462">
        <f t="shared" ca="1" si="2"/>
        <v>112.09731684247242</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112.09731684247242</v>
      </c>
    </row>
    <row r="25" spans="1:17">
      <c r="A25" s="461" t="s">
        <v>112</v>
      </c>
      <c r="B25" s="462">
        <f t="shared" ca="1" si="2"/>
        <v>669.97528401992292</v>
      </c>
      <c r="C25" s="462">
        <f t="shared" ca="1" si="3"/>
        <v>0</v>
      </c>
      <c r="D25" s="462">
        <f t="shared" si="4"/>
        <v>52.434560591670468</v>
      </c>
      <c r="E25" s="462">
        <f t="shared" si="5"/>
        <v>9.2168337798156408</v>
      </c>
      <c r="F25" s="462">
        <f t="shared" si="6"/>
        <v>2968.266170526068</v>
      </c>
      <c r="G25" s="462">
        <f t="shared" si="7"/>
        <v>0</v>
      </c>
      <c r="H25" s="462">
        <f t="shared" si="8"/>
        <v>0</v>
      </c>
      <c r="I25" s="462">
        <f t="shared" si="9"/>
        <v>0</v>
      </c>
      <c r="J25" s="462">
        <f t="shared" si="10"/>
        <v>171.53755820219573</v>
      </c>
      <c r="K25" s="462">
        <f t="shared" si="11"/>
        <v>0</v>
      </c>
      <c r="L25" s="462">
        <f t="shared" si="12"/>
        <v>0</v>
      </c>
      <c r="M25" s="462">
        <f t="shared" si="13"/>
        <v>0</v>
      </c>
      <c r="N25" s="462">
        <f t="shared" si="14"/>
        <v>0</v>
      </c>
      <c r="O25" s="462">
        <f t="shared" si="15"/>
        <v>0</v>
      </c>
      <c r="P25" s="463">
        <f t="shared" si="16"/>
        <v>0</v>
      </c>
      <c r="Q25" s="461">
        <f t="shared" ca="1" si="17"/>
        <v>3871.4304071196725</v>
      </c>
    </row>
    <row r="26" spans="1:17">
      <c r="A26" s="461" t="s">
        <v>657</v>
      </c>
      <c r="B26" s="462">
        <f t="shared" ca="1" si="2"/>
        <v>1960.7815051410626</v>
      </c>
      <c r="C26" s="462">
        <f t="shared" ca="1" si="3"/>
        <v>0</v>
      </c>
      <c r="D26" s="462">
        <f t="shared" si="4"/>
        <v>3842.4240449458371</v>
      </c>
      <c r="E26" s="462">
        <f t="shared" si="5"/>
        <v>142.33150486975538</v>
      </c>
      <c r="F26" s="462">
        <f t="shared" si="6"/>
        <v>646.90096639057435</v>
      </c>
      <c r="G26" s="462">
        <f t="shared" si="7"/>
        <v>0</v>
      </c>
      <c r="H26" s="462">
        <f t="shared" si="8"/>
        <v>0</v>
      </c>
      <c r="I26" s="462">
        <f t="shared" si="9"/>
        <v>0</v>
      </c>
      <c r="J26" s="462">
        <f t="shared" si="10"/>
        <v>8.0812487541051841</v>
      </c>
      <c r="K26" s="462">
        <f t="shared" si="11"/>
        <v>0</v>
      </c>
      <c r="L26" s="462">
        <f t="shared" si="12"/>
        <v>0</v>
      </c>
      <c r="M26" s="462">
        <f t="shared" si="13"/>
        <v>0</v>
      </c>
      <c r="N26" s="462">
        <f t="shared" si="14"/>
        <v>0</v>
      </c>
      <c r="O26" s="462">
        <f t="shared" si="15"/>
        <v>0</v>
      </c>
      <c r="P26" s="463">
        <f t="shared" si="16"/>
        <v>0</v>
      </c>
      <c r="Q26" s="461">
        <f t="shared" ca="1" si="17"/>
        <v>6600.5192701013339</v>
      </c>
    </row>
    <row r="27" spans="1:17" s="467" customFormat="1">
      <c r="A27" s="465" t="s">
        <v>574</v>
      </c>
      <c r="B27" s="775">
        <f t="shared" ca="1" si="2"/>
        <v>0.85726774397200678</v>
      </c>
      <c r="C27" s="466">
        <f t="shared" ca="1" si="3"/>
        <v>0</v>
      </c>
      <c r="D27" s="466">
        <f t="shared" si="4"/>
        <v>1.3576315935742391</v>
      </c>
      <c r="E27" s="466">
        <f t="shared" si="5"/>
        <v>46.784194011712451</v>
      </c>
      <c r="F27" s="466">
        <f t="shared" si="6"/>
        <v>0</v>
      </c>
      <c r="G27" s="466">
        <f t="shared" si="7"/>
        <v>15110.516046104818</v>
      </c>
      <c r="H27" s="466">
        <f t="shared" si="8"/>
        <v>2506.4314421355375</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17665.946581589615</v>
      </c>
    </row>
    <row r="28" spans="1:17">
      <c r="A28" s="461" t="s">
        <v>564</v>
      </c>
      <c r="B28" s="462">
        <f t="shared" ca="1" si="2"/>
        <v>0</v>
      </c>
      <c r="C28" s="462">
        <f t="shared" ca="1" si="3"/>
        <v>0</v>
      </c>
      <c r="D28" s="462">
        <f t="shared" si="4"/>
        <v>0</v>
      </c>
      <c r="E28" s="462">
        <f t="shared" si="5"/>
        <v>0</v>
      </c>
      <c r="F28" s="462">
        <f t="shared" si="6"/>
        <v>0</v>
      </c>
      <c r="G28" s="462">
        <f t="shared" si="7"/>
        <v>192.96912278291259</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192.96912278291259</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124.74211502362346</v>
      </c>
      <c r="C32" s="462">
        <f t="shared" ca="1" si="3"/>
        <v>0</v>
      </c>
      <c r="D32" s="462">
        <f t="shared" si="4"/>
        <v>161.45682764764044</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286.19894267126392</v>
      </c>
    </row>
    <row r="33" spans="1:17" s="474" customFormat="1">
      <c r="A33" s="471" t="s">
        <v>568</v>
      </c>
      <c r="B33" s="472">
        <f ca="1">SUM(B22:B32)</f>
        <v>6976.9393910638591</v>
      </c>
      <c r="C33" s="472">
        <f t="shared" ref="C33:Q33" ca="1" si="18">SUM(C22:C32)</f>
        <v>0</v>
      </c>
      <c r="D33" s="472">
        <f t="shared" ca="1" si="18"/>
        <v>8998.7447772225132</v>
      </c>
      <c r="E33" s="472">
        <f t="shared" si="18"/>
        <v>1197.6518134412001</v>
      </c>
      <c r="F33" s="472">
        <f t="shared" ca="1" si="18"/>
        <v>7413.2861824825195</v>
      </c>
      <c r="G33" s="472">
        <f t="shared" si="18"/>
        <v>15303.485168887732</v>
      </c>
      <c r="H33" s="472">
        <f t="shared" si="18"/>
        <v>2506.4314421355375</v>
      </c>
      <c r="I33" s="472">
        <f t="shared" si="18"/>
        <v>0</v>
      </c>
      <c r="J33" s="472">
        <f t="shared" si="18"/>
        <v>1543.4700615216427</v>
      </c>
      <c r="K33" s="472">
        <f t="shared" si="18"/>
        <v>0</v>
      </c>
      <c r="L33" s="472">
        <f t="shared" ca="1" si="18"/>
        <v>0</v>
      </c>
      <c r="M33" s="472">
        <f t="shared" si="18"/>
        <v>0</v>
      </c>
      <c r="N33" s="472">
        <f t="shared" ca="1" si="18"/>
        <v>0</v>
      </c>
      <c r="O33" s="472">
        <f t="shared" si="18"/>
        <v>0</v>
      </c>
      <c r="P33" s="472">
        <f t="shared" si="18"/>
        <v>0</v>
      </c>
      <c r="Q33" s="472">
        <f t="shared" ca="1" si="18"/>
        <v>43940.008836754991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60">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1944.3438999999998</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40.012499999999996</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47.07352941176471</v>
      </c>
      <c r="K8" s="1047">
        <f>'SEAP template'!K76</f>
        <v>0</v>
      </c>
      <c r="L8" s="1047">
        <f>'SEAP template'!L76</f>
        <v>0</v>
      </c>
      <c r="M8" s="1047">
        <f>'SEAP template'!M76</f>
        <v>0</v>
      </c>
      <c r="N8" s="1047">
        <f>'SEAP template'!N76</f>
        <v>0</v>
      </c>
      <c r="O8" s="1047">
        <f>'SEAP template'!O76</f>
        <v>0</v>
      </c>
      <c r="P8" s="1048">
        <f>'SEAP template'!Q76</f>
        <v>0</v>
      </c>
    </row>
    <row r="9" spans="1:16">
      <c r="A9" s="1050" t="s">
        <v>888</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1984.3563999999999</v>
      </c>
      <c r="C10" s="1051">
        <f>SUM(C4:C9)</f>
        <v>0</v>
      </c>
      <c r="D10" s="1051">
        <f t="shared" ref="D10:H10" si="0">SUM(D8:D9)</f>
        <v>0</v>
      </c>
      <c r="E10" s="1051">
        <f t="shared" si="0"/>
        <v>0</v>
      </c>
      <c r="F10" s="1051">
        <f t="shared" si="0"/>
        <v>0</v>
      </c>
      <c r="G10" s="1051">
        <f t="shared" si="0"/>
        <v>0</v>
      </c>
      <c r="H10" s="1051">
        <f t="shared" si="0"/>
        <v>0</v>
      </c>
      <c r="I10" s="1051">
        <f>SUM(I8:I9)</f>
        <v>0</v>
      </c>
      <c r="J10" s="1051">
        <f>SUM(J8:J9)</f>
        <v>47.07352941176471</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889</v>
      </c>
      <c r="B12" s="781" t="s">
        <v>890</v>
      </c>
      <c r="C12" s="781">
        <f ca="1">'EF ele_warmte'!B12</f>
        <v>0.20793032376040591</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57.160714285714278</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67.247899159663874</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895</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57.160714285714278</v>
      </c>
      <c r="C20" s="1051">
        <f>SUM(C17:C19)</f>
        <v>0</v>
      </c>
      <c r="D20" s="1051">
        <f t="shared" ref="D20:H20" si="2">SUM(D17:D19)</f>
        <v>0</v>
      </c>
      <c r="E20" s="1051">
        <f t="shared" si="2"/>
        <v>0</v>
      </c>
      <c r="F20" s="1051">
        <f t="shared" si="2"/>
        <v>0</v>
      </c>
      <c r="G20" s="1051">
        <f t="shared" si="2"/>
        <v>0</v>
      </c>
      <c r="H20" s="1051">
        <f t="shared" si="2"/>
        <v>0</v>
      </c>
      <c r="I20" s="1051">
        <f>SUM(I17:I19)</f>
        <v>0</v>
      </c>
      <c r="J20" s="1051">
        <f>SUM(J17:J19)</f>
        <v>67.247899159663874</v>
      </c>
      <c r="K20" s="1051">
        <f t="shared" ref="K20:L20" si="3">SUM(K17:K19)</f>
        <v>0</v>
      </c>
      <c r="L20" s="1051">
        <f t="shared" si="3"/>
        <v>0</v>
      </c>
      <c r="M20" s="1051">
        <f>SUM(M17:M19)</f>
        <v>0</v>
      </c>
      <c r="N20" s="1051">
        <f>SUM(N17:N19)</f>
        <v>0</v>
      </c>
      <c r="O20" s="1051">
        <f>SUM(O17:O19)</f>
        <v>0</v>
      </c>
      <c r="P20" s="1051">
        <f>SUM(P17:P19)</f>
        <v>0</v>
      </c>
    </row>
    <row r="22" spans="1:16">
      <c r="A22" s="475" t="s">
        <v>896</v>
      </c>
      <c r="B22" s="781" t="s">
        <v>890</v>
      </c>
      <c r="C22" s="78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15.75">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897</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898</v>
      </c>
    </row>
    <row r="5" spans="1:16" ht="135">
      <c r="A5" s="1060" t="s">
        <v>250</v>
      </c>
      <c r="B5" s="1057" t="s">
        <v>897</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898</v>
      </c>
    </row>
    <row r="6" spans="1:16" ht="135">
      <c r="A6" s="1060" t="s">
        <v>251</v>
      </c>
      <c r="B6" s="1057" t="s">
        <v>897</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898</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898</v>
      </c>
    </row>
    <row r="8" spans="1:16" ht="210">
      <c r="A8" s="1056" t="s">
        <v>252</v>
      </c>
      <c r="B8" s="1057" t="s">
        <v>899</v>
      </c>
      <c r="C8" s="1057" t="s">
        <v>899</v>
      </c>
      <c r="D8" s="1057" t="s">
        <v>899</v>
      </c>
      <c r="E8" s="1057" t="s">
        <v>899</v>
      </c>
      <c r="F8" s="1057" t="s">
        <v>899</v>
      </c>
      <c r="G8" s="1057" t="s">
        <v>899</v>
      </c>
      <c r="H8" s="1057" t="s">
        <v>899</v>
      </c>
      <c r="I8" s="1057" t="s">
        <v>899</v>
      </c>
      <c r="J8" s="1057" t="s">
        <v>899</v>
      </c>
      <c r="K8" s="1058" t="s">
        <v>839</v>
      </c>
      <c r="L8" s="1058" t="s">
        <v>839</v>
      </c>
      <c r="M8" s="1058" t="s">
        <v>839</v>
      </c>
      <c r="N8" s="1057" t="s">
        <v>900</v>
      </c>
      <c r="O8" s="1057" t="s">
        <v>900</v>
      </c>
      <c r="P8" s="1061"/>
    </row>
    <row r="9" spans="1:16" ht="210">
      <c r="A9" s="1062" t="s">
        <v>888</v>
      </c>
      <c r="B9" s="1057" t="s">
        <v>900</v>
      </c>
      <c r="C9" s="1057" t="s">
        <v>900</v>
      </c>
      <c r="D9" s="1057" t="s">
        <v>900</v>
      </c>
      <c r="E9" s="1057" t="s">
        <v>900</v>
      </c>
      <c r="F9" s="1057" t="s">
        <v>900</v>
      </c>
      <c r="G9" s="1057" t="s">
        <v>900</v>
      </c>
      <c r="H9" s="1057" t="s">
        <v>900</v>
      </c>
      <c r="I9" s="1057" t="s">
        <v>900</v>
      </c>
      <c r="J9" s="1057" t="s">
        <v>900</v>
      </c>
      <c r="K9" s="1058" t="s">
        <v>839</v>
      </c>
      <c r="L9" s="1057" t="s">
        <v>900</v>
      </c>
      <c r="M9" s="1057" t="s">
        <v>900</v>
      </c>
      <c r="N9" s="1057" t="s">
        <v>900</v>
      </c>
      <c r="O9" s="1057" t="s">
        <v>900</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889</v>
      </c>
      <c r="B12" s="781" t="s">
        <v>890</v>
      </c>
      <c r="C12" s="1064" t="s">
        <v>901</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900</v>
      </c>
      <c r="C17" s="1057" t="s">
        <v>900</v>
      </c>
      <c r="D17" s="1057" t="s">
        <v>900</v>
      </c>
      <c r="E17" s="1057" t="s">
        <v>900</v>
      </c>
      <c r="F17" s="1057" t="s">
        <v>900</v>
      </c>
      <c r="G17" s="1057" t="s">
        <v>900</v>
      </c>
      <c r="H17" s="1057" t="s">
        <v>900</v>
      </c>
      <c r="I17" s="1057" t="s">
        <v>900</v>
      </c>
      <c r="J17" s="1057" t="s">
        <v>900</v>
      </c>
      <c r="K17" s="1058" t="s">
        <v>839</v>
      </c>
      <c r="L17" s="1058" t="s">
        <v>839</v>
      </c>
      <c r="M17" s="1058" t="s">
        <v>839</v>
      </c>
      <c r="N17" s="1057" t="s">
        <v>900</v>
      </c>
      <c r="O17" s="1057" t="s">
        <v>900</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895</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896</v>
      </c>
      <c r="B22" s="781" t="s">
        <v>890</v>
      </c>
      <c r="C22" s="1064" t="s">
        <v>902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0.20793032376040591</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0.20793032376040591</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0.20793032376040591</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43007</v>
      </c>
      <c r="B1" s="1284"/>
      <c r="C1" s="1284"/>
      <c r="D1" s="1284"/>
      <c r="E1" s="1284"/>
      <c r="F1" s="1285"/>
    </row>
    <row r="3" spans="1:6" ht="19.5">
      <c r="A3" s="1286" t="s">
        <v>0</v>
      </c>
    </row>
    <row r="4" spans="1:6" ht="22.5">
      <c r="A4" s="1287" t="s">
        <v>903</v>
      </c>
    </row>
    <row r="5" spans="1:6" ht="22.5">
      <c r="A5" s="1287" t="s">
        <v>904</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2579</v>
      </c>
      <c r="C9" s="338">
        <v>2688</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905</v>
      </c>
      <c r="B14" s="335">
        <v>2338</v>
      </c>
    </row>
    <row r="15" spans="1:6">
      <c r="A15" s="1295" t="s">
        <v>184</v>
      </c>
      <c r="B15" s="335">
        <v>55</v>
      </c>
    </row>
    <row r="16" spans="1:6">
      <c r="A16" s="1295" t="s">
        <v>6</v>
      </c>
      <c r="B16" s="335">
        <v>2770</v>
      </c>
    </row>
    <row r="17" spans="1:6">
      <c r="A17" s="1295" t="s">
        <v>7</v>
      </c>
      <c r="B17" s="335">
        <v>1137</v>
      </c>
    </row>
    <row r="18" spans="1:6">
      <c r="A18" s="1295" t="s">
        <v>8</v>
      </c>
      <c r="B18" s="335">
        <v>2612</v>
      </c>
    </row>
    <row r="19" spans="1:6">
      <c r="A19" s="1295" t="s">
        <v>9</v>
      </c>
      <c r="B19" s="335">
        <v>2558</v>
      </c>
    </row>
    <row r="20" spans="1:6">
      <c r="A20" s="1295" t="s">
        <v>10</v>
      </c>
      <c r="B20" s="335">
        <v>1294</v>
      </c>
    </row>
    <row r="21" spans="1:6">
      <c r="A21" s="1295" t="s">
        <v>11</v>
      </c>
      <c r="B21" s="335">
        <v>11280</v>
      </c>
    </row>
    <row r="22" spans="1:6">
      <c r="A22" s="1295" t="s">
        <v>12</v>
      </c>
      <c r="B22" s="335">
        <v>26585</v>
      </c>
    </row>
    <row r="23" spans="1:6">
      <c r="A23" s="1295" t="s">
        <v>13</v>
      </c>
      <c r="B23" s="335">
        <v>718</v>
      </c>
    </row>
    <row r="24" spans="1:6">
      <c r="A24" s="1295" t="s">
        <v>14</v>
      </c>
      <c r="B24" s="335">
        <v>27</v>
      </c>
    </row>
    <row r="25" spans="1:6">
      <c r="A25" s="1295" t="s">
        <v>15</v>
      </c>
      <c r="B25" s="335">
        <v>3389</v>
      </c>
    </row>
    <row r="26" spans="1:6">
      <c r="A26" s="1295" t="s">
        <v>16</v>
      </c>
      <c r="B26" s="335">
        <v>2</v>
      </c>
    </row>
    <row r="27" spans="1:6">
      <c r="A27" s="1295" t="s">
        <v>17</v>
      </c>
      <c r="B27" s="335">
        <v>189</v>
      </c>
    </row>
    <row r="28" spans="1:6" s="341" customFormat="1">
      <c r="A28" s="1296" t="s">
        <v>18</v>
      </c>
      <c r="B28" s="1296">
        <v>73878</v>
      </c>
    </row>
    <row r="29" spans="1:6">
      <c r="A29" s="1296" t="s">
        <v>906</v>
      </c>
      <c r="B29" s="1296">
        <v>108</v>
      </c>
      <c r="C29" s="341"/>
      <c r="D29" s="341"/>
      <c r="E29" s="341"/>
      <c r="F29" s="341"/>
    </row>
    <row r="30" spans="1:6">
      <c r="A30" s="1291" t="s">
        <v>907</v>
      </c>
      <c r="B30" s="1291">
        <v>51</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0</v>
      </c>
      <c r="F36" s="335">
        <v>0</v>
      </c>
    </row>
    <row r="37" spans="1:6">
      <c r="A37" s="1295" t="s">
        <v>25</v>
      </c>
      <c r="B37" s="1295" t="s">
        <v>28</v>
      </c>
      <c r="C37" s="335">
        <v>0</v>
      </c>
      <c r="D37" s="335">
        <v>0</v>
      </c>
      <c r="E37" s="335">
        <v>0</v>
      </c>
      <c r="F37" s="335">
        <v>0</v>
      </c>
    </row>
    <row r="38" spans="1:6">
      <c r="A38" s="1295" t="s">
        <v>25</v>
      </c>
      <c r="B38" s="1295" t="s">
        <v>29</v>
      </c>
      <c r="C38" s="335">
        <v>1</v>
      </c>
      <c r="D38" s="335">
        <v>115738.51028964399</v>
      </c>
      <c r="E38" s="335">
        <v>0</v>
      </c>
      <c r="F38" s="335">
        <v>0</v>
      </c>
    </row>
    <row r="39" spans="1:6">
      <c r="A39" s="1295" t="s">
        <v>30</v>
      </c>
      <c r="B39" s="1295" t="s">
        <v>31</v>
      </c>
      <c r="C39" s="335">
        <v>1154</v>
      </c>
      <c r="D39" s="335">
        <v>22392714.812988698</v>
      </c>
      <c r="E39" s="335">
        <v>2365</v>
      </c>
      <c r="F39" s="335">
        <v>12136121.9347477</v>
      </c>
    </row>
    <row r="40" spans="1:6">
      <c r="A40" s="1295" t="s">
        <v>30</v>
      </c>
      <c r="B40" s="1295" t="s">
        <v>29</v>
      </c>
      <c r="C40" s="335">
        <v>0</v>
      </c>
      <c r="D40" s="335">
        <v>0</v>
      </c>
      <c r="E40" s="335">
        <v>0</v>
      </c>
      <c r="F40" s="335">
        <v>0</v>
      </c>
    </row>
    <row r="41" spans="1:6">
      <c r="A41" s="1295" t="s">
        <v>32</v>
      </c>
      <c r="B41" s="1295" t="s">
        <v>33</v>
      </c>
      <c r="C41" s="335">
        <v>3</v>
      </c>
      <c r="D41" s="335">
        <v>16830.8057127502</v>
      </c>
      <c r="E41" s="335">
        <v>43</v>
      </c>
      <c r="F41" s="335">
        <v>475682.32985888002</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0</v>
      </c>
      <c r="D44" s="335">
        <v>0</v>
      </c>
      <c r="E44" s="335">
        <v>3</v>
      </c>
      <c r="F44" s="335">
        <v>47628.614036004503</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0</v>
      </c>
      <c r="D47" s="335">
        <v>0</v>
      </c>
      <c r="E47" s="335">
        <v>0</v>
      </c>
      <c r="F47" s="335">
        <v>0</v>
      </c>
    </row>
    <row r="48" spans="1:6">
      <c r="A48" s="1295" t="s">
        <v>32</v>
      </c>
      <c r="B48" s="1295" t="s">
        <v>29</v>
      </c>
      <c r="C48" s="335">
        <v>24</v>
      </c>
      <c r="D48" s="335">
        <v>21071751.4699005</v>
      </c>
      <c r="E48" s="335">
        <v>38</v>
      </c>
      <c r="F48" s="335">
        <v>8906682.0926207192</v>
      </c>
    </row>
    <row r="49" spans="1:6">
      <c r="A49" s="1295" t="s">
        <v>32</v>
      </c>
      <c r="B49" s="1295" t="s">
        <v>40</v>
      </c>
      <c r="C49" s="335">
        <v>0</v>
      </c>
      <c r="D49" s="335">
        <v>0</v>
      </c>
      <c r="E49" s="335">
        <v>0</v>
      </c>
      <c r="F49" s="335">
        <v>0</v>
      </c>
    </row>
    <row r="50" spans="1:6">
      <c r="A50" s="1295" t="s">
        <v>32</v>
      </c>
      <c r="B50" s="1295" t="s">
        <v>41</v>
      </c>
      <c r="C50" s="335">
        <v>0</v>
      </c>
      <c r="D50" s="335">
        <v>0</v>
      </c>
      <c r="E50" s="335">
        <v>0</v>
      </c>
      <c r="F50" s="335">
        <v>0</v>
      </c>
    </row>
    <row r="51" spans="1:6">
      <c r="A51" s="1295" t="s">
        <v>42</v>
      </c>
      <c r="B51" s="1295" t="s">
        <v>43</v>
      </c>
      <c r="C51" s="335">
        <v>10</v>
      </c>
      <c r="D51" s="335">
        <v>133862.28943522001</v>
      </c>
      <c r="E51" s="335">
        <v>127</v>
      </c>
      <c r="F51" s="335">
        <v>3064288.24172256</v>
      </c>
    </row>
    <row r="52" spans="1:6">
      <c r="A52" s="1295" t="s">
        <v>42</v>
      </c>
      <c r="B52" s="1295" t="s">
        <v>29</v>
      </c>
      <c r="C52" s="335">
        <v>6</v>
      </c>
      <c r="D52" s="335">
        <v>153917.12589962699</v>
      </c>
      <c r="E52" s="335">
        <v>9</v>
      </c>
      <c r="F52" s="335">
        <v>157826.12766553601</v>
      </c>
    </row>
    <row r="53" spans="1:6">
      <c r="A53" s="1295" t="s">
        <v>44</v>
      </c>
      <c r="B53" s="1295" t="s">
        <v>45</v>
      </c>
      <c r="C53" s="335">
        <v>39</v>
      </c>
      <c r="D53" s="335">
        <v>799291.22597841802</v>
      </c>
      <c r="E53" s="335">
        <v>106</v>
      </c>
      <c r="F53" s="335">
        <v>599922.67009289796</v>
      </c>
    </row>
    <row r="54" spans="1:6">
      <c r="A54" s="1295" t="s">
        <v>46</v>
      </c>
      <c r="B54" s="1295" t="s">
        <v>47</v>
      </c>
      <c r="C54" s="335">
        <v>0</v>
      </c>
      <c r="D54" s="335">
        <v>0</v>
      </c>
      <c r="E54" s="335">
        <v>2</v>
      </c>
      <c r="F54" s="335">
        <v>539110</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6</v>
      </c>
      <c r="D57" s="335">
        <v>219788.54913723099</v>
      </c>
      <c r="E57" s="335">
        <v>64</v>
      </c>
      <c r="F57" s="335">
        <v>1427958.6441303701</v>
      </c>
    </row>
    <row r="58" spans="1:6">
      <c r="A58" s="1295" t="s">
        <v>49</v>
      </c>
      <c r="B58" s="1295" t="s">
        <v>51</v>
      </c>
      <c r="C58" s="335">
        <v>0</v>
      </c>
      <c r="D58" s="335">
        <v>0</v>
      </c>
      <c r="E58" s="335">
        <v>6</v>
      </c>
      <c r="F58" s="335">
        <v>36911.280216413703</v>
      </c>
    </row>
    <row r="59" spans="1:6">
      <c r="A59" s="1295" t="s">
        <v>49</v>
      </c>
      <c r="B59" s="1295" t="s">
        <v>52</v>
      </c>
      <c r="C59" s="335">
        <v>3</v>
      </c>
      <c r="D59" s="335">
        <v>16705.391417260798</v>
      </c>
      <c r="E59" s="335">
        <v>22</v>
      </c>
      <c r="F59" s="335">
        <v>445012.73808005801</v>
      </c>
    </row>
    <row r="60" spans="1:6">
      <c r="A60" s="1295" t="s">
        <v>49</v>
      </c>
      <c r="B60" s="1295" t="s">
        <v>53</v>
      </c>
      <c r="C60" s="335">
        <v>10</v>
      </c>
      <c r="D60" s="335">
        <v>580766.86040428397</v>
      </c>
      <c r="E60" s="335">
        <v>19</v>
      </c>
      <c r="F60" s="335">
        <v>623462.15545025002</v>
      </c>
    </row>
    <row r="61" spans="1:6">
      <c r="A61" s="1295" t="s">
        <v>49</v>
      </c>
      <c r="B61" s="1295" t="s">
        <v>54</v>
      </c>
      <c r="C61" s="335">
        <v>29</v>
      </c>
      <c r="D61" s="335">
        <v>1319396.2595631401</v>
      </c>
      <c r="E61" s="335">
        <v>58</v>
      </c>
      <c r="F61" s="335">
        <v>879567.04623245599</v>
      </c>
    </row>
    <row r="62" spans="1:6">
      <c r="A62" s="1295" t="s">
        <v>49</v>
      </c>
      <c r="B62" s="1295" t="s">
        <v>55</v>
      </c>
      <c r="C62" s="335">
        <v>0</v>
      </c>
      <c r="D62" s="335">
        <v>0</v>
      </c>
      <c r="E62" s="335">
        <v>3</v>
      </c>
      <c r="F62" s="335">
        <v>58412.719989509897</v>
      </c>
    </row>
    <row r="63" spans="1:6">
      <c r="A63" s="1295" t="s">
        <v>49</v>
      </c>
      <c r="B63" s="1295" t="s">
        <v>29</v>
      </c>
      <c r="C63" s="335">
        <v>62</v>
      </c>
      <c r="D63" s="335">
        <v>2588977.4077553898</v>
      </c>
      <c r="E63" s="335">
        <v>131</v>
      </c>
      <c r="F63" s="335">
        <v>2788206.4425610602</v>
      </c>
    </row>
    <row r="64" spans="1:6">
      <c r="A64" s="1295" t="s">
        <v>56</v>
      </c>
      <c r="B64" s="1295" t="s">
        <v>57</v>
      </c>
      <c r="C64" s="335">
        <v>0</v>
      </c>
      <c r="D64" s="335">
        <v>0</v>
      </c>
      <c r="E64" s="335">
        <v>0</v>
      </c>
      <c r="F64" s="335">
        <v>0</v>
      </c>
    </row>
    <row r="65" spans="1:6">
      <c r="A65" s="1295" t="s">
        <v>56</v>
      </c>
      <c r="B65" s="1295" t="s">
        <v>29</v>
      </c>
      <c r="C65" s="335">
        <v>1</v>
      </c>
      <c r="D65" s="335">
        <v>24249.085754015599</v>
      </c>
      <c r="E65" s="335">
        <v>0</v>
      </c>
      <c r="F65" s="335">
        <v>0</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0</v>
      </c>
      <c r="D68" s="335">
        <v>0</v>
      </c>
      <c r="E68" s="335">
        <v>6</v>
      </c>
      <c r="F68" s="335">
        <v>53479.412365532597</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60907687</v>
      </c>
      <c r="E73" s="335">
        <v>64928464.694521204</v>
      </c>
    </row>
    <row r="74" spans="1:6">
      <c r="A74" s="1295" t="s">
        <v>64</v>
      </c>
      <c r="B74" s="1295" t="s">
        <v>727</v>
      </c>
      <c r="C74" s="1295" t="s">
        <v>728</v>
      </c>
      <c r="D74" s="335">
        <v>6977222.8564165151</v>
      </c>
      <c r="E74" s="335">
        <v>8132897.2245011143</v>
      </c>
    </row>
    <row r="75" spans="1:6">
      <c r="A75" s="1295" t="s">
        <v>65</v>
      </c>
      <c r="B75" s="1295" t="s">
        <v>725</v>
      </c>
      <c r="C75" s="1295" t="s">
        <v>729</v>
      </c>
      <c r="D75" s="335">
        <v>14597124</v>
      </c>
      <c r="E75" s="335">
        <v>16058418.656629384</v>
      </c>
    </row>
    <row r="76" spans="1:6">
      <c r="A76" s="1295" t="s">
        <v>65</v>
      </c>
      <c r="B76" s="1295" t="s">
        <v>727</v>
      </c>
      <c r="C76" s="1295" t="s">
        <v>730</v>
      </c>
      <c r="D76" s="335">
        <v>553476.85641651484</v>
      </c>
      <c r="E76" s="335">
        <v>676299.01590742113</v>
      </c>
    </row>
    <row r="77" spans="1:6">
      <c r="A77" s="1295" t="s">
        <v>66</v>
      </c>
      <c r="B77" s="1295" t="s">
        <v>725</v>
      </c>
      <c r="C77" s="1295" t="s">
        <v>731</v>
      </c>
      <c r="D77" s="335">
        <v>0</v>
      </c>
      <c r="E77" s="335">
        <v>0</v>
      </c>
    </row>
    <row r="78" spans="1:6">
      <c r="A78" s="1291" t="s">
        <v>66</v>
      </c>
      <c r="B78" s="1291" t="s">
        <v>727</v>
      </c>
      <c r="C78" s="1291" t="s">
        <v>732</v>
      </c>
      <c r="D78" s="1291">
        <v>0</v>
      </c>
      <c r="E78" s="1291">
        <v>0</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199428.28716697029</v>
      </c>
      <c r="C83" s="335">
        <v>199024.09149131257</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908</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1363.3019999999999</v>
      </c>
    </row>
    <row r="92" spans="1:6">
      <c r="A92" s="1291" t="s">
        <v>69</v>
      </c>
      <c r="B92" s="338">
        <v>581.04190000000006</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481</v>
      </c>
    </row>
    <row r="98" spans="1:6">
      <c r="A98" s="1295" t="s">
        <v>72</v>
      </c>
      <c r="B98" s="335">
        <v>0</v>
      </c>
    </row>
    <row r="99" spans="1:6">
      <c r="A99" s="1295" t="s">
        <v>73</v>
      </c>
      <c r="B99" s="335">
        <v>126</v>
      </c>
    </row>
    <row r="100" spans="1:6">
      <c r="A100" s="1295" t="s">
        <v>74</v>
      </c>
      <c r="B100" s="335">
        <v>304</v>
      </c>
    </row>
    <row r="101" spans="1:6">
      <c r="A101" s="1295" t="s">
        <v>75</v>
      </c>
      <c r="B101" s="335">
        <v>59</v>
      </c>
    </row>
    <row r="102" spans="1:6">
      <c r="A102" s="1295" t="s">
        <v>76</v>
      </c>
      <c r="B102" s="335">
        <v>54</v>
      </c>
    </row>
    <row r="103" spans="1:6">
      <c r="A103" s="1295" t="s">
        <v>77</v>
      </c>
      <c r="B103" s="335">
        <v>162</v>
      </c>
    </row>
    <row r="104" spans="1:6">
      <c r="A104" s="1295" t="s">
        <v>78</v>
      </c>
      <c r="B104" s="335">
        <v>1113</v>
      </c>
    </row>
    <row r="105" spans="1:6">
      <c r="A105" s="1291" t="s">
        <v>79</v>
      </c>
      <c r="B105" s="1291">
        <v>5</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909</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13</v>
      </c>
      <c r="C123" s="335">
        <v>8</v>
      </c>
    </row>
    <row r="124" spans="1:6">
      <c r="A124" s="1291" t="s">
        <v>89</v>
      </c>
      <c r="B124" s="335">
        <v>1</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57</v>
      </c>
    </row>
    <row r="130" spans="1:6">
      <c r="A130" s="1295" t="s">
        <v>295</v>
      </c>
      <c r="B130" s="335">
        <v>2</v>
      </c>
    </row>
    <row r="131" spans="1:6">
      <c r="A131" s="1295" t="s">
        <v>296</v>
      </c>
      <c r="B131" s="335">
        <v>0</v>
      </c>
    </row>
    <row r="132" spans="1:6">
      <c r="A132" s="1291" t="s">
        <v>297</v>
      </c>
      <c r="B132" s="338">
        <v>5</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33554.217898026509</v>
      </c>
      <c r="C3" s="43" t="s">
        <v>170</v>
      </c>
      <c r="D3" s="43"/>
      <c r="E3" s="156"/>
      <c r="F3" s="43"/>
      <c r="G3" s="43"/>
      <c r="H3" s="43"/>
      <c r="I3" s="43"/>
      <c r="J3" s="43"/>
      <c r="K3" s="96"/>
    </row>
    <row r="4" spans="1:11">
      <c r="A4" s="366" t="s">
        <v>171</v>
      </c>
      <c r="B4" s="49">
        <f>IF(ISERROR('SEAP template'!B78),0,'SEAP template'!B78)</f>
        <v>1984.3563999999999</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0.20793032376040591</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57.160714285714278</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539.11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539.11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0.20793032376040591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112.09731684247242</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12136.1219347477</v>
      </c>
      <c r="C5" s="17">
        <f>IF(ISERROR('Eigen informatie GS &amp; warmtenet'!B57),0,'Eigen informatie GS &amp; warmtenet'!B57)</f>
        <v>0</v>
      </c>
      <c r="D5" s="30">
        <f>(SUM(HH_hh_gas_kWh,HH_rest_gas_kWh)/1000)*0.902</f>
        <v>20198.228761315808</v>
      </c>
      <c r="E5" s="17">
        <f>B46*B57</f>
        <v>4316.8562042075509</v>
      </c>
      <c r="F5" s="17">
        <f>B51*B62</f>
        <v>12828.033875098552</v>
      </c>
      <c r="G5" s="18"/>
      <c r="H5" s="17"/>
      <c r="I5" s="17"/>
      <c r="J5" s="17">
        <f>B50*B61+C50*C61</f>
        <v>3852.6871597891013</v>
      </c>
      <c r="K5" s="17"/>
      <c r="L5" s="17"/>
      <c r="M5" s="17"/>
      <c r="N5" s="17">
        <f>B48*B59+C48*C59</f>
        <v>7578.0257379708783</v>
      </c>
      <c r="O5" s="17">
        <f>B69*B70*B71</f>
        <v>101.61666666666667</v>
      </c>
      <c r="P5" s="17">
        <f>B77*B78*B79/1000-B77*B78*B79/1000/B80</f>
        <v>362.26666666666665</v>
      </c>
    </row>
    <row r="6" spans="1:16">
      <c r="A6" s="16" t="s">
        <v>634</v>
      </c>
      <c r="B6" s="783">
        <f>kWh_PV_kleiner_dan_10kW</f>
        <v>1363.3019999999999</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13499.4239347477</v>
      </c>
      <c r="C8" s="21">
        <f>C5</f>
        <v>0</v>
      </c>
      <c r="D8" s="21">
        <f>D5</f>
        <v>20198.228761315808</v>
      </c>
      <c r="E8" s="21">
        <f>E5</f>
        <v>4316.8562042075509</v>
      </c>
      <c r="F8" s="21">
        <f>F5</f>
        <v>12828.033875098552</v>
      </c>
      <c r="G8" s="21"/>
      <c r="H8" s="21"/>
      <c r="I8" s="21"/>
      <c r="J8" s="21">
        <f>J5</f>
        <v>3852.6871597891013</v>
      </c>
      <c r="K8" s="21"/>
      <c r="L8" s="21">
        <f>L5</f>
        <v>0</v>
      </c>
      <c r="M8" s="21">
        <f>M5</f>
        <v>0</v>
      </c>
      <c r="N8" s="21">
        <f>N5</f>
        <v>7578.0257379708783</v>
      </c>
      <c r="O8" s="21">
        <f>O5</f>
        <v>101.61666666666667</v>
      </c>
      <c r="P8" s="21">
        <f>P5</f>
        <v>362.26666666666665</v>
      </c>
    </row>
    <row r="9" spans="1:16">
      <c r="B9" s="19"/>
      <c r="C9" s="19"/>
      <c r="D9" s="261"/>
      <c r="E9" s="19"/>
      <c r="F9" s="19"/>
      <c r="G9" s="19"/>
      <c r="H9" s="19"/>
      <c r="I9" s="19"/>
      <c r="J9" s="19"/>
      <c r="K9" s="19"/>
      <c r="L9" s="19"/>
      <c r="M9" s="19"/>
      <c r="N9" s="19"/>
      <c r="O9" s="19"/>
      <c r="P9" s="19"/>
    </row>
    <row r="10" spans="1:16">
      <c r="A10" s="24" t="s">
        <v>214</v>
      </c>
      <c r="B10" s="25">
        <f ca="1">'EF ele_warmte'!B12</f>
        <v>0.20793032376040591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2806.9395893310616</v>
      </c>
      <c r="C12" s="23">
        <f ca="1">C10*C8</f>
        <v>0</v>
      </c>
      <c r="D12" s="23">
        <f>D8*D10</f>
        <v>4080.0422097857936</v>
      </c>
      <c r="E12" s="23">
        <f>E10*E8</f>
        <v>979.92635835511408</v>
      </c>
      <c r="F12" s="23">
        <f>F10*F8</f>
        <v>3425.0850446513136</v>
      </c>
      <c r="G12" s="23"/>
      <c r="H12" s="23"/>
      <c r="I12" s="23"/>
      <c r="J12" s="23">
        <f>J10*J8</f>
        <v>1363.8512545653418</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481</v>
      </c>
      <c r="C18" s="168" t="s">
        <v>111</v>
      </c>
      <c r="D18" s="230"/>
      <c r="E18" s="15"/>
    </row>
    <row r="19" spans="1:7">
      <c r="A19" s="173" t="s">
        <v>72</v>
      </c>
      <c r="B19" s="37">
        <f>aantalw2001_ander</f>
        <v>0</v>
      </c>
      <c r="C19" s="168" t="s">
        <v>111</v>
      </c>
      <c r="D19" s="231"/>
      <c r="E19" s="15"/>
    </row>
    <row r="20" spans="1:7">
      <c r="A20" s="173" t="s">
        <v>73</v>
      </c>
      <c r="B20" s="37">
        <f>aantalw2001_propaan</f>
        <v>126</v>
      </c>
      <c r="C20" s="169">
        <f>IF(ISERROR(B20/SUM($B$20,$B$21,$B$22)*100),0,B20/SUM($B$20,$B$21,$B$22)*100)</f>
        <v>25.766871165644172</v>
      </c>
      <c r="D20" s="231"/>
      <c r="E20" s="15"/>
    </row>
    <row r="21" spans="1:7">
      <c r="A21" s="173" t="s">
        <v>74</v>
      </c>
      <c r="B21" s="37">
        <f>aantalw2001_elektriciteit</f>
        <v>304</v>
      </c>
      <c r="C21" s="169">
        <f>IF(ISERROR(B21/SUM($B$20,$B$21,$B$22)*100),0,B21/SUM($B$20,$B$21,$B$22)*100)</f>
        <v>62.167689161554193</v>
      </c>
      <c r="D21" s="231"/>
      <c r="E21" s="15"/>
    </row>
    <row r="22" spans="1:7">
      <c r="A22" s="173" t="s">
        <v>75</v>
      </c>
      <c r="B22" s="37">
        <f>aantalw2001_hout</f>
        <v>59</v>
      </c>
      <c r="C22" s="169">
        <f>IF(ISERROR(B22/SUM($B$20,$B$21,$B$22)*100),0,B22/SUM($B$20,$B$21,$B$22)*100)</f>
        <v>12.065439672801636</v>
      </c>
      <c r="D22" s="231"/>
      <c r="E22" s="15"/>
    </row>
    <row r="23" spans="1:7">
      <c r="A23" s="173" t="s">
        <v>76</v>
      </c>
      <c r="B23" s="37">
        <f>aantalw2001_niet_gespec</f>
        <v>54</v>
      </c>
      <c r="C23" s="168" t="s">
        <v>111</v>
      </c>
      <c r="D23" s="230"/>
      <c r="E23" s="15"/>
    </row>
    <row r="24" spans="1:7">
      <c r="A24" s="173" t="s">
        <v>77</v>
      </c>
      <c r="B24" s="37">
        <f>aantalw2001_steenkool</f>
        <v>162</v>
      </c>
      <c r="C24" s="168" t="s">
        <v>111</v>
      </c>
      <c r="D24" s="231"/>
      <c r="E24" s="15"/>
    </row>
    <row r="25" spans="1:7">
      <c r="A25" s="173" t="s">
        <v>78</v>
      </c>
      <c r="B25" s="37">
        <f>aantalw2001_stookolie</f>
        <v>1113</v>
      </c>
      <c r="C25" s="168" t="s">
        <v>111</v>
      </c>
      <c r="D25" s="230"/>
      <c r="E25" s="52"/>
    </row>
    <row r="26" spans="1:7">
      <c r="A26" s="173" t="s">
        <v>79</v>
      </c>
      <c r="B26" s="37">
        <f>aantalw2001_WP</f>
        <v>5</v>
      </c>
      <c r="C26" s="168" t="s">
        <v>111</v>
      </c>
      <c r="D26" s="230"/>
      <c r="E26" s="15"/>
    </row>
    <row r="27" spans="1:7" s="15" customFormat="1">
      <c r="A27" s="173"/>
      <c r="B27" s="29"/>
      <c r="C27" s="36"/>
      <c r="D27" s="230"/>
    </row>
    <row r="28" spans="1:7" s="15" customFormat="1">
      <c r="A28" s="232" t="s">
        <v>745</v>
      </c>
      <c r="B28" s="37">
        <f>aantalHuishoudens2011</f>
        <v>2579</v>
      </c>
      <c r="C28" s="36"/>
      <c r="D28" s="230"/>
    </row>
    <row r="29" spans="1:7" s="15" customFormat="1">
      <c r="A29" s="232" t="s">
        <v>746</v>
      </c>
      <c r="B29" s="37">
        <f>SUM(HH_hh_gas_aantal,HH_rest_gas_aantal)</f>
        <v>1154</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1154</v>
      </c>
      <c r="C32" s="169">
        <f>IF(ISERROR(B32/SUM($B$32,$B$34,$B$35,$B$36,$B$38,$B$39)*100),0,B32/SUM($B$32,$B$34,$B$35,$B$36,$B$38,$B$39)*100)</f>
        <v>45.078125</v>
      </c>
      <c r="D32" s="235"/>
      <c r="G32" s="15"/>
    </row>
    <row r="33" spans="1:7">
      <c r="A33" s="173" t="s">
        <v>72</v>
      </c>
      <c r="B33" s="34" t="s">
        <v>111</v>
      </c>
      <c r="C33" s="169"/>
      <c r="D33" s="235"/>
      <c r="G33" s="15"/>
    </row>
    <row r="34" spans="1:7">
      <c r="A34" s="173" t="s">
        <v>73</v>
      </c>
      <c r="B34" s="33">
        <f>IF((($B$28-$B$32-$B$39-$B$77-$B$38)*C20/100)&lt;0,0,($B$28-$B$32-$B$39-$B$77-$B$38)*C20/100)</f>
        <v>207.16564417177912</v>
      </c>
      <c r="C34" s="169">
        <f>IF(ISERROR(B34/SUM($B$32,$B$34,$B$35,$B$36,$B$38,$B$39)*100),0,B34/SUM($B$32,$B$34,$B$35,$B$36,$B$38,$B$39)*100)</f>
        <v>8.092407975460123</v>
      </c>
      <c r="D34" s="235"/>
      <c r="G34" s="15"/>
    </row>
    <row r="35" spans="1:7">
      <c r="A35" s="173" t="s">
        <v>74</v>
      </c>
      <c r="B35" s="33">
        <f>IF((($B$28-$B$32-$B$39-$B$77-$B$38)*C21/100)&lt;0,0,($B$28-$B$32-$B$39-$B$77-$B$38)*C21/100)</f>
        <v>499.82822085889575</v>
      </c>
      <c r="C35" s="169">
        <f>IF(ISERROR(B35/SUM($B$32,$B$34,$B$35,$B$36,$B$38,$B$39)*100),0,B35/SUM($B$32,$B$34,$B$35,$B$36,$B$38,$B$39)*100)</f>
        <v>19.524539877300615</v>
      </c>
      <c r="D35" s="235"/>
      <c r="G35" s="15"/>
    </row>
    <row r="36" spans="1:7">
      <c r="A36" s="173" t="s">
        <v>75</v>
      </c>
      <c r="B36" s="33">
        <f>IF((($B$28-$B$32-$B$39-$B$77-$B$38)*C22/100)&lt;0,0,($B$28-$B$32-$B$39-$B$77-$B$38)*C22/100)</f>
        <v>97.00613496932516</v>
      </c>
      <c r="C36" s="169">
        <f>IF(ISERROR(B36/SUM($B$32,$B$34,$B$35,$B$36,$B$38,$B$39)*100),0,B36/SUM($B$32,$B$34,$B$35,$B$36,$B$38,$B$39)*100)</f>
        <v>3.7893021472392636</v>
      </c>
      <c r="D36" s="235"/>
      <c r="G36" s="15"/>
    </row>
    <row r="37" spans="1:7">
      <c r="A37" s="173" t="s">
        <v>76</v>
      </c>
      <c r="B37" s="34" t="s">
        <v>111</v>
      </c>
      <c r="C37" s="169"/>
      <c r="D37" s="175"/>
      <c r="G37" s="15"/>
    </row>
    <row r="38" spans="1:7">
      <c r="A38" s="173" t="s">
        <v>77</v>
      </c>
      <c r="B38" s="33">
        <f>IF((B24-(B29-B18)*0.1)&lt;0,0,B24-(B29-B18)*0.1)</f>
        <v>94.7</v>
      </c>
      <c r="C38" s="169">
        <f>IF(ISERROR(B38/SUM($B$32,$B$34,$B$35,$B$36,$B$38,$B$39)*100),0,B38/SUM($B$32,$B$34,$B$35,$B$36,$B$38,$B$39)*100)</f>
        <v>3.6992187500000004</v>
      </c>
      <c r="D38" s="236"/>
      <c r="G38" s="15"/>
    </row>
    <row r="39" spans="1:7">
      <c r="A39" s="173" t="s">
        <v>78</v>
      </c>
      <c r="B39" s="33">
        <f>IF((B25-(B29-B18))&lt;0,0,B25-(B29-B18)*0.9)</f>
        <v>507.29999999999995</v>
      </c>
      <c r="C39" s="169">
        <f>IF(ISERROR(B39/SUM($B$32,$B$34,$B$35,$B$36,$B$38,$B$39)*100),0,B39/SUM($B$32,$B$34,$B$35,$B$36,$B$38,$B$39)*100)</f>
        <v>19.81640625</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1154</v>
      </c>
      <c r="C44" s="34" t="s">
        <v>111</v>
      </c>
      <c r="D44" s="176"/>
    </row>
    <row r="45" spans="1:7">
      <c r="A45" s="173" t="s">
        <v>72</v>
      </c>
      <c r="B45" s="33" t="str">
        <f t="shared" si="0"/>
        <v>-</v>
      </c>
      <c r="C45" s="34" t="s">
        <v>111</v>
      </c>
      <c r="D45" s="176"/>
    </row>
    <row r="46" spans="1:7">
      <c r="A46" s="173" t="s">
        <v>73</v>
      </c>
      <c r="B46" s="33">
        <f t="shared" si="0"/>
        <v>207.16564417177912</v>
      </c>
      <c r="C46" s="34" t="s">
        <v>111</v>
      </c>
      <c r="D46" s="176"/>
    </row>
    <row r="47" spans="1:7">
      <c r="A47" s="173" t="s">
        <v>74</v>
      </c>
      <c r="B47" s="33">
        <f t="shared" si="0"/>
        <v>499.82822085889575</v>
      </c>
      <c r="C47" s="34" t="s">
        <v>111</v>
      </c>
      <c r="D47" s="176"/>
    </row>
    <row r="48" spans="1:7">
      <c r="A48" s="173" t="s">
        <v>75</v>
      </c>
      <c r="B48" s="33">
        <f t="shared" si="0"/>
        <v>97.00613496932516</v>
      </c>
      <c r="C48" s="33">
        <f>B48*10</f>
        <v>970.0613496932516</v>
      </c>
      <c r="D48" s="236"/>
    </row>
    <row r="49" spans="1:6">
      <c r="A49" s="173" t="s">
        <v>76</v>
      </c>
      <c r="B49" s="33" t="str">
        <f t="shared" si="0"/>
        <v>-</v>
      </c>
      <c r="C49" s="34" t="s">
        <v>111</v>
      </c>
      <c r="D49" s="236"/>
    </row>
    <row r="50" spans="1:6">
      <c r="A50" s="173" t="s">
        <v>77</v>
      </c>
      <c r="B50" s="33">
        <f t="shared" si="0"/>
        <v>94.7</v>
      </c>
      <c r="C50" s="33">
        <f>B50*2</f>
        <v>189.4</v>
      </c>
      <c r="D50" s="236"/>
    </row>
    <row r="51" spans="1:6">
      <c r="A51" s="173" t="s">
        <v>78</v>
      </c>
      <c r="B51" s="33">
        <f t="shared" si="0"/>
        <v>507.29999999999995</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65</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19</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6259.5310266601173</v>
      </c>
      <c r="C5" s="17">
        <f>IF(ISERROR('Eigen informatie GS &amp; warmtenet'!B58),0,'Eigen informatie GS &amp; warmtenet'!B58)</f>
        <v>0</v>
      </c>
      <c r="D5" s="30">
        <f>SUM(D6:D12)</f>
        <v>4262.5222903861295</v>
      </c>
      <c r="E5" s="17">
        <f>SUM(E6:E12)</f>
        <v>85.431376320715543</v>
      </c>
      <c r="F5" s="17">
        <f>SUM(F6:F12)</f>
        <v>1397.1310895676552</v>
      </c>
      <c r="G5" s="18"/>
      <c r="H5" s="17"/>
      <c r="I5" s="17"/>
      <c r="J5" s="17">
        <f>SUM(J6:J12)</f>
        <v>0</v>
      </c>
      <c r="K5" s="17"/>
      <c r="L5" s="17"/>
      <c r="M5" s="17"/>
      <c r="N5" s="17">
        <f>SUM(N6:N12)</f>
        <v>1217.6521421862019</v>
      </c>
      <c r="O5" s="17">
        <f>B38*B39*B40</f>
        <v>3.1266666666666669</v>
      </c>
      <c r="P5" s="17">
        <f>B46*B47*B48/1000-B46*B47*B48/1000/B49</f>
        <v>0</v>
      </c>
      <c r="R5" s="32"/>
    </row>
    <row r="6" spans="1:18">
      <c r="A6" s="32" t="s">
        <v>54</v>
      </c>
      <c r="B6" s="37">
        <f>B26</f>
        <v>879.56704623245594</v>
      </c>
      <c r="C6" s="33"/>
      <c r="D6" s="37">
        <f>IF(ISERROR(TER_kantoor_gas_kWh/1000),0,TER_kantoor_gas_kWh/1000)*0.902</f>
        <v>1190.0954261259524</v>
      </c>
      <c r="E6" s="33">
        <f>$C$26*'E Balans VL '!I12/100/3.6*1000000</f>
        <v>3.4173041898065772</v>
      </c>
      <c r="F6" s="33">
        <f>$C$26*('E Balans VL '!L12+'E Balans VL '!N12)/100/3.6*1000000</f>
        <v>133.77414430992397</v>
      </c>
      <c r="G6" s="34"/>
      <c r="H6" s="33"/>
      <c r="I6" s="33"/>
      <c r="J6" s="33">
        <f>$C$26*('E Balans VL '!D12+'E Balans VL '!E12)/100/3.6*1000000</f>
        <v>0</v>
      </c>
      <c r="K6" s="33"/>
      <c r="L6" s="33"/>
      <c r="M6" s="33"/>
      <c r="N6" s="33">
        <f>$C$26*'E Balans VL '!Y12/100/3.6*1000000</f>
        <v>0.48474681201129222</v>
      </c>
      <c r="O6" s="33"/>
      <c r="P6" s="33"/>
      <c r="R6" s="32"/>
    </row>
    <row r="7" spans="1:18">
      <c r="A7" s="32" t="s">
        <v>53</v>
      </c>
      <c r="B7" s="37">
        <f t="shared" ref="B7:B12" si="0">B27</f>
        <v>623.46215545025007</v>
      </c>
      <c r="C7" s="33"/>
      <c r="D7" s="37">
        <f>IF(ISERROR(TER_horeca_gas_kWh/1000),0,TER_horeca_gas_kWh/1000)*0.902</f>
        <v>523.85170808466421</v>
      </c>
      <c r="E7" s="33">
        <f>$C$27*'E Balans VL '!I9/100/3.6*1000000</f>
        <v>35.119789902675976</v>
      </c>
      <c r="F7" s="33">
        <f>$C$27*('E Balans VL '!L9+'E Balans VL '!N9)/100/3.6*1000000</f>
        <v>179.76915971457652</v>
      </c>
      <c r="G7" s="34"/>
      <c r="H7" s="33"/>
      <c r="I7" s="33"/>
      <c r="J7" s="33">
        <f>$C$27*('E Balans VL '!D9+'E Balans VL '!E9)/100/3.6*1000000</f>
        <v>0</v>
      </c>
      <c r="K7" s="33"/>
      <c r="L7" s="33"/>
      <c r="M7" s="33"/>
      <c r="N7" s="33">
        <f>$C$27*'E Balans VL '!Y9/100/3.6*1000000</f>
        <v>0.17213466130563015</v>
      </c>
      <c r="O7" s="33"/>
      <c r="P7" s="33"/>
      <c r="R7" s="32"/>
    </row>
    <row r="8" spans="1:18">
      <c r="A8" s="6" t="s">
        <v>52</v>
      </c>
      <c r="B8" s="37">
        <f t="shared" si="0"/>
        <v>445.012738080058</v>
      </c>
      <c r="C8" s="33"/>
      <c r="D8" s="37">
        <f>IF(ISERROR(TER_handel_gas_kWh/1000),0,TER_handel_gas_kWh/1000)*0.902</f>
        <v>15.068263058369242</v>
      </c>
      <c r="E8" s="33">
        <f>$C$28*'E Balans VL '!I13/100/3.6*1000000</f>
        <v>6.4141433337677514</v>
      </c>
      <c r="F8" s="33">
        <f>$C$28*('E Balans VL '!L13+'E Balans VL '!N13)/100/3.6*1000000</f>
        <v>77.309076251848936</v>
      </c>
      <c r="G8" s="34"/>
      <c r="H8" s="33"/>
      <c r="I8" s="33"/>
      <c r="J8" s="33">
        <f>$C$28*('E Balans VL '!D13+'E Balans VL '!E13)/100/3.6*1000000</f>
        <v>0</v>
      </c>
      <c r="K8" s="33"/>
      <c r="L8" s="33"/>
      <c r="M8" s="33"/>
      <c r="N8" s="33">
        <f>$C$28*'E Balans VL '!Y13/100/3.6*1000000</f>
        <v>1.3333077031263851</v>
      </c>
      <c r="O8" s="33"/>
      <c r="P8" s="33"/>
      <c r="R8" s="32"/>
    </row>
    <row r="9" spans="1:18">
      <c r="A9" s="32" t="s">
        <v>51</v>
      </c>
      <c r="B9" s="37">
        <f t="shared" si="0"/>
        <v>36.911280216413701</v>
      </c>
      <c r="C9" s="33"/>
      <c r="D9" s="37">
        <f>IF(ISERROR(TER_gezond_gas_kWh/1000),0,TER_gezond_gas_kWh/1000)*0.902</f>
        <v>0</v>
      </c>
      <c r="E9" s="33">
        <f>$C$29*'E Balans VL '!I10/100/3.6*1000000</f>
        <v>3.943081432362306E-2</v>
      </c>
      <c r="F9" s="33">
        <f>$C$29*('E Balans VL '!L10+'E Balans VL '!N10)/100/3.6*1000000</f>
        <v>6.0213515791977628</v>
      </c>
      <c r="G9" s="34"/>
      <c r="H9" s="33"/>
      <c r="I9" s="33"/>
      <c r="J9" s="33">
        <f>$C$29*('E Balans VL '!D10+'E Balans VL '!E10)/100/3.6*1000000</f>
        <v>0</v>
      </c>
      <c r="K9" s="33"/>
      <c r="L9" s="33"/>
      <c r="M9" s="33"/>
      <c r="N9" s="33">
        <f>$C$29*'E Balans VL '!Y10/100/3.6*1000000</f>
        <v>0.37998056867166419</v>
      </c>
      <c r="O9" s="33"/>
      <c r="P9" s="33"/>
      <c r="R9" s="32"/>
    </row>
    <row r="10" spans="1:18">
      <c r="A10" s="32" t="s">
        <v>50</v>
      </c>
      <c r="B10" s="37">
        <f t="shared" si="0"/>
        <v>1427.9586441303702</v>
      </c>
      <c r="C10" s="33"/>
      <c r="D10" s="37">
        <f>IF(ISERROR(TER_ander_gas_kWh/1000),0,TER_ander_gas_kWh/1000)*0.902</f>
        <v>198.24927132178237</v>
      </c>
      <c r="E10" s="33">
        <f>$C$30*'E Balans VL '!I14/100/3.6*1000000</f>
        <v>6.5669645957216138</v>
      </c>
      <c r="F10" s="33">
        <f>$C$30*('E Balans VL '!L14+'E Balans VL '!N14)/100/3.6*1000000</f>
        <v>428.00424750979386</v>
      </c>
      <c r="G10" s="34"/>
      <c r="H10" s="33"/>
      <c r="I10" s="33"/>
      <c r="J10" s="33">
        <f>$C$30*('E Balans VL '!D14+'E Balans VL '!E14)/100/3.6*1000000</f>
        <v>0</v>
      </c>
      <c r="K10" s="33"/>
      <c r="L10" s="33"/>
      <c r="M10" s="33"/>
      <c r="N10" s="33">
        <f>$C$30*'E Balans VL '!Y14/100/3.6*1000000</f>
        <v>993.95347696248803</v>
      </c>
      <c r="O10" s="33"/>
      <c r="P10" s="33"/>
      <c r="R10" s="32"/>
    </row>
    <row r="11" spans="1:18">
      <c r="A11" s="32" t="s">
        <v>55</v>
      </c>
      <c r="B11" s="37">
        <f t="shared" si="0"/>
        <v>58.412719989509895</v>
      </c>
      <c r="C11" s="33"/>
      <c r="D11" s="37">
        <f>IF(ISERROR(TER_onderwijs_gas_kWh/1000),0,TER_onderwijs_gas_kWh/1000)*0.902</f>
        <v>0</v>
      </c>
      <c r="E11" s="33">
        <f>$C$31*'E Balans VL '!I11/100/3.6*1000000</f>
        <v>5.4185479575708961E-2</v>
      </c>
      <c r="F11" s="33">
        <f>$C$31*('E Balans VL '!L11+'E Balans VL '!N11)/100/3.6*1000000</f>
        <v>20.51904601246796</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2788.2064425610602</v>
      </c>
      <c r="C12" s="33"/>
      <c r="D12" s="37">
        <f>IF(ISERROR(TER_rest_gas_kWh/1000),0,TER_rest_gas_kWh/1000)*0.902</f>
        <v>2335.2576217953615</v>
      </c>
      <c r="E12" s="33">
        <f>$C$32*'E Balans VL '!I8/100/3.6*1000000</f>
        <v>33.819558004844282</v>
      </c>
      <c r="F12" s="33">
        <f>$C$32*('E Balans VL '!L8+'E Balans VL '!N8)/100/3.6*1000000</f>
        <v>551.73406418984621</v>
      </c>
      <c r="G12" s="34"/>
      <c r="H12" s="33"/>
      <c r="I12" s="33"/>
      <c r="J12" s="33">
        <f>$C$32*('E Balans VL '!D8+'E Balans VL '!E8)/100/3.6*1000000</f>
        <v>0</v>
      </c>
      <c r="K12" s="33"/>
      <c r="L12" s="33"/>
      <c r="M12" s="33"/>
      <c r="N12" s="33">
        <f>$C$32*'E Balans VL '!Y8/100/3.6*1000000</f>
        <v>221.32849547859894</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6259.5310266601173</v>
      </c>
      <c r="C16" s="21">
        <f t="shared" ca="1" si="1"/>
        <v>0</v>
      </c>
      <c r="D16" s="21">
        <f t="shared" ca="1" si="1"/>
        <v>4262.5222903861295</v>
      </c>
      <c r="E16" s="21">
        <f t="shared" si="1"/>
        <v>85.431376320715543</v>
      </c>
      <c r="F16" s="21">
        <f t="shared" ca="1" si="1"/>
        <v>1397.1310895676552</v>
      </c>
      <c r="G16" s="21">
        <f t="shared" si="1"/>
        <v>0</v>
      </c>
      <c r="H16" s="21">
        <f t="shared" si="1"/>
        <v>0</v>
      </c>
      <c r="I16" s="21">
        <f t="shared" si="1"/>
        <v>0</v>
      </c>
      <c r="J16" s="21">
        <f t="shared" si="1"/>
        <v>0</v>
      </c>
      <c r="K16" s="21">
        <f t="shared" si="1"/>
        <v>0</v>
      </c>
      <c r="L16" s="21">
        <f t="shared" ca="1" si="1"/>
        <v>0</v>
      </c>
      <c r="M16" s="21">
        <f t="shared" si="1"/>
        <v>0</v>
      </c>
      <c r="N16" s="21">
        <f t="shared" ca="1" si="1"/>
        <v>1217.6521421862019</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0.20793032376040591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1301.5463129617442</v>
      </c>
      <c r="C20" s="23">
        <f t="shared" ref="C20:P20" ca="1" si="2">C16*C18</f>
        <v>0</v>
      </c>
      <c r="D20" s="23">
        <f t="shared" ca="1" si="2"/>
        <v>861.02950265799825</v>
      </c>
      <c r="E20" s="23">
        <f t="shared" si="2"/>
        <v>19.392922424802428</v>
      </c>
      <c r="F20" s="23">
        <f t="shared" ca="1" si="2"/>
        <v>373.03400091456393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879.56704623245594</v>
      </c>
      <c r="C26" s="39">
        <f>IF(ISERROR(B26*3.6/1000000/'E Balans VL '!Z12*100),0,B26*3.6/1000000/'E Balans VL '!Z12*100)</f>
        <v>1.8682439742854325E-2</v>
      </c>
      <c r="D26" s="239" t="s">
        <v>692</v>
      </c>
      <c r="F26" s="6"/>
    </row>
    <row r="27" spans="1:18">
      <c r="A27" s="233" t="s">
        <v>53</v>
      </c>
      <c r="B27" s="33">
        <f>IF(ISERROR(TER_horeca_ele_kWh/1000),0,TER_horeca_ele_kWh/1000)</f>
        <v>623.46215545025007</v>
      </c>
      <c r="C27" s="39">
        <f>IF(ISERROR(B27*3.6/1000000/'E Balans VL '!Z9*100),0,B27*3.6/1000000/'E Balans VL '!Z9*100)</f>
        <v>4.8477979519598098E-2</v>
      </c>
      <c r="D27" s="239" t="s">
        <v>692</v>
      </c>
      <c r="F27" s="6"/>
    </row>
    <row r="28" spans="1:18">
      <c r="A28" s="173" t="s">
        <v>52</v>
      </c>
      <c r="B28" s="33">
        <f>IF(ISERROR(TER_handel_ele_kWh/1000),0,TER_handel_ele_kWh/1000)</f>
        <v>445.012738080058</v>
      </c>
      <c r="C28" s="39">
        <f>IF(ISERROR(B28*3.6/1000000/'E Balans VL '!Z13*100),0,B28*3.6/1000000/'E Balans VL '!Z13*100)</f>
        <v>1.2732338164072047E-2</v>
      </c>
      <c r="D28" s="239" t="s">
        <v>692</v>
      </c>
      <c r="F28" s="6"/>
    </row>
    <row r="29" spans="1:18">
      <c r="A29" s="233" t="s">
        <v>51</v>
      </c>
      <c r="B29" s="33">
        <f>IF(ISERROR(TER_gezond_ele_kWh/1000),0,TER_gezond_ele_kWh/1000)</f>
        <v>36.911280216413701</v>
      </c>
      <c r="C29" s="39">
        <f>IF(ISERROR(B29*3.6/1000000/'E Balans VL '!Z10*100),0,B29*3.6/1000000/'E Balans VL '!Z10*100)</f>
        <v>4.0241872588739633E-3</v>
      </c>
      <c r="D29" s="239" t="s">
        <v>692</v>
      </c>
      <c r="F29" s="6"/>
    </row>
    <row r="30" spans="1:18">
      <c r="A30" s="233" t="s">
        <v>50</v>
      </c>
      <c r="B30" s="33">
        <f>IF(ISERROR(TER_ander_ele_kWh/1000),0,TER_ander_ele_kWh/1000)</f>
        <v>1427.9586441303702</v>
      </c>
      <c r="C30" s="39">
        <f>IF(ISERROR(B30*3.6/1000000/'E Balans VL '!Z14*100),0,B30*3.6/1000000/'E Balans VL '!Z14*100)</f>
        <v>0.1044947743300641</v>
      </c>
      <c r="D30" s="239" t="s">
        <v>692</v>
      </c>
      <c r="F30" s="6"/>
    </row>
    <row r="31" spans="1:18">
      <c r="A31" s="233" t="s">
        <v>55</v>
      </c>
      <c r="B31" s="33">
        <f>IF(ISERROR(TER_onderwijs_ele_kWh/1000),0,TER_onderwijs_ele_kWh/1000)</f>
        <v>58.412719989509895</v>
      </c>
      <c r="C31" s="39">
        <f>IF(ISERROR(B31*3.6/1000000/'E Balans VL '!Z11*100),0,B31*3.6/1000000/'E Balans VL '!Z11*100)</f>
        <v>1.1732238185982836E-2</v>
      </c>
      <c r="D31" s="239" t="s">
        <v>692</v>
      </c>
    </row>
    <row r="32" spans="1:18">
      <c r="A32" s="233" t="s">
        <v>260</v>
      </c>
      <c r="B32" s="33">
        <f>IF(ISERROR(TER_rest_ele_kWh/1000),0,TER_rest_ele_kWh/1000)</f>
        <v>2788.2064425610602</v>
      </c>
      <c r="C32" s="39">
        <f>IF(ISERROR(B32*3.6/1000000/'E Balans VL '!Z8*100),0,B32*3.6/1000000/'E Balans VL '!Z8*100)</f>
        <v>2.2722190430355692E-2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2</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0</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9429.9930365156033</v>
      </c>
      <c r="C5" s="17">
        <f>IF(ISERROR('Eigen informatie GS &amp; warmtenet'!B59),0,'Eigen informatie GS &amp; warmtenet'!B59)</f>
        <v>0</v>
      </c>
      <c r="D5" s="30">
        <f>SUM(D6:D15)</f>
        <v>19021.901212603152</v>
      </c>
      <c r="E5" s="17">
        <f>SUM(E6:E15)</f>
        <v>627.01103466852589</v>
      </c>
      <c r="F5" s="17">
        <f>SUM(F6:F15)</f>
        <v>2422.8500613879187</v>
      </c>
      <c r="G5" s="18"/>
      <c r="H5" s="17"/>
      <c r="I5" s="17"/>
      <c r="J5" s="17">
        <f>SUM(J6:J15)</f>
        <v>22.828386311031597</v>
      </c>
      <c r="K5" s="17"/>
      <c r="L5" s="17"/>
      <c r="M5" s="17"/>
      <c r="N5" s="17">
        <f>SUM(N6:N15)</f>
        <v>1904.5598063177852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47.6286140360045</v>
      </c>
      <c r="C8" s="33"/>
      <c r="D8" s="37">
        <f>IF( ISERROR(IND_metaal_Gas_kWH/1000),0,IND_metaal_Gas_kWH/1000)*0.902</f>
        <v>0</v>
      </c>
      <c r="E8" s="33">
        <f>C30*'E Balans VL '!I18/100/3.6*1000000</f>
        <v>1.368072570999173</v>
      </c>
      <c r="F8" s="33">
        <f>C30*'E Balans VL '!L18/100/3.6*1000000+C30*'E Balans VL '!N18/100/3.6*1000000</f>
        <v>12.215823470343411</v>
      </c>
      <c r="G8" s="34"/>
      <c r="H8" s="33"/>
      <c r="I8" s="33"/>
      <c r="J8" s="40">
        <f>C30*'E Balans VL '!D18/100/3.6*1000000+C30*'E Balans VL '!E18/100/3.6*1000000</f>
        <v>0</v>
      </c>
      <c r="K8" s="33"/>
      <c r="L8" s="33"/>
      <c r="M8" s="33"/>
      <c r="N8" s="33">
        <f>C30*'E Balans VL '!Y18/100/3.6*1000000</f>
        <v>1.2932140948532129</v>
      </c>
      <c r="O8" s="33"/>
      <c r="P8" s="33"/>
      <c r="R8" s="32"/>
    </row>
    <row r="9" spans="1:18">
      <c r="A9" s="6" t="s">
        <v>33</v>
      </c>
      <c r="B9" s="37">
        <f t="shared" si="0"/>
        <v>475.68232985888005</v>
      </c>
      <c r="C9" s="33"/>
      <c r="D9" s="37">
        <f>IF( ISERROR(IND_andere_gas_kWh/1000),0,IND_andere_gas_kWh/1000)*0.902</f>
        <v>15.181386752900679</v>
      </c>
      <c r="E9" s="33">
        <f>C31*'E Balans VL '!I19/100/3.6*1000000</f>
        <v>128.75551107211524</v>
      </c>
      <c r="F9" s="33">
        <f>C31*'E Balans VL '!L19/100/3.6*1000000+C31*'E Balans VL '!N19/100/3.6*1000000</f>
        <v>316.85476939156905</v>
      </c>
      <c r="G9" s="34"/>
      <c r="H9" s="33"/>
      <c r="I9" s="33"/>
      <c r="J9" s="40">
        <f>C31*'E Balans VL '!D19/100/3.6*1000000+C31*'E Balans VL '!E19/100/3.6*1000000</f>
        <v>0</v>
      </c>
      <c r="K9" s="33"/>
      <c r="L9" s="33"/>
      <c r="M9" s="33"/>
      <c r="N9" s="33">
        <f>C31*'E Balans VL '!Y19/100/3.6*1000000</f>
        <v>155.30237893894778</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8906.6820926207183</v>
      </c>
      <c r="C15" s="33"/>
      <c r="D15" s="37">
        <f>IF( ISERROR(IND_rest_gas_kWh/1000),0,IND_rest_gas_kWh/1000)*0.902</f>
        <v>19006.71982585025</v>
      </c>
      <c r="E15" s="33">
        <f>C37*'E Balans VL '!I15/100/3.6*1000000</f>
        <v>496.88745102541145</v>
      </c>
      <c r="F15" s="33">
        <f>C37*'E Balans VL '!L15/100/3.6*1000000+C37*'E Balans VL '!N15/100/3.6*1000000</f>
        <v>2093.7794685260064</v>
      </c>
      <c r="G15" s="34"/>
      <c r="H15" s="33"/>
      <c r="I15" s="33"/>
      <c r="J15" s="40">
        <f>C37*'E Balans VL '!D15/100/3.6*1000000+C37*'E Balans VL '!E15/100/3.6*1000000</f>
        <v>22.828386311031597</v>
      </c>
      <c r="K15" s="33"/>
      <c r="L15" s="33"/>
      <c r="M15" s="33"/>
      <c r="N15" s="33">
        <f>C37*'E Balans VL '!Y15/100/3.6*1000000</f>
        <v>1747.9642132839842</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9429.9930365156033</v>
      </c>
      <c r="C18" s="21">
        <f>C5+C16</f>
        <v>0</v>
      </c>
      <c r="D18" s="21">
        <f>MAX((D5+D16),0)</f>
        <v>19021.901212603152</v>
      </c>
      <c r="E18" s="21">
        <f>MAX((E5+E16),0)</f>
        <v>627.01103466852589</v>
      </c>
      <c r="F18" s="21">
        <f>MAX((F5+F16),0)</f>
        <v>2422.8500613879187</v>
      </c>
      <c r="G18" s="21"/>
      <c r="H18" s="21"/>
      <c r="I18" s="21"/>
      <c r="J18" s="21">
        <f>MAX((J5+J16),0)</f>
        <v>22.828386311031597</v>
      </c>
      <c r="K18" s="21"/>
      <c r="L18" s="21">
        <f>MAX((L5+L16),0)</f>
        <v>0</v>
      </c>
      <c r="M18" s="21"/>
      <c r="N18" s="21">
        <f>MAX((N5+N16),0)</f>
        <v>1904.5598063177852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0.20793032376040591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1960.7815051410626</v>
      </c>
      <c r="C22" s="23">
        <f ca="1">C18*C20</f>
        <v>0</v>
      </c>
      <c r="D22" s="23">
        <f>D18*D20</f>
        <v>3842.4240449458371</v>
      </c>
      <c r="E22" s="23">
        <f>E18*E20</f>
        <v>142.33150486975538</v>
      </c>
      <c r="F22" s="23">
        <f>F18*F20</f>
        <v>646.90096639057435</v>
      </c>
      <c r="G22" s="23"/>
      <c r="H22" s="23"/>
      <c r="I22" s="23"/>
      <c r="J22" s="23">
        <f>J18*J20</f>
        <v>8.0812487541051841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47.6286140360045</v>
      </c>
      <c r="C30" s="39">
        <f>IF(ISERROR(B30*3.6/1000000/'E Balans VL '!Z18*100),0,B30*3.6/1000000/'E Balans VL '!Z18*100)</f>
        <v>4.6865340382428351E-3</v>
      </c>
      <c r="D30" s="239" t="s">
        <v>692</v>
      </c>
    </row>
    <row r="31" spans="1:18">
      <c r="A31" s="6" t="s">
        <v>33</v>
      </c>
      <c r="B31" s="37">
        <f>IF( ISERROR(IND_ander_ele_kWh/1000),0,IND_ander_ele_kWh/1000)</f>
        <v>475.68232985888005</v>
      </c>
      <c r="C31" s="39">
        <f>IF(ISERROR(B31*3.6/1000000/'E Balans VL '!Z19*100),0,B31*3.6/1000000/'E Balans VL '!Z19*100)</f>
        <v>2.0715586017297508E-2</v>
      </c>
      <c r="D31" s="239" t="s">
        <v>692</v>
      </c>
    </row>
    <row r="32" spans="1:18">
      <c r="A32" s="173" t="s">
        <v>41</v>
      </c>
      <c r="B32" s="37">
        <f>IF( ISERROR(IND_voed_ele_kWh/1000),0,IND_voed_ele_kWh/1000)</f>
        <v>0</v>
      </c>
      <c r="C32" s="39">
        <f>IF(ISERROR(B32*3.6/1000000/'E Balans VL '!Z20*100),0,B32*3.6/1000000/'E Balans VL '!Z20*100)</f>
        <v>0</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8906.6820926207183</v>
      </c>
      <c r="C37" s="39">
        <f>IF(ISERROR(B37*3.6/1000000/'E Balans VL '!Z15*100),0,B37*3.6/1000000/'E Balans VL '!Z15*100)</f>
        <v>6.8636925184228717E-2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3222.1143693880958</v>
      </c>
      <c r="C5" s="17">
        <f>'Eigen informatie GS &amp; warmtenet'!B60</f>
        <v>0</v>
      </c>
      <c r="D5" s="30">
        <f>IF(ISERROR(SUM(LB_lb_gas_kWh,LB_rest_gas_kWh)/1000),0,SUM(LB_lb_gas_kWh,LB_rest_gas_kWh)/1000)*0.902</f>
        <v>259.577032632032</v>
      </c>
      <c r="E5" s="17">
        <f>B17*'E Balans VL '!I25/3.6*1000000/100</f>
        <v>40.602791981566696</v>
      </c>
      <c r="F5" s="17">
        <f>B17*('E Balans VL '!L25/3.6*1000000+'E Balans VL '!N25/3.6*1000000)/100</f>
        <v>11117.101762269916</v>
      </c>
      <c r="G5" s="18"/>
      <c r="H5" s="17"/>
      <c r="I5" s="17"/>
      <c r="J5" s="17">
        <f>('E Balans VL '!D25+'E Balans VL '!E25)/3.6*1000000*landbouw!B17/100</f>
        <v>484.56937345253033</v>
      </c>
      <c r="K5" s="17"/>
      <c r="L5" s="17">
        <f>L6*(-1)</f>
        <v>0</v>
      </c>
      <c r="M5" s="17"/>
      <c r="N5" s="17">
        <f>N6*(-1)</f>
        <v>114.32142857142857</v>
      </c>
      <c r="O5" s="17"/>
      <c r="P5" s="17"/>
      <c r="R5" s="32"/>
    </row>
    <row r="6" spans="1:18">
      <c r="A6" s="16" t="s">
        <v>497</v>
      </c>
      <c r="B6" s="17" t="s">
        <v>211</v>
      </c>
      <c r="C6" s="17">
        <f>'lokale energieproductie'!O92+'lokale energieproductie'!O61</f>
        <v>57.160714285714278</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-114.32142857142857</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3222.1143693880958</v>
      </c>
      <c r="C8" s="21">
        <f>C5+C6</f>
        <v>57.160714285714278</v>
      </c>
      <c r="D8" s="21">
        <f>MAX((D5+D6),0)</f>
        <v>259.577032632032</v>
      </c>
      <c r="E8" s="21">
        <f>MAX((E5+E6),0)</f>
        <v>40.602791981566696</v>
      </c>
      <c r="F8" s="21">
        <f>MAX((F5+F6),0)</f>
        <v>11117.101762269916</v>
      </c>
      <c r="G8" s="21"/>
      <c r="H8" s="21"/>
      <c r="I8" s="21"/>
      <c r="J8" s="21">
        <f>MAX((J5+J6),0)</f>
        <v>484.56937345253033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0.20793032376040591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669.97528401992292</v>
      </c>
      <c r="C12" s="23">
        <f ca="1">C8*C10</f>
        <v>0</v>
      </c>
      <c r="D12" s="23">
        <f>D8*D10</f>
        <v>52.434560591670468</v>
      </c>
      <c r="E12" s="23">
        <f>E8*E10</f>
        <v>9.2168337798156408</v>
      </c>
      <c r="F12" s="23">
        <f>F8*F10</f>
        <v>2968.266170526068</v>
      </c>
      <c r="G12" s="23"/>
      <c r="H12" s="23"/>
      <c r="I12" s="23"/>
      <c r="J12" s="23">
        <f>J8*J10</f>
        <v>171.53755820219573</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0.44938339937961697</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836.79045245444854</v>
      </c>
      <c r="C26" s="249">
        <f>B26*'GWP N2O_CH4'!B5</f>
        <v>17572.59950154342</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331.96026464357902</v>
      </c>
      <c r="C27" s="249">
        <f>B27*'GWP N2O_CH4'!B5</f>
        <v>6971.1655575151599</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11.047651416813789</v>
      </c>
      <c r="C28" s="249">
        <f>B28*'GWP N2O_CH4'!B4</f>
        <v>3424.7719392122744</v>
      </c>
      <c r="D28" s="50"/>
    </row>
    <row r="29" spans="1:4">
      <c r="A29" s="41" t="s">
        <v>277</v>
      </c>
      <c r="B29" s="249">
        <f>B34*'ha_N2O bodem landbouw'!B4</f>
        <v>13.926587275976306</v>
      </c>
      <c r="C29" s="249">
        <f>B29*'GWP N2O_CH4'!B4</f>
        <v>4317.2420555526551</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3.4773296844672831E-3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1.4842298239555242E-5</v>
      </c>
      <c r="C5" s="448" t="s">
        <v>211</v>
      </c>
      <c r="D5" s="433">
        <f>SUM(D6:D11)</f>
        <v>2.4195414538946831E-5</v>
      </c>
      <c r="E5" s="433">
        <f>SUM(E6:E11)</f>
        <v>7.4195197551614456E-4</v>
      </c>
      <c r="F5" s="446" t="s">
        <v>211</v>
      </c>
      <c r="G5" s="433">
        <f>SUM(G6:G11)</f>
        <v>0.20373729500366047</v>
      </c>
      <c r="H5" s="433">
        <f>SUM(H6:H11)</f>
        <v>3.6237563018827045E-2</v>
      </c>
      <c r="I5" s="448" t="s">
        <v>211</v>
      </c>
      <c r="J5" s="448" t="s">
        <v>211</v>
      </c>
      <c r="K5" s="448" t="s">
        <v>211</v>
      </c>
      <c r="L5" s="448" t="s">
        <v>211</v>
      </c>
      <c r="M5" s="433">
        <f>SUM(M6:M11)</f>
        <v>1.0848145377919689E-2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1.1972880185548465E-5</v>
      </c>
      <c r="C6" s="887"/>
      <c r="D6" s="887">
        <f>vkm_2011_GW_PW*SUMIFS(TableVerdeelsleutelVkm[CNG],TableVerdeelsleutelVkm[Voertuigtype],"Lichte voertuigen")*SUMIFS(TableECFTransport[EnergieConsumptieFactor (PJ per km)],TableECFTransport[Index],CONCATENATE($A6,"_CNG_CNG"))</f>
        <v>1.6955940006000003E-5</v>
      </c>
      <c r="E6" s="887">
        <f>vkm_2011_GW_PW*SUMIFS(TableVerdeelsleutelVkm[LPG],TableVerdeelsleutelVkm[Voertuigtype],"Lichte voertuigen")*SUMIFS(TableECFTransport[EnergieConsumptieFactor (PJ per km)],TableECFTransport[Index],CONCATENATE($A6,"_LPG_LPG"))</f>
        <v>5.3253025516028952E-4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9.5710268616645333E-2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2.5646336618318388E-2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5.4905605885135983E-3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6.5863228062231521E-2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2.3400522142068446E-5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2.9721990397088573E-3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2.869418054006778E-6</v>
      </c>
      <c r="C8" s="887"/>
      <c r="D8" s="436">
        <f>vkm_2011_NGW_PW*SUMIFS(TableVerdeelsleutelVkm[CNG],TableVerdeelsleutelVkm[Voertuigtype],"Lichte voertuigen")*SUMIFS(TableECFTransport[EnergieConsumptieFactor (PJ per km)],TableECFTransport[Index],CONCATENATE($A8,"_CNG_CNG"))</f>
        <v>7.2394745329468281E-6</v>
      </c>
      <c r="E8" s="436">
        <f>vkm_2011_NGW_PW*SUMIFS(TableVerdeelsleutelVkm[LPG],TableVerdeelsleutelVkm[Voertuigtype],"Lichte voertuigen")*SUMIFS(TableECFTransport[EnergieConsumptieFactor (PJ per km)],TableECFTransport[Index],CONCATENATE($A8,"_LPG_LPG"))</f>
        <v>2.0942172035585504E-4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3.549901236202703E-2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1.0565585128165049E-2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2.0846308687222362E-3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6.6647859627565684E-3</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2.2407502015396768E-6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3.0075488097499768E-4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887"/>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4.1228606220986785</v>
      </c>
      <c r="C14" s="21"/>
      <c r="D14" s="21">
        <f t="shared" ref="D14:M14" si="0">((D5)*10^9/3600)+D12</f>
        <v>6.7209484830407868</v>
      </c>
      <c r="E14" s="21">
        <f t="shared" si="0"/>
        <v>206.09777097670681</v>
      </c>
      <c r="F14" s="21"/>
      <c r="G14" s="21">
        <f t="shared" si="0"/>
        <v>56593.693056572352</v>
      </c>
      <c r="H14" s="21">
        <f t="shared" si="0"/>
        <v>10065.989727451957</v>
      </c>
      <c r="I14" s="21"/>
      <c r="J14" s="21"/>
      <c r="K14" s="21"/>
      <c r="L14" s="21"/>
      <c r="M14" s="21">
        <f t="shared" si="0"/>
        <v>3013.3737160888027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0.20793032376040591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0.85726774397200678</v>
      </c>
      <c r="C18" s="23"/>
      <c r="D18" s="23">
        <f t="shared" ref="D18:M18" si="1">D14*D16</f>
        <v>1.3576315935742391</v>
      </c>
      <c r="E18" s="23">
        <f t="shared" si="1"/>
        <v>46.784194011712451</v>
      </c>
      <c r="F18" s="23"/>
      <c r="G18" s="23">
        <f t="shared" si="1"/>
        <v>15110.516046104818</v>
      </c>
      <c r="H18" s="23">
        <f t="shared" si="1"/>
        <v>2506.4314421355375</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2.6018308689830906E-3</v>
      </c>
      <c r="H50" s="323">
        <f t="shared" si="2"/>
        <v>0</v>
      </c>
      <c r="I50" s="323">
        <f t="shared" si="2"/>
        <v>0</v>
      </c>
      <c r="J50" s="323">
        <f t="shared" si="2"/>
        <v>0</v>
      </c>
      <c r="K50" s="323">
        <f t="shared" si="2"/>
        <v>0</v>
      </c>
      <c r="L50" s="323">
        <f t="shared" si="2"/>
        <v>0</v>
      </c>
      <c r="M50" s="323">
        <f t="shared" si="2"/>
        <v>1.1570978260441428E-4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2.6018308689830906E-3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1.1570978260441428E-4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722.73079693974751</v>
      </c>
      <c r="H54" s="21">
        <f t="shared" si="3"/>
        <v>0</v>
      </c>
      <c r="I54" s="21">
        <f t="shared" si="3"/>
        <v>0</v>
      </c>
      <c r="J54" s="21">
        <f t="shared" si="3"/>
        <v>0</v>
      </c>
      <c r="K54" s="21">
        <f t="shared" si="3"/>
        <v>0</v>
      </c>
      <c r="L54" s="21">
        <f t="shared" si="3"/>
        <v>0</v>
      </c>
      <c r="M54" s="21">
        <f t="shared" si="3"/>
        <v>32.141606279003966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0.20793032376040591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192.96912278291259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34" t="s">
        <v>241</v>
      </c>
      <c r="B1" s="1243" t="s">
        <v>242</v>
      </c>
      <c r="C1" s="1281" t="s">
        <v>243</v>
      </c>
      <c r="D1" s="1282"/>
      <c r="E1" s="1282"/>
      <c r="F1" s="1282"/>
      <c r="G1" s="1282"/>
      <c r="H1" s="1282"/>
      <c r="I1" s="1282"/>
      <c r="J1" s="1282"/>
      <c r="K1" s="1282"/>
      <c r="L1" s="1282"/>
      <c r="M1" s="1282"/>
      <c r="N1" s="1283"/>
      <c r="O1" s="1240" t="s">
        <v>244</v>
      </c>
      <c r="P1" s="1243" t="s">
        <v>560</v>
      </c>
      <c r="Q1" s="1240"/>
      <c r="S1" s="1246"/>
      <c r="T1" s="1246"/>
      <c r="U1" s="1246"/>
    </row>
    <row r="2" spans="1:21" s="548" customFormat="1" ht="15.75" thickBot="1">
      <c r="A2" s="1235"/>
      <c r="B2" s="1235"/>
      <c r="C2" s="1277" t="s">
        <v>197</v>
      </c>
      <c r="D2" s="1278"/>
      <c r="E2" s="1278"/>
      <c r="F2" s="1278"/>
      <c r="G2" s="1279"/>
      <c r="H2" s="1280" t="s">
        <v>245</v>
      </c>
      <c r="I2" s="1256" t="s">
        <v>246</v>
      </c>
      <c r="J2" s="1256" t="s">
        <v>234</v>
      </c>
      <c r="K2" s="1256" t="s">
        <v>247</v>
      </c>
      <c r="L2" s="1256" t="s">
        <v>127</v>
      </c>
      <c r="M2" s="1256" t="s">
        <v>876</v>
      </c>
      <c r="N2" s="1252" t="s">
        <v>877</v>
      </c>
      <c r="O2" s="1241"/>
      <c r="P2" s="1244"/>
      <c r="Q2" s="1241"/>
      <c r="S2" s="1246"/>
      <c r="T2" s="1246"/>
      <c r="U2" s="1246"/>
    </row>
    <row r="3" spans="1:21" s="548" customFormat="1" ht="53.45" customHeight="1" thickBot="1">
      <c r="A3" s="1236"/>
      <c r="B3" s="1245"/>
      <c r="C3" s="549" t="s">
        <v>199</v>
      </c>
      <c r="D3" s="1039" t="s">
        <v>200</v>
      </c>
      <c r="E3" s="550" t="s">
        <v>201</v>
      </c>
      <c r="F3" s="551" t="s">
        <v>203</v>
      </c>
      <c r="G3" s="552" t="s">
        <v>204</v>
      </c>
      <c r="H3" s="1251"/>
      <c r="I3" s="1257"/>
      <c r="J3" s="1257"/>
      <c r="K3" s="1257"/>
      <c r="L3" s="1257"/>
      <c r="M3" s="1257"/>
      <c r="N3" s="1253"/>
      <c r="O3" s="1242"/>
      <c r="P3" s="1245"/>
      <c r="Q3" s="1242"/>
      <c r="S3" s="1246"/>
      <c r="T3" s="1246"/>
      <c r="U3" s="1246"/>
    </row>
    <row r="4" spans="1:21" s="548" customFormat="1" ht="15.75" thickTop="1">
      <c r="A4" s="553" t="s">
        <v>249</v>
      </c>
      <c r="B4" s="554">
        <f>IF(ISERROR(kWh_wind_land),0,kWh_wind_land)</f>
        <v>0</v>
      </c>
      <c r="C4" s="1258"/>
      <c r="D4" s="1261"/>
      <c r="E4" s="1261"/>
      <c r="F4" s="1264"/>
      <c r="G4" s="1267"/>
      <c r="H4" s="1270"/>
      <c r="I4" s="1261"/>
      <c r="J4" s="1261"/>
      <c r="K4" s="1261"/>
      <c r="L4" s="1261"/>
      <c r="M4" s="1261"/>
      <c r="N4" s="1026"/>
      <c r="O4" s="555"/>
      <c r="P4" s="1273"/>
      <c r="Q4" s="1274"/>
      <c r="S4" s="1040"/>
      <c r="T4" s="1229"/>
      <c r="U4" s="1229"/>
    </row>
    <row r="5" spans="1:21" s="548" customFormat="1">
      <c r="A5" s="556" t="s">
        <v>250</v>
      </c>
      <c r="B5" s="554">
        <f>IF(ISERROR(kWh_waterkracht),0,kWh_waterkracht)</f>
        <v>0</v>
      </c>
      <c r="C5" s="1259"/>
      <c r="D5" s="1262"/>
      <c r="E5" s="1262"/>
      <c r="F5" s="1265"/>
      <c r="G5" s="1268"/>
      <c r="H5" s="1271"/>
      <c r="I5" s="1262"/>
      <c r="J5" s="1262"/>
      <c r="K5" s="1262"/>
      <c r="L5" s="1262"/>
      <c r="M5" s="1262"/>
      <c r="N5" s="1026"/>
      <c r="O5" s="557"/>
      <c r="P5" s="1254"/>
      <c r="Q5" s="1255"/>
      <c r="S5" s="1040"/>
      <c r="T5" s="1229"/>
      <c r="U5" s="1229"/>
    </row>
    <row r="6" spans="1:21" s="548" customFormat="1">
      <c r="A6" s="556" t="s">
        <v>251</v>
      </c>
      <c r="B6" s="554">
        <f>IF(ISERROR((kWh_PV_kleiner_dan_10kW+kWh_PV_groter_dan_10kW)),0,(kWh_PV_kleiner_dan_10kW+kWh_PV_groter_dan_10kW))</f>
        <v>1944.3438999999998</v>
      </c>
      <c r="C6" s="1259"/>
      <c r="D6" s="1262"/>
      <c r="E6" s="1262"/>
      <c r="F6" s="1265"/>
      <c r="G6" s="1268"/>
      <c r="H6" s="1271"/>
      <c r="I6" s="1262"/>
      <c r="J6" s="1262"/>
      <c r="K6" s="1262"/>
      <c r="L6" s="1262"/>
      <c r="M6" s="1262"/>
      <c r="N6" s="1026"/>
      <c r="O6" s="557"/>
      <c r="P6" s="1254"/>
      <c r="Q6" s="1255"/>
      <c r="S6" s="1040"/>
      <c r="T6" s="1229"/>
      <c r="U6" s="1229"/>
    </row>
    <row r="7" spans="1:21" s="548" customFormat="1">
      <c r="A7" s="556" t="s">
        <v>875</v>
      </c>
      <c r="B7" s="554"/>
      <c r="C7" s="1260"/>
      <c r="D7" s="1263"/>
      <c r="E7" s="1263"/>
      <c r="F7" s="1266"/>
      <c r="G7" s="1269"/>
      <c r="H7" s="1272"/>
      <c r="I7" s="1263"/>
      <c r="J7" s="1263"/>
      <c r="K7" s="1263"/>
      <c r="L7" s="1263"/>
      <c r="M7" s="1263"/>
      <c r="N7" s="1027"/>
      <c r="O7" s="557"/>
      <c r="P7" s="1037"/>
      <c r="Q7" s="1038"/>
      <c r="S7" s="1040"/>
      <c r="T7" s="1040"/>
      <c r="U7" s="1040"/>
    </row>
    <row r="8" spans="1:21" s="548" customFormat="1">
      <c r="A8" s="558" t="s">
        <v>252</v>
      </c>
      <c r="B8" s="559">
        <f>N58</f>
        <v>40.012499999999996</v>
      </c>
      <c r="C8" s="560">
        <f>B101</f>
        <v>0</v>
      </c>
      <c r="D8" s="1028"/>
      <c r="E8" s="1028">
        <f>E101</f>
        <v>0</v>
      </c>
      <c r="F8" s="1029"/>
      <c r="G8" s="561"/>
      <c r="H8" s="1028">
        <f>I101</f>
        <v>0</v>
      </c>
      <c r="I8" s="1028">
        <f>G101+F101</f>
        <v>0</v>
      </c>
      <c r="J8" s="1028">
        <f>H101+D101+C101</f>
        <v>47.07352941176471</v>
      </c>
      <c r="K8" s="1028"/>
      <c r="L8" s="1028"/>
      <c r="M8" s="1028"/>
      <c r="N8" s="562"/>
      <c r="O8" s="563">
        <f>C8*$C$12+D8*$D$12+E8*$E$12+F8*$F$12+G8*$G$12+H8*$H$12+I8*$I$12+J8*$J$12</f>
        <v>0</v>
      </c>
      <c r="P8" s="1254"/>
      <c r="Q8" s="1255"/>
      <c r="S8" s="1040"/>
      <c r="T8" s="1229"/>
      <c r="U8" s="1229"/>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75"/>
      <c r="Q9" s="1276"/>
      <c r="R9" s="570"/>
      <c r="S9" s="1040"/>
      <c r="T9" s="1229"/>
      <c r="U9" s="1229"/>
    </row>
    <row r="10" spans="1:21" s="548" customFormat="1" ht="16.5" thickTop="1" thickBot="1">
      <c r="A10" s="571" t="s">
        <v>116</v>
      </c>
      <c r="B10" s="572">
        <f>SUM(B4:B9)</f>
        <v>1984.3563999999999</v>
      </c>
      <c r="C10" s="573">
        <f t="shared" ref="C10:L10" si="0">SUM(C8:C9)</f>
        <v>0</v>
      </c>
      <c r="D10" s="573">
        <f t="shared" si="0"/>
        <v>0</v>
      </c>
      <c r="E10" s="573">
        <f t="shared" si="0"/>
        <v>0</v>
      </c>
      <c r="F10" s="573">
        <f t="shared" si="0"/>
        <v>0</v>
      </c>
      <c r="G10" s="573">
        <f t="shared" si="0"/>
        <v>0</v>
      </c>
      <c r="H10" s="573">
        <f t="shared" si="0"/>
        <v>0</v>
      </c>
      <c r="I10" s="573">
        <f t="shared" si="0"/>
        <v>0</v>
      </c>
      <c r="J10" s="573">
        <f t="shared" si="0"/>
        <v>47.07352941176471</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34" t="s">
        <v>253</v>
      </c>
      <c r="B14" s="1234" t="s">
        <v>254</v>
      </c>
      <c r="C14" s="1237" t="s">
        <v>255</v>
      </c>
      <c r="D14" s="1238"/>
      <c r="E14" s="1238"/>
      <c r="F14" s="1238"/>
      <c r="G14" s="1238"/>
      <c r="H14" s="1238"/>
      <c r="I14" s="1238"/>
      <c r="J14" s="1238"/>
      <c r="K14" s="1238"/>
      <c r="L14" s="1238"/>
      <c r="M14" s="1238"/>
      <c r="N14" s="1239"/>
      <c r="O14" s="1240" t="s">
        <v>244</v>
      </c>
      <c r="P14" s="1243" t="s">
        <v>256</v>
      </c>
      <c r="Q14" s="1240"/>
      <c r="R14" s="1246"/>
      <c r="S14" s="1246"/>
      <c r="T14" s="1246"/>
    </row>
    <row r="15" spans="1:21" s="548" customFormat="1" ht="15.75" customHeight="1" thickBot="1">
      <c r="A15" s="1235"/>
      <c r="B15" s="1235"/>
      <c r="C15" s="1247" t="s">
        <v>197</v>
      </c>
      <c r="D15" s="1248"/>
      <c r="E15" s="1248"/>
      <c r="F15" s="1248"/>
      <c r="G15" s="1249"/>
      <c r="H15" s="1250" t="s">
        <v>245</v>
      </c>
      <c r="I15" s="1250" t="s">
        <v>246</v>
      </c>
      <c r="J15" s="1250" t="s">
        <v>234</v>
      </c>
      <c r="K15" s="1250" t="s">
        <v>257</v>
      </c>
      <c r="L15" s="1250" t="s">
        <v>127</v>
      </c>
      <c r="M15" s="1250" t="s">
        <v>876</v>
      </c>
      <c r="N15" s="1252" t="s">
        <v>877</v>
      </c>
      <c r="O15" s="1241"/>
      <c r="P15" s="1244"/>
      <c r="Q15" s="1241"/>
      <c r="R15" s="1246"/>
      <c r="S15" s="1246"/>
      <c r="T15" s="1246"/>
    </row>
    <row r="16" spans="1:21" s="548" customFormat="1" ht="40.700000000000003" customHeight="1" thickBot="1">
      <c r="A16" s="1236"/>
      <c r="B16" s="1236"/>
      <c r="C16" s="581" t="s">
        <v>199</v>
      </c>
      <c r="D16" s="1039" t="s">
        <v>200</v>
      </c>
      <c r="E16" s="1002" t="s">
        <v>201</v>
      </c>
      <c r="F16" s="1039" t="s">
        <v>203</v>
      </c>
      <c r="G16" s="582" t="s">
        <v>204</v>
      </c>
      <c r="H16" s="1251"/>
      <c r="I16" s="1251"/>
      <c r="J16" s="1251"/>
      <c r="K16" s="1251"/>
      <c r="L16" s="1251"/>
      <c r="M16" s="1251"/>
      <c r="N16" s="1253"/>
      <c r="O16" s="1242"/>
      <c r="P16" s="1245"/>
      <c r="Q16" s="1242"/>
      <c r="R16" s="1246"/>
      <c r="S16" s="1246"/>
      <c r="T16" s="1246"/>
    </row>
    <row r="17" spans="1:26" s="548" customFormat="1" ht="15.75" thickTop="1">
      <c r="A17" s="583" t="s">
        <v>252</v>
      </c>
      <c r="B17" s="584">
        <f>O58</f>
        <v>57.160714285714278</v>
      </c>
      <c r="C17" s="585">
        <f>B102</f>
        <v>0</v>
      </c>
      <c r="D17" s="586"/>
      <c r="E17" s="586">
        <f>E102</f>
        <v>0</v>
      </c>
      <c r="F17" s="1034"/>
      <c r="G17" s="587"/>
      <c r="H17" s="585">
        <f>I102</f>
        <v>0</v>
      </c>
      <c r="I17" s="586">
        <f>G102+F102</f>
        <v>0</v>
      </c>
      <c r="J17" s="586">
        <f>H102+D102+C102</f>
        <v>67.247899159663874</v>
      </c>
      <c r="K17" s="586"/>
      <c r="L17" s="586"/>
      <c r="M17" s="586"/>
      <c r="N17" s="1035"/>
      <c r="O17" s="588">
        <f>C17*$C$22+E17*$E$22+H17*$H$22+I17*$I$22+J17*$J$22+D17*$D$22+F17*$F$22+G17*$G$22+K17*$K$22+L17*$L$22</f>
        <v>0</v>
      </c>
      <c r="P17" s="1232"/>
      <c r="Q17" s="1233"/>
      <c r="R17" s="1042"/>
      <c r="S17" s="1226"/>
      <c r="T17" s="1226"/>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27"/>
      <c r="Q18" s="1228"/>
      <c r="R18" s="1040"/>
      <c r="S18" s="1229"/>
      <c r="T18" s="1229"/>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30"/>
      <c r="Q19" s="1231"/>
      <c r="R19" s="1040"/>
      <c r="S19" s="1229"/>
      <c r="T19" s="1229"/>
    </row>
    <row r="20" spans="1:26" s="548" customFormat="1" ht="16.5" thickTop="1" thickBot="1">
      <c r="A20" s="571" t="s">
        <v>116</v>
      </c>
      <c r="B20" s="572">
        <f>SUM(B17:B19)</f>
        <v>57.160714285714278</v>
      </c>
      <c r="C20" s="572">
        <f>SUM(C17:C19)</f>
        <v>0</v>
      </c>
      <c r="D20" s="572">
        <f t="shared" ref="D20:L20" si="1">SUM(D17:D19)</f>
        <v>0</v>
      </c>
      <c r="E20" s="572">
        <f t="shared" si="1"/>
        <v>0</v>
      </c>
      <c r="F20" s="572">
        <f t="shared" si="1"/>
        <v>0</v>
      </c>
      <c r="G20" s="572">
        <f t="shared" si="1"/>
        <v>0</v>
      </c>
      <c r="H20" s="572">
        <f t="shared" si="1"/>
        <v>0</v>
      </c>
      <c r="I20" s="572">
        <f t="shared" si="1"/>
        <v>0</v>
      </c>
      <c r="J20" s="572">
        <f t="shared" si="1"/>
        <v>67.247899159663874</v>
      </c>
      <c r="K20" s="572">
        <f t="shared" si="1"/>
        <v>0</v>
      </c>
      <c r="L20" s="572">
        <f t="shared" si="1"/>
        <v>0</v>
      </c>
      <c r="M20" s="572"/>
      <c r="N20" s="572"/>
      <c r="O20" s="592">
        <f>SUM(O17:O19)</f>
        <v>0</v>
      </c>
      <c r="P20" s="1223"/>
      <c r="Q20" s="1224"/>
      <c r="R20" s="1040"/>
      <c r="S20" s="1225"/>
      <c r="T20" s="1225"/>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25.5">
      <c r="A28" s="596"/>
      <c r="B28" s="791">
        <v>43007</v>
      </c>
      <c r="C28" s="791">
        <v>9970</v>
      </c>
      <c r="D28" s="644" t="s">
        <v>910</v>
      </c>
      <c r="E28" s="643" t="s">
        <v>911</v>
      </c>
      <c r="F28" s="643" t="s">
        <v>912</v>
      </c>
      <c r="G28" s="643" t="s">
        <v>913</v>
      </c>
      <c r="H28" s="643" t="s">
        <v>914</v>
      </c>
      <c r="I28" s="643" t="s">
        <v>911</v>
      </c>
      <c r="J28" s="790">
        <v>41124</v>
      </c>
      <c r="K28" s="790">
        <v>41275</v>
      </c>
      <c r="L28" s="643" t="s">
        <v>915</v>
      </c>
      <c r="M28" s="643">
        <v>9.6999999999999993</v>
      </c>
      <c r="N28" s="643">
        <v>40.012499999999996</v>
      </c>
      <c r="O28" s="643">
        <v>57.160714285714278</v>
      </c>
      <c r="P28" s="643">
        <v>0</v>
      </c>
      <c r="Q28" s="643">
        <v>114.32142857142857</v>
      </c>
      <c r="R28" s="643">
        <v>0</v>
      </c>
      <c r="S28" s="643">
        <v>0</v>
      </c>
      <c r="T28" s="643">
        <v>0</v>
      </c>
      <c r="U28" s="643">
        <v>0</v>
      </c>
      <c r="V28" s="643">
        <v>0</v>
      </c>
      <c r="W28" s="643">
        <v>0</v>
      </c>
      <c r="X28" s="643">
        <v>10</v>
      </c>
      <c r="Y28" s="643" t="s">
        <v>112</v>
      </c>
      <c r="Z28" s="645" t="s">
        <v>112</v>
      </c>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9.6999999999999993</v>
      </c>
      <c r="N58" s="601">
        <f>SUM(N28:N57)</f>
        <v>40.012499999999996</v>
      </c>
      <c r="O58" s="601">
        <f t="shared" ref="O58:W58" si="2">SUM(O28:O57)</f>
        <v>57.160714285714278</v>
      </c>
      <c r="P58" s="601">
        <f t="shared" si="2"/>
        <v>0</v>
      </c>
      <c r="Q58" s="601">
        <f t="shared" si="2"/>
        <v>114.32142857142857</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9.6999999999999993</v>
      </c>
      <c r="N61" s="606">
        <f t="shared" si="4"/>
        <v>40.012499999999996</v>
      </c>
      <c r="O61" s="606">
        <f t="shared" si="4"/>
        <v>57.160714285714278</v>
      </c>
      <c r="P61" s="606">
        <f t="shared" si="4"/>
        <v>0</v>
      </c>
      <c r="Q61" s="606">
        <f t="shared" si="4"/>
        <v>114.32142857142857</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0.58823529411764708</v>
      </c>
      <c r="C98" s="626">
        <f>IF(ISERROR(N58/(O58+N58)),0,N58/(N58+O58))</f>
        <v>0.41176470588235298</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47.07352941176471</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67.247899159663874</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8" sqref="C28"/>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2019-07-04T14:27:27Z</dcterms:modified>
</cp:coreProperties>
</file>