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K22" i="14"/>
  <c r="N10" i="59"/>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K32"/>
  <c r="K28"/>
  <c r="K26"/>
  <c r="K29"/>
  <c r="K31"/>
  <c r="K30"/>
  <c r="K25"/>
  <c r="K24"/>
  <c r="K27"/>
  <c r="K22"/>
  <c r="B7"/>
  <c r="C24" i="14"/>
  <c r="C26" s="1"/>
  <c r="D30" i="48"/>
  <c r="D29"/>
  <c r="D28"/>
  <c r="D24"/>
  <c r="D31"/>
  <c r="D32"/>
  <c r="J27"/>
  <c r="J29"/>
  <c r="J32"/>
  <c r="J31"/>
  <c r="J30"/>
  <c r="J28"/>
  <c r="J24"/>
  <c r="O4"/>
  <c r="P11" i="14"/>
  <c r="I22" i="48"/>
  <c r="I31"/>
  <c r="I26"/>
  <c r="I32"/>
  <c r="I25"/>
  <c r="I27"/>
  <c r="I28"/>
  <c r="I24"/>
  <c r="I29"/>
  <c r="I30"/>
  <c r="K5"/>
  <c r="L10" i="14"/>
  <c r="L16" s="1"/>
  <c r="L27" s="1"/>
  <c r="L27" i="48"/>
  <c r="L32"/>
  <c r="L29"/>
  <c r="L30"/>
  <c r="L24"/>
  <c r="L28"/>
  <c r="L22"/>
  <c r="L31"/>
  <c r="P4"/>
  <c r="Q11" i="14"/>
  <c r="D11"/>
  <c r="C4" i="48"/>
  <c r="G32"/>
  <c r="G26"/>
  <c r="G30"/>
  <c r="G29"/>
  <c r="G22"/>
  <c r="G24"/>
  <c r="G25"/>
  <c r="G23"/>
  <c r="N46" i="14"/>
  <c r="M32" i="48"/>
  <c r="M25"/>
  <c r="M29"/>
  <c r="M26"/>
  <c r="M24"/>
  <c r="M22"/>
  <c r="M30"/>
  <c r="M23"/>
  <c r="P5"/>
  <c r="P23" s="1"/>
  <c r="Q10" i="14"/>
  <c r="E11"/>
  <c r="D4" i="48"/>
  <c r="D22" s="1"/>
  <c r="H29"/>
  <c r="H26"/>
  <c r="H32"/>
  <c r="H25"/>
  <c r="H24"/>
  <c r="H28"/>
  <c r="H22"/>
  <c r="H30"/>
  <c r="H23"/>
  <c r="C11" i="14"/>
  <c r="B4" i="48"/>
  <c r="F32"/>
  <c r="F27"/>
  <c r="F30"/>
  <c r="F31"/>
  <c r="F29"/>
  <c r="F28"/>
  <c r="F24"/>
  <c r="N32"/>
  <c r="N27"/>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K33" s="1"/>
  <c r="B9"/>
  <c r="C20" i="14"/>
  <c r="O5" i="48"/>
  <c r="O23" s="1"/>
  <c r="P10" i="14"/>
  <c r="Q16"/>
  <c r="Q27" s="1"/>
  <c r="Q63" s="1"/>
  <c r="E9" i="48"/>
  <c r="F20" i="14"/>
  <c r="F22" s="1"/>
  <c r="D9" i="48"/>
  <c r="D27" s="1"/>
  <c r="E20" i="14"/>
  <c r="E22" s="1"/>
  <c r="K24"/>
  <c r="K26" s="1"/>
  <c r="J7" i="48"/>
  <c r="J25" s="1"/>
  <c r="P22"/>
  <c r="P15"/>
  <c r="J10" i="14"/>
  <c r="J16" s="1"/>
  <c r="J27" s="1"/>
  <c r="I5" i="48"/>
  <c r="F4"/>
  <c r="F22" s="1"/>
  <c r="G11" i="14"/>
  <c r="M12" i="22"/>
  <c r="N18" i="14"/>
  <c r="M13" i="48"/>
  <c r="M31" s="1"/>
  <c r="O22"/>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M9"/>
  <c r="N20" i="14"/>
  <c r="E27" i="48"/>
  <c r="G31"/>
  <c r="Q13"/>
  <c r="H20" i="14"/>
  <c r="G9" i="48"/>
  <c r="O8"/>
  <c r="O26" s="1"/>
  <c r="O33" s="1"/>
  <c r="P13" i="14"/>
  <c r="P16" s="1"/>
  <c r="P27" s="1"/>
  <c r="I23" i="48"/>
  <c r="I33" s="1"/>
  <c r="I15"/>
  <c r="M10"/>
  <c r="M28" s="1"/>
  <c r="N19" i="14"/>
  <c r="N22" s="1"/>
  <c r="N27" s="1"/>
  <c r="N63" s="1"/>
  <c r="E7" i="48"/>
  <c r="E25" s="1"/>
  <c r="F24" i="14"/>
  <c r="F26" s="1"/>
  <c r="H19"/>
  <c r="G10" i="48"/>
  <c r="O15"/>
  <c r="P46" i="14"/>
  <c r="P61" s="1"/>
  <c r="P33" i="48"/>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E22"/>
  <c r="Q4"/>
  <c r="P63" i="14"/>
  <c r="R19"/>
  <c r="H22"/>
  <c r="H27" s="1"/>
  <c r="M27" i="48"/>
  <c r="M33" s="1"/>
  <c r="M15"/>
  <c r="E20" i="15"/>
  <c r="F40" i="14" s="1"/>
  <c r="E5" i="48"/>
  <c r="E23" s="1"/>
  <c r="F10" i="14"/>
  <c r="K10"/>
  <c r="J5" i="48"/>
  <c r="J23" s="1"/>
  <c r="G28"/>
  <c r="Q10"/>
  <c r="G27"/>
  <c r="G15"/>
  <c r="J22"/>
  <c r="M61" i="14"/>
  <c r="M27"/>
  <c r="E16"/>
  <c r="E27" s="1"/>
  <c r="E63" s="1"/>
  <c r="L15" i="48"/>
  <c r="R24" i="14"/>
  <c r="R26" s="1"/>
  <c r="L33" i="48"/>
  <c r="Q7"/>
  <c r="R10" i="14"/>
  <c r="D23" i="48"/>
  <c r="D33" s="1"/>
  <c r="D15"/>
  <c r="C16" i="14"/>
  <c r="C27" s="1"/>
  <c r="B3" i="6" s="1"/>
  <c r="B12" s="1"/>
  <c r="F23" i="48"/>
  <c r="N23"/>
  <c r="B15"/>
  <c r="F18" i="16"/>
  <c r="E18"/>
  <c r="E22" s="1"/>
  <c r="F43" i="14" s="1"/>
  <c r="N18" i="16"/>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J22" i="16"/>
  <c r="K43" i="14" s="1"/>
  <c r="K46" s="1"/>
  <c r="K61" s="1"/>
  <c r="K63" s="1"/>
  <c r="K13"/>
  <c r="J8" i="48"/>
  <c r="J26" s="1"/>
  <c r="F46" i="14"/>
  <c r="F61" s="1"/>
  <c r="E15" i="48"/>
  <c r="I63" i="14"/>
  <c r="J15" i="48"/>
  <c r="J33"/>
  <c r="F16" i="14"/>
  <c r="F27" s="1"/>
  <c r="F63" s="1"/>
  <c r="E8" i="48"/>
  <c r="E26" s="1"/>
  <c r="E33" s="1"/>
  <c r="F13" i="14"/>
  <c r="H63"/>
  <c r="G33" i="48"/>
  <c r="Q5"/>
  <c r="R20" i="14"/>
  <c r="R22"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G16" l="1"/>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<sst xmlns="http://schemas.openxmlformats.org/spreadsheetml/2006/main" count="2429" uniqueCount="910">
  <si>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</si>
  <si>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</si>
  <si>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</si>
  <si>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</si>
  <si>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</si>
  <si>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</si>
  <si>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</si>
  <si>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</si>
  <si>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</si>
  <si>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</si>
  <si>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</si>
  <si>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</si>
  <si>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</si>
  <si>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</si>
  <si>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</si>
  <si>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</si>
  <si>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</si>
  <si>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</si>
  <si>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</si>
  <si>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</si>
  <si>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</si>
  <si>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</si>
  <si>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</si>
  <si>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</si>
  <si>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</si>
  <si>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</si>
  <si>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</si>
  <si>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</si>
  <si>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</si>
  <si>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</si>
  <si>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</si>
  <si>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</si>
  <si>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</si>
  <si>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</si>
  <si>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</si>
  <si>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</si>
  <si>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</si>
  <si>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</si>
  <si>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</si>
  <si>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</si>
  <si>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</si>
  <si>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</si>
  <si>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</si>
  <si>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</si>
  <si>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</si>
  <si>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</si>
  <si>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</si>
  <si>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</si>
  <si>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</si>
  <si>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</si>
  <si>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</si>
  <si>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</si>
  <si>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</si>
  <si>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</si>
  <si>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</si>
  <si>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</si>
  <si>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</si>
  <si>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</si>
  <si>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</si>
  <si>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</si>
  <si>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</si>
  <si>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</si>
  <si>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</si>
  <si>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</si>
  <si>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</si>
  <si>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</si>
  <si>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</si>
  <si>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</si>
  <si>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</si>
  <si>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</si>
  <si>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</si>
  <si>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</si>
  <si>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</si>
  <si>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</si>
  <si>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</si>
  <si>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</si>
  <si>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</si>
  <si>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</si>
  <si>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</si>
  <si>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</si>
  <si>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</si>
  <si>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</si>
  <si>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</si>
  <si>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</si>
  <si>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</si>
  <si>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</si>
  <si>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</si>
  <si>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</si>
  <si>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</si>
  <si>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</si>
  <si>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</si>
  <si>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</si>
  <si>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</si>
  <si>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</si>
  <si>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</si>
  <si>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</si>
  <si>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</si>
  <si>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</si>
  <si>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</si>
  <si>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</si>
  <si>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</si>
  <si>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</si>
  <si>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</si>
  <si>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</si>
  <si>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</si>
  <si>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</si>
  <si>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</si>
  <si>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</si>
  <si>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</si>
  <si>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</si>
  <si>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</si>
  <si>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</si>
  <si>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</si>
  <si>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</si>
  <si>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</si>
  <si>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</si>
  <si>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</si>
  <si>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</si>
  <si>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</si>
  <si>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</si>
  <si>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</si>
  <si>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</si>
  <si>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</si>
  <si>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</si>
  <si>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</si>
  <si>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</si>
  <si>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</si>
  <si>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</si>
  <si>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</si>
  <si>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</si>
  <si>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</si>
  <si>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</si>
  <si>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</si>
  <si>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</si>
  <si>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</si>
  <si>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</si>
  <si>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</si>
  <si>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</si>
  <si>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</si>
  <si>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</si>
  <si>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</si>
  <si>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</si>
  <si>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</si>
  <si>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</si>
  <si>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</si>
  <si>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</si>
  <si>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</si>
  <si>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</si>
  <si>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</si>
  <si>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</si>
  <si>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</si>
  <si>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</si>
  <si>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</si>
  <si>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</si>
  <si>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</si>
  <si>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</si>
  <si>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</si>
  <si>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</si>
  <si>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</si>
  <si>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</si>
  <si>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</si>
  <si>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</si>
  <si>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</si>
  <si>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</si>
  <si>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</si>
  <si>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</si>
  <si>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</si>
  <si>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</si>
  <si>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</si>
  <si>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</si>
  <si>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</si>
  <si>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</si>
  <si>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</si>
  <si>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</si>
  <si>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</si>
  <si>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</si>
  <si>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</si>
  <si>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</si>
  <si>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</si>
  <si>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</si>
  <si>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</si>
  <si>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</si>
  <si>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</si>
  <si>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</si>
  <si>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</si>
  <si>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</si>
  <si>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</si>
  <si>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</si>
  <si>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</si>
  <si>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</si>
  <si>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</si>
  <si>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</si>
  <si>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</si>
  <si>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</si>
  <si>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</si>
  <si>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</si>
  <si>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</si>
  <si>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</si>
  <si>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</si>
  <si>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</si>
  <si>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</si>
  <si>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</si>
  <si>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</si>
  <si>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</si>
  <si>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</si>
  <si>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</si>
  <si>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</si>
  <si>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</si>
  <si>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</si>
  <si>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</si>
  <si>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</si>
  <si>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</si>
  <si>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</si>
  <si>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</si>
  <si>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</si>
  <si>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</si>
  <si>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</si>
  <si>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</si>
  <si>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</si>
  <si>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</si>
  <si>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</si>
  <si>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</si>
  <si>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</si>
  <si>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</si>
  <si>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</si>
  <si>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</si>
  <si>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</si>
  <si>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</si>
  <si>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</si>
  <si>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</si>
  <si>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</si>
  <si>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</si>
  <si>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</si>
  <si>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</si>
  <si>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</si>
  <si>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</si>
  <si>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</si>
  <si>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</si>
  <si>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</si>
  <si>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</si>
  <si>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</si>
  <si>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</si>
  <si>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</si>
  <si>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</si>
  <si>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</si>
  <si>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</si>
  <si>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</si>
  <si>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</si>
  <si>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</si>
  <si>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</si>
  <si>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</si>
  <si>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</si>
  <si>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</si>
  <si>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</si>
  <si>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</si>
  <si>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</si>
  <si>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</si>
  <si>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</si>
  <si>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</si>
  <si>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</si>
  <si>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</si>
  <si>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</si>
  <si>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</si>
  <si>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</si>
  <si>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</si>
  <si>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</si>
  <si>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</si>
  <si>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</si>
  <si>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</si>
  <si>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</si>
  <si>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</si>
  <si>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</si>
  <si>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</si>
  <si>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</si>
  <si>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</si>
  <si>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</si>
  <si>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</si>
  <si>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</si>
  <si>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</si>
  <si>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</si>
  <si>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</si>
  <si>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</si>
  <si>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</si>
  <si>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</si>
  <si>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</si>
  <si>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</si>
  <si>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</si>
  <si>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</si>
  <si>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</si>
  <si>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</si>
  <si>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</si>
  <si>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</si>
  <si>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</si>
  <si>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</si>
  <si>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</si>
  <si>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</si>
  <si>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</si>
  <si>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</si>
  <si>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</si>
  <si>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</si>
  <si>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</si>
  <si>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</si>
  <si>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</si>
  <si>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</si>
  <si>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</si>
  <si>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</si>
  <si>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</si>
  <si>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</si>
  <si>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</si>
  <si>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</si>
  <si>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</si>
  <si>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</si>
  <si>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</si>
  <si>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</si>
  <si>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</si>
  <si>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</si>
  <si>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</si>
  <si>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</si>
  <si>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</si>
  <si>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</si>
  <si>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</si>
  <si>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</si>
  <si>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</si>
  <si>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</si>
  <si>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</si>
  <si>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</si>
  <si>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</si>
  <si>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</si>
  <si>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</si>
  <si>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</si>
  <si>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</si>
  <si>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</si>
  <si>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</si>
  <si>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</si>
  <si>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</si>
  <si>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</si>
  <si>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</si>
  <si>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</si>
  <si>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</si>
  <si>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</si>
  <si>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</si>
  <si>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</si>
  <si>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</si>
  <si>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</si>
  <si>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</si>
  <si>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</si>
  <si>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</si>
  <si>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</si>
  <si>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</si>
  <si>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</si>
  <si>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</si>
  <si>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</si>
  <si>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</si>
  <si>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</si>
  <si>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</si>
  <si>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</si>
  <si>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</si>
  <si>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</si>
  <si>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</si>
  <si>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</si>
  <si>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</si>
  <si>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</si>
  <si>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</si>
  <si>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</si>
  <si>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</si>
  <si>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</si>
  <si>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</si>
  <si>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</si>
  <si>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</si>
  <si>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</si>
  <si>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</si>
  <si>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</si>
  <si>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</si>
  <si>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</si>
  <si>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</si>
  <si>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</si>
  <si>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</si>
  <si>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</si>
  <si>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</si>
  <si>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</si>
  <si>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</si>
  <si>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</si>
  <si>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</si>
  <si>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</si>
  <si>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</si>
  <si>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</si>
  <si>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</si>
  <si>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</si>
  <si>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</si>
  <si>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</si>
  <si>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</si>
  <si>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</si>
  <si>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</si>
  <si>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</si>
  <si>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</si>
  <si>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</si>
  <si>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</si>
  <si>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</si>
  <si>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</si>
  <si>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</si>
  <si>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</si>
  <si>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</si>
  <si>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</si>
  <si>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</si>
  <si>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</si>
  <si>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</si>
  <si>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</si>
  <si>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</si>
  <si>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</si>
  <si>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</si>
  <si>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</si>
  <si>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</si>
  <si>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</si>
  <si>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</si>
  <si>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</si>
  <si>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</si>
  <si>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</si>
  <si>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</si>
  <si>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</si>
  <si>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</si>
  <si>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</si>
  <si>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</si>
  <si>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</si>
  <si>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</si>
  <si>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</si>
  <si>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</si>
  <si>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</si>
  <si>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</si>
  <si>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</si>
  <si>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</si>
  <si>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</si>
  <si>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</si>
  <si>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</si>
  <si>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</si>
  <si>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</si>
  <si>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</si>
  <si>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</si>
  <si>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</si>
  <si>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</si>
  <si>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</si>
  <si>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</si>
  <si>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</si>
  <si>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</si>
  <si>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</si>
  <si>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</si>
  <si>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</si>
  <si>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</si>
  <si>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</si>
  <si>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</si>
  <si>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</si>
  <si>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</si>
  <si>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</si>
  <si>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</si>
  <si>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</si>
  <si>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</si>
  <si>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</si>
  <si>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</si>
  <si>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</si>
  <si>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</si>
  <si>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</si>
  <si>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</si>
  <si>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</si>
  <si>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</si>
  <si>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</si>
  <si>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</si>
  <si>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</si>
  <si>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</si>
  <si>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</si>
  <si>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</si>
  <si>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</si>
  <si>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</si>
  <si>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</si>
  <si>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</si>
  <si>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</si>
  <si>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</si>
  <si>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</si>
  <si>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</si>
  <si>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</si>
  <si>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</si>
  <si>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</si>
  <si>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</si>
  <si>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</si>
  <si>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</si>
  <si>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</si>
  <si>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</si>
  <si>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</si>
  <si>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</si>
  <si>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</si>
  <si>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</si>
  <si>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</si>
  <si>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</si>
  <si>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</si>
  <si>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</si>
  <si>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</si>
  <si>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</si>
  <si>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</si>
  <si>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</si>
  <si>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</si>
  <si>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</si>
  <si>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</si>
  <si>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</si>
  <si>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</si>
  <si>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</si>
  <si>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</si>
  <si>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</si>
  <si>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</si>
  <si>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</si>
  <si>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</si>
  <si>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</si>
  <si>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</si>
  <si>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</si>
  <si>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</si>
  <si>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</si>
  <si>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</si>
  <si>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</si>
  <si>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</si>
  <si>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</si>
  <si>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</si>
  <si>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</si>
  <si>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</si>
  <si>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</si>
  <si>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</si>
  <si>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</si>
  <si>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</si>
  <si>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</si>
  <si>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</si>
  <si>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</si>
  <si>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</si>
  <si>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</si>
  <si>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</si>
  <si>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</si>
  <si>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</si>
  <si>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</si>
  <si>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</si>
  <si>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</si>
  <si>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</si>
  <si>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</si>
  <si>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</si>
  <si>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</si>
  <si>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</si>
  <si>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</si>
  <si>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</si>
  <si>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</si>
  <si>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</si>
  <si>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</si>
  <si>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</si>
  <si>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</si>
  <si>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</si>
  <si>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</si>
  <si>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</si>
  <si>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</si>
  <si>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</si>
  <si>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</si>
  <si>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</si>
  <si>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</si>
  <si>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</si>
  <si>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</si>
  <si>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</si>
  <si>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</si>
  <si>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</si>
  <si>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</si>
  <si>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</si>
  <si>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</si>
  <si>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</si>
  <si>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</si>
  <si>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</si>
  <si>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</si>
  <si>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</si>
  <si>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</si>
  <si>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</si>
  <si>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</si>
  <si>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</si>
  <si>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</si>
  <si>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</si>
  <si>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</si>
  <si>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</si>
  <si>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</si>
  <si>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</si>
  <si>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</si>
  <si>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</si>
  <si>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</si>
  <si>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</si>
  <si>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</si>
  <si>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</si>
  <si>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</si>
  <si>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</si>
  <si>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</si>
  <si>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</si>
  <si>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</si>
  <si>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</si>
  <si>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</si>
  <si>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</si>
  <si>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</si>
  <si>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</si>
  <si>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</si>
  <si>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</si>
  <si>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</si>
  <si>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</si>
  <si>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</si>
  <si>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</si>
  <si>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</si>
  <si>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</si>
  <si>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</si>
  <si>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</si>
  <si>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</si>
  <si>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</si>
  <si>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</si>
  <si>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</si>
  <si>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</si>
  <si>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</si>
  <si>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</si>
  <si>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</si>
  <si>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</si>
  <si>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</si>
  <si>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</si>
  <si>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</si>
  <si>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</si>
  <si>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</si>
  <si>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</si>
  <si>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</si>
  <si>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</si>
  <si>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</si>
  <si>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</si>
  <si>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</si>
  <si>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</si>
  <si>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</si>
  <si>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</si>
  <si>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</si>
  <si>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</si>
  <si>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</si>
  <si>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</si>
  <si>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</si>
  <si>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</si>
  <si>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</si>
  <si>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</si>
  <si>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</si>
  <si>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</si>
  <si>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</si>
  <si>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</si>
  <si>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</si>
  <si>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</si>
  <si>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</si>
  <si>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</si>
  <si>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</si>
  <si>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</si>
  <si>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</si>
  <si>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</si>
  <si>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</si>
  <si>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</si>
  <si>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</si>
  <si>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</si>
  <si>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</si>
  <si>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</si>
  <si>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</si>
  <si>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</si>
  <si>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</si>
  <si>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</si>
  <si>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</si>
  <si>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</si>
  <si>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</si>
  <si>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</si>
  <si>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</si>
  <si>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</si>
  <si>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</si>
  <si>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</si>
  <si>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</si>
  <si>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</si>
  <si>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</si>
  <si>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</si>
  <si>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</si>
  <si>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</si>
  <si>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</si>
  <si>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</si>
  <si>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</si>
  <si>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</si>
  <si>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</si>
  <si>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</si>
  <si>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</si>
  <si>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</si>
  <si>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</si>
  <si>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</si>
  <si>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</si>
  <si>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</si>
  <si>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</si>
  <si>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</si>
  <si>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</si>
  <si>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</si>
  <si>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</si>
  <si>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</si>
  <si>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</si>
  <si>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</si>
  <si>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</si>
  <si>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</si>
  <si>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</si>
  <si>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</si>
  <si>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</si>
  <si>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</si>
  <si>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</si>
  <si>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</si>
  <si>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</si>
  <si>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</si>
  <si>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</si>
  <si>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</si>
  <si>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</si>
  <si>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</si>
  <si>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</si>
  <si>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</si>
  <si>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</si>
  <si>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</si>
  <si>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</si>
  <si>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</si>
  <si>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</si>
  <si>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</si>
  <si>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</si>
  <si>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</si>
  <si>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</si>
  <si>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</si>
  <si>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</si>
  <si>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</si>
  <si>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</si>
  <si>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</si>
  <si>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</si>
  <si>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</si>
  <si>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</si>
  <si>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</si>
  <si>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</si>
  <si>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</si>
  <si>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</si>
  <si>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</si>
  <si>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</si>
  <si>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</si>
  <si>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</si>
  <si>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</si>
  <si>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</si>
  <si>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</si>
  <si>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</si>
  <si>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</si>
  <si>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</si>
  <si>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</si>
  <si>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</si>
  <si>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</si>
  <si>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</si>
  <si>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</si>
  <si>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</si>
  <si>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</si>
  <si>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</si>
  <si>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</si>
  <si>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</si>
  <si>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</si>
  <si>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</si>
  <si>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</si>
  <si>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</si>
  <si>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</si>
  <si>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</si>
  <si>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</si>
  <si>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</si>
  <si>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</si>
  <si>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</si>
  <si>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</si>
  <si>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</si>
  <si>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</si>
  <si>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</si>
  <si>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</si>
  <si>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</si>
  <si>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</si>
  <si>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</si>
  <si>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</si>
  <si>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</si>
  <si>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</si>
  <si>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</si>
  <si>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</si>
  <si>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</si>
  <si>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</si>
  <si>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</si>
  <si>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</si>
  <si>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</si>
  <si>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</si>
  <si>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</si>
  <si>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</si>
  <si>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</si>
  <si>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</si>
  <si>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</si>
  <si>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</si>
  <si>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</si>
  <si>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</si>
  <si>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</si>
  <si>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</si>
  <si>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</si>
  <si>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</si>
  <si>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</si>
  <si>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</si>
  <si>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</si>
  <si>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</si>
  <si>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</si>
  <si>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</si>
  <si>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</si>
  <si>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</si>
  <si>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</si>
  <si>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</si>
  <si>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</si>
  <si>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</si>
  <si>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</si>
  <si>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</si>
  <si>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</si>
  <si>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</si>
  <si>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</si>
  <si>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</si>
  <si>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</si>
  <si>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</si>
  <si>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</si>
  <si>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</si>
  <si>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</si>
  <si>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</si>
  <si>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</si>
  <si>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</si>
  <si>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</si>
  <si>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</si>
  <si>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</si>
  <si>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</si>
  <si>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</si>
  <si>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</si>
  <si>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</si>
  <si>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</si>
  <si>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</si>
  <si>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</si>
  <si>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</si>
  <si>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</si>
  <si>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</si>
  <si>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</si>
  <si>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</si>
  <si>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</si>
  <si>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</si>
  <si>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</si>
  <si>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</si>
  <si>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</si>
  <si>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</si>
  <si>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</si>
  <si>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</si>
  <si>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</si>
  <si>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</si>
  <si>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</si>
  <si>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</si>
  <si>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</si>
  <si>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</si>
  <si>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</si>
  <si>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</si>
  <si>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</si>
  <si>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</si>
  <si>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</si>
  <si>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</si>
  <si>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</si>
  <si>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</si>
  <si>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</si>
  <si>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</si>
  <si>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</si>
  <si>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</si>
  <si>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</si>
  <si>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</si>
  <si>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</si>
  <si>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</si>
  <si>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</si>
  <si>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</si>
  <si>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</si>
  <si>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</si>
  <si>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</si>
  <si>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</si>
  <si>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</si>
  <si>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</si>
  <si>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</si>
  <si>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</si>
  <si>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</si>
  <si>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</si>
  <si>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</si>
  <si>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</si>
  <si>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</si>
  <si>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</si>
  <si>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</si>
  <si>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</si>
  <si>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</si>
  <si>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</si>
  <si>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</si>
  <si>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</si>
  <si>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</si>
  <si>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</si>
  <si>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</si>
  <si>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</si>
  <si>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</si>
  <si>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</si>
  <si>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</si>
  <si>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</si>
  <si>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</si>
  <si>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</si>
  <si>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</si>
  <si>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</si>
  <si>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</si>
  <si>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</si>
  <si>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</si>
  <si>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</si>
  <si>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</si>
  <si>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</si>
  <si>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</si>
  <si>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</si>
  <si>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</si>
  <si>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41011</t>
  </si>
  <si>
    <t>DENDERLEEUW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</si>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</sst>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152150.91846247055</c:v>
                </c:pt>
                <c:pt idx="1">
                  <c:v>139193.89286726038</c:v>
                </c:pt>
                <c:pt idx="2">
                  <c:v>1236.528</c:v>
                </c:pt>
                <c:pt idx="3">
                  <c:v>265.1954531578794</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152150.91846247055</c:v>
                </c:pt>
                <c:pt idx="1">
                  <c:v>139193.89286726038</c:v>
                </c:pt>
                <c:pt idx="2">
                  <c:v>1236.528</c:v>
                </c:pt>
                <c:pt idx="3">
                  <c:v>265.1954531578794</c:v>
                </c:pt>
                <c:pt idx="4">
                  <c:v>33589.686583361923</c:v>
                </c:pt>
                <c:pt idx="5">
                  <c:v>51894.275706776003</c:v>
                </c:pt>
                <c:pt idx="6">
                  <c:v>941.67258162874532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30986.877692078844</c:v>
                </c:pt>
                <c:pt idx="2">
                  <c:v>28157.595739216471</c:v>
                </c:pt>
                <c:pt idx="3">
                  <c:v>259.66001502616365</c:v>
                </c:pt>
                <c:pt idx="4">
                  <c:v>68.253151326329089</c:v>
                </c:pt>
                <c:pt idx="5">
                  <c:v>6549.440657202309</c:v>
                </c:pt>
                <c:pt idx="6">
                  <c:v>13083.482182215215</c:v>
                </c:pt>
                <c:pt idx="7">
                  <c:v>240.72112220661157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30986.877692078844</c:v>
                </c:pt>
                <c:pt idx="2">
                  <c:v>28157.595739216471</c:v>
                </c:pt>
                <c:pt idx="3">
                  <c:v>259.66001502616365</c:v>
                </c:pt>
                <c:pt idx="4">
                  <c:v>68.253151326329089</c:v>
                </c:pt>
                <c:pt idx="5">
                  <c:v>6549.440657202309</c:v>
                </c:pt>
                <c:pt idx="6">
                  <c:v>13083.482182215215</c:v>
                </c:pt>
                <c:pt idx="7">
                  <c:v>240.72112220661157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41011</v>
      </c>
      <c r="B6" s="398"/>
      <c r="C6" s="399"/>
    </row>
    <row r="7" spans="1:7" s="396" customFormat="1" ht="15.75" customHeight="1">
      <c r="A7" s="400" t="str">
        <f>txtMunicipality</f>
        <v>DENDERLEEUW</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14995.580340451199</v>
      </c>
      <c r="D10" s="690">
        <f ca="1">tertiair!C16</f>
        <v>0</v>
      </c>
      <c r="E10" s="690">
        <f ca="1">tertiair!D16</f>
        <v>121234.89822109891</v>
      </c>
      <c r="F10" s="690">
        <f>tertiair!E16</f>
        <v>186.41459586138077</v>
      </c>
      <c r="G10" s="690">
        <f ca="1">tertiair!F16</f>
        <v>2758.6145699132976</v>
      </c>
      <c r="H10" s="690">
        <f>tertiair!G16</f>
        <v>0</v>
      </c>
      <c r="I10" s="690">
        <f>tertiair!H16</f>
        <v>0</v>
      </c>
      <c r="J10" s="690">
        <f>tertiair!I16</f>
        <v>0</v>
      </c>
      <c r="K10" s="690">
        <f>tertiair!J16</f>
        <v>0</v>
      </c>
      <c r="L10" s="690">
        <f>tertiair!K16</f>
        <v>0</v>
      </c>
      <c r="M10" s="690">
        <f ca="1">tertiair!L16</f>
        <v>0</v>
      </c>
      <c r="N10" s="690">
        <f>tertiair!M16</f>
        <v>0</v>
      </c>
      <c r="O10" s="690">
        <f ca="1">tertiair!N16</f>
        <v>1080.1864732689201</v>
      </c>
      <c r="P10" s="690">
        <f>tertiair!O16</f>
        <v>3.1266666666666669</v>
      </c>
      <c r="Q10" s="691">
        <f>tertiair!P16</f>
        <v>171.6</v>
      </c>
      <c r="R10" s="693">
        <f ca="1">SUM(C10:Q10)</f>
        <v>140430.4208672604</v>
      </c>
      <c r="S10" s="67"/>
    </row>
    <row r="11" spans="1:19" s="458" customFormat="1">
      <c r="A11" s="805" t="s">
        <v>225</v>
      </c>
      <c r="B11" s="810"/>
      <c r="C11" s="690">
        <f>huishoudens!B8</f>
        <v>35091.349016689899</v>
      </c>
      <c r="D11" s="690">
        <f>huishoudens!C8</f>
        <v>0</v>
      </c>
      <c r="E11" s="690">
        <f>huishoudens!D8</f>
        <v>80093.61046522946</v>
      </c>
      <c r="F11" s="690">
        <f>huishoudens!E8</f>
        <v>5824.4349850485842</v>
      </c>
      <c r="G11" s="690">
        <f>huishoudens!F8</f>
        <v>22909.912656888013</v>
      </c>
      <c r="H11" s="690">
        <f>huishoudens!G8</f>
        <v>0</v>
      </c>
      <c r="I11" s="690">
        <f>huishoudens!H8</f>
        <v>0</v>
      </c>
      <c r="J11" s="690">
        <f>huishoudens!I8</f>
        <v>0</v>
      </c>
      <c r="K11" s="690">
        <f>huishoudens!J8</f>
        <v>0</v>
      </c>
      <c r="L11" s="690">
        <f>huishoudens!K8</f>
        <v>0</v>
      </c>
      <c r="M11" s="690">
        <f>huishoudens!L8</f>
        <v>0</v>
      </c>
      <c r="N11" s="690">
        <f>huishoudens!M8</f>
        <v>0</v>
      </c>
      <c r="O11" s="690">
        <f>huishoudens!N8</f>
        <v>7798.3513386145814</v>
      </c>
      <c r="P11" s="690">
        <f>huishoudens!O8</f>
        <v>128.19333333333336</v>
      </c>
      <c r="Q11" s="691">
        <f>huishoudens!P8</f>
        <v>305.06666666666666</v>
      </c>
      <c r="R11" s="693">
        <f>SUM(C11:Q11)</f>
        <v>152150.91846247055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19106.236933578228</v>
      </c>
      <c r="D13" s="690">
        <f>industrie!C18</f>
        <v>0</v>
      </c>
      <c r="E13" s="690">
        <f>industrie!D18</f>
        <v>3367.2392093892036</v>
      </c>
      <c r="F13" s="690">
        <f>industrie!E18</f>
        <v>1441.2341284113431</v>
      </c>
      <c r="G13" s="690">
        <f>industrie!F18</f>
        <v>5674.515800684987</v>
      </c>
      <c r="H13" s="690">
        <f>industrie!G18</f>
        <v>0</v>
      </c>
      <c r="I13" s="690">
        <f>industrie!H18</f>
        <v>0</v>
      </c>
      <c r="J13" s="690">
        <f>industrie!I18</f>
        <v>0</v>
      </c>
      <c r="K13" s="690">
        <f>industrie!J18</f>
        <v>41.979082714311872</v>
      </c>
      <c r="L13" s="690">
        <f>industrie!K18</f>
        <v>0</v>
      </c>
      <c r="M13" s="690">
        <f>industrie!L18</f>
        <v>0</v>
      </c>
      <c r="N13" s="690">
        <f>industrie!M18</f>
        <v>0</v>
      </c>
      <c r="O13" s="690">
        <f>industrie!N18</f>
        <v>3958.4814285838511</v>
      </c>
      <c r="P13" s="690">
        <f>industrie!O18</f>
        <v>0</v>
      </c>
      <c r="Q13" s="691">
        <f>industrie!P18</f>
        <v>0</v>
      </c>
      <c r="R13" s="693">
        <f>SUM(C13:Q13)</f>
        <v>33589.686583361923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69193.166290719324</v>
      </c>
      <c r="D16" s="725">
        <f t="shared" ref="D16:R16" ca="1" si="0">SUM(D9:D15)</f>
        <v>0</v>
      </c>
      <c r="E16" s="725">
        <f t="shared" ca="1" si="0"/>
        <v>204695.74789571756</v>
      </c>
      <c r="F16" s="725">
        <f t="shared" si="0"/>
        <v>7452.0837093213086</v>
      </c>
      <c r="G16" s="725">
        <f t="shared" ca="1" si="0"/>
        <v>31343.043027486296</v>
      </c>
      <c r="H16" s="725">
        <f t="shared" si="0"/>
        <v>0</v>
      </c>
      <c r="I16" s="725">
        <f t="shared" si="0"/>
        <v>0</v>
      </c>
      <c r="J16" s="725">
        <f t="shared" si="0"/>
        <v>0</v>
      </c>
      <c r="K16" s="725">
        <f t="shared" si="0"/>
        <v>41.979082714311872</v>
      </c>
      <c r="L16" s="725">
        <f t="shared" si="0"/>
        <v>0</v>
      </c>
      <c r="M16" s="725">
        <f t="shared" ca="1" si="0"/>
        <v>0</v>
      </c>
      <c r="N16" s="725">
        <f t="shared" si="0"/>
        <v>0</v>
      </c>
      <c r="O16" s="725">
        <f t="shared" ca="1" si="0"/>
        <v>12837.019240467353</v>
      </c>
      <c r="P16" s="725">
        <f t="shared" si="0"/>
        <v>131.32000000000002</v>
      </c>
      <c r="Q16" s="725">
        <f t="shared" si="0"/>
        <v>476.66666666666663</v>
      </c>
      <c r="R16" s="725">
        <f t="shared" ca="1" si="0"/>
        <v>326171.02591309289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901.57723672888221</v>
      </c>
      <c r="I19" s="690">
        <f>transport!H54</f>
        <v>0</v>
      </c>
      <c r="J19" s="690">
        <f>transport!I54</f>
        <v>0</v>
      </c>
      <c r="K19" s="690">
        <f>transport!J54</f>
        <v>0</v>
      </c>
      <c r="L19" s="690">
        <f>transport!K54</f>
        <v>0</v>
      </c>
      <c r="M19" s="690">
        <f>transport!L54</f>
        <v>0</v>
      </c>
      <c r="N19" s="690">
        <f>transport!M54</f>
        <v>40.095344899863079</v>
      </c>
      <c r="O19" s="690">
        <f>transport!N54</f>
        <v>0</v>
      </c>
      <c r="P19" s="690">
        <f>transport!O54</f>
        <v>0</v>
      </c>
      <c r="Q19" s="691">
        <f>transport!P54</f>
        <v>0</v>
      </c>
      <c r="R19" s="693">
        <f>SUM(C19:Q19)</f>
        <v>941.67258162874532</v>
      </c>
      <c r="S19" s="67"/>
    </row>
    <row r="20" spans="1:19" s="458" customFormat="1">
      <c r="A20" s="805" t="s">
        <v>307</v>
      </c>
      <c r="B20" s="810"/>
      <c r="C20" s="690">
        <f>transport!B14</f>
        <v>3.2197040384362743</v>
      </c>
      <c r="D20" s="690">
        <f>transport!C14</f>
        <v>0</v>
      </c>
      <c r="E20" s="690">
        <f>transport!D14</f>
        <v>6.239440120092393</v>
      </c>
      <c r="F20" s="690">
        <f>transport!E14</f>
        <v>190.23923016149209</v>
      </c>
      <c r="G20" s="690">
        <f>transport!F14</f>
        <v>0</v>
      </c>
      <c r="H20" s="690">
        <f>transport!G14</f>
        <v>40188.624795645199</v>
      </c>
      <c r="I20" s="690">
        <f>transport!H14</f>
        <v>9269.0706026886019</v>
      </c>
      <c r="J20" s="690">
        <f>transport!I14</f>
        <v>0</v>
      </c>
      <c r="K20" s="690">
        <f>transport!J14</f>
        <v>0</v>
      </c>
      <c r="L20" s="690">
        <f>transport!K14</f>
        <v>0</v>
      </c>
      <c r="M20" s="690">
        <f>transport!L14</f>
        <v>0</v>
      </c>
      <c r="N20" s="690">
        <f>transport!M14</f>
        <v>2236.8819341221811</v>
      </c>
      <c r="O20" s="690">
        <f>transport!N14</f>
        <v>0</v>
      </c>
      <c r="P20" s="690">
        <f>transport!O14</f>
        <v>0</v>
      </c>
      <c r="Q20" s="691">
        <f>transport!P14</f>
        <v>0</v>
      </c>
      <c r="R20" s="693">
        <f>SUM(C20:Q20)</f>
        <v>51894.275706776003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3.2197040384362743</v>
      </c>
      <c r="D22" s="808">
        <f t="shared" ref="D22:R22" si="1">SUM(D18:D21)</f>
        <v>0</v>
      </c>
      <c r="E22" s="808">
        <f t="shared" si="1"/>
        <v>6.239440120092393</v>
      </c>
      <c r="F22" s="808">
        <f t="shared" si="1"/>
        <v>190.23923016149209</v>
      </c>
      <c r="G22" s="808">
        <f t="shared" si="1"/>
        <v>0</v>
      </c>
      <c r="H22" s="808">
        <f t="shared" si="1"/>
        <v>41090.20203237408</v>
      </c>
      <c r="I22" s="808">
        <f t="shared" si="1"/>
        <v>9269.0706026886019</v>
      </c>
      <c r="J22" s="808">
        <f t="shared" si="1"/>
        <v>0</v>
      </c>
      <c r="K22" s="808">
        <f t="shared" si="1"/>
        <v>0</v>
      </c>
      <c r="L22" s="808">
        <f t="shared" si="1"/>
        <v>0</v>
      </c>
      <c r="M22" s="808">
        <f t="shared" si="1"/>
        <v>0</v>
      </c>
      <c r="N22" s="808">
        <f t="shared" si="1"/>
        <v>2276.9772790220441</v>
      </c>
      <c r="O22" s="808">
        <f t="shared" si="1"/>
        <v>0</v>
      </c>
      <c r="P22" s="808">
        <f t="shared" si="1"/>
        <v>0</v>
      </c>
      <c r="Q22" s="808">
        <f t="shared" si="1"/>
        <v>0</v>
      </c>
      <c r="R22" s="808">
        <f t="shared" si="1"/>
        <v>52835.948288404747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57.485721123388103</v>
      </c>
      <c r="D24" s="690">
        <f>+landbouw!C8</f>
        <v>0</v>
      </c>
      <c r="E24" s="690">
        <f>+landbouw!D8</f>
        <v>0</v>
      </c>
      <c r="F24" s="690">
        <f>+landbouw!E8</f>
        <v>0.72439414282074077</v>
      </c>
      <c r="G24" s="690">
        <f>+landbouw!F8</f>
        <v>198.34013890932744</v>
      </c>
      <c r="H24" s="690">
        <f>+landbouw!G8</f>
        <v>0</v>
      </c>
      <c r="I24" s="690">
        <f>+landbouw!H8</f>
        <v>0</v>
      </c>
      <c r="J24" s="690">
        <f>+landbouw!I8</f>
        <v>0</v>
      </c>
      <c r="K24" s="690">
        <f>+landbouw!J8</f>
        <v>8.645198982343107</v>
      </c>
      <c r="L24" s="690">
        <f>+landbouw!K8</f>
        <v>0</v>
      </c>
      <c r="M24" s="690">
        <f>+landbouw!L8</f>
        <v>0</v>
      </c>
      <c r="N24" s="690">
        <f>+landbouw!M8</f>
        <v>0</v>
      </c>
      <c r="O24" s="690">
        <f>+landbouw!N8</f>
        <v>0</v>
      </c>
      <c r="P24" s="690">
        <f>+landbouw!O8</f>
        <v>0</v>
      </c>
      <c r="Q24" s="691">
        <f>+landbouw!P8</f>
        <v>0</v>
      </c>
      <c r="R24" s="693">
        <f>SUM(C24:Q24)</f>
        <v>265.1954531578794</v>
      </c>
      <c r="S24" s="67"/>
    </row>
    <row r="25" spans="1:19" s="458" customFormat="1" ht="15" thickBot="1">
      <c r="A25" s="827" t="s">
        <v>872</v>
      </c>
      <c r="B25" s="1004"/>
      <c r="C25" s="1005">
        <f>IF(Onbekend_ele_kWh="---",0,Onbekend_ele_kWh)/1000+IF(REST_rest_ele_kWh="---",0,REST_rest_ele_kWh)/1000</f>
        <v>811.45379498893499</v>
      </c>
      <c r="D25" s="1005"/>
      <c r="E25" s="1005">
        <f>IF(onbekend_gas_kWh="---",0,onbekend_gas_kWh)/1000+IF(REST_rest_gas_kWh="---",0,REST_rest_gas_kWh)/1000</f>
        <v>4722.2692526149604</v>
      </c>
      <c r="F25" s="1005"/>
      <c r="G25" s="1005"/>
      <c r="H25" s="1005"/>
      <c r="I25" s="1005"/>
      <c r="J25" s="1005"/>
      <c r="K25" s="1005"/>
      <c r="L25" s="1005"/>
      <c r="M25" s="1005"/>
      <c r="N25" s="1005"/>
      <c r="O25" s="1005"/>
      <c r="P25" s="1005"/>
      <c r="Q25" s="1006"/>
      <c r="R25" s="693">
        <f>SUM(C25:Q25)</f>
        <v>5533.7230476038949</v>
      </c>
      <c r="S25" s="67"/>
    </row>
    <row r="26" spans="1:19" s="458" customFormat="1" ht="15.75" thickBot="1">
      <c r="A26" s="698" t="s">
        <v>873</v>
      </c>
      <c r="B26" s="813"/>
      <c r="C26" s="808">
        <f>SUM(C24:C25)</f>
        <v>868.93951611232308</v>
      </c>
      <c r="D26" s="808">
        <f t="shared" ref="D26:R26" si="2">SUM(D24:D25)</f>
        <v>0</v>
      </c>
      <c r="E26" s="808">
        <f t="shared" si="2"/>
        <v>4722.2692526149604</v>
      </c>
      <c r="F26" s="808">
        <f t="shared" si="2"/>
        <v>0.72439414282074077</v>
      </c>
      <c r="G26" s="808">
        <f t="shared" si="2"/>
        <v>198.34013890932744</v>
      </c>
      <c r="H26" s="808">
        <f t="shared" si="2"/>
        <v>0</v>
      </c>
      <c r="I26" s="808">
        <f t="shared" si="2"/>
        <v>0</v>
      </c>
      <c r="J26" s="808">
        <f t="shared" si="2"/>
        <v>0</v>
      </c>
      <c r="K26" s="808">
        <f t="shared" si="2"/>
        <v>8.645198982343107</v>
      </c>
      <c r="L26" s="808">
        <f t="shared" si="2"/>
        <v>0</v>
      </c>
      <c r="M26" s="808">
        <f t="shared" si="2"/>
        <v>0</v>
      </c>
      <c r="N26" s="808">
        <f t="shared" si="2"/>
        <v>0</v>
      </c>
      <c r="O26" s="808">
        <f t="shared" si="2"/>
        <v>0</v>
      </c>
      <c r="P26" s="808">
        <f t="shared" si="2"/>
        <v>0</v>
      </c>
      <c r="Q26" s="808">
        <f t="shared" si="2"/>
        <v>0</v>
      </c>
      <c r="R26" s="808">
        <f t="shared" si="2"/>
        <v>5798.9185007617743</v>
      </c>
      <c r="S26" s="67"/>
    </row>
    <row r="27" spans="1:19" s="458" customFormat="1" ht="17.25" thickTop="1" thickBot="1">
      <c r="A27" s="699" t="s">
        <v>116</v>
      </c>
      <c r="B27" s="800"/>
      <c r="C27" s="700">
        <f ca="1">C22+C16+C26</f>
        <v>70065.325510870083</v>
      </c>
      <c r="D27" s="700">
        <f t="shared" ref="D27:R27" ca="1" si="3">D22+D16+D26</f>
        <v>0</v>
      </c>
      <c r="E27" s="700">
        <f t="shared" ca="1" si="3"/>
        <v>209424.25658845261</v>
      </c>
      <c r="F27" s="700">
        <f t="shared" si="3"/>
        <v>7643.0473336256209</v>
      </c>
      <c r="G27" s="700">
        <f t="shared" ca="1" si="3"/>
        <v>31541.383166395623</v>
      </c>
      <c r="H27" s="700">
        <f t="shared" si="3"/>
        <v>41090.20203237408</v>
      </c>
      <c r="I27" s="700">
        <f t="shared" si="3"/>
        <v>9269.0706026886019</v>
      </c>
      <c r="J27" s="700">
        <f t="shared" si="3"/>
        <v>0</v>
      </c>
      <c r="K27" s="700">
        <f t="shared" si="3"/>
        <v>50.624281696654975</v>
      </c>
      <c r="L27" s="700">
        <f t="shared" si="3"/>
        <v>0</v>
      </c>
      <c r="M27" s="700">
        <f t="shared" ca="1" si="3"/>
        <v>0</v>
      </c>
      <c r="N27" s="700">
        <f t="shared" si="3"/>
        <v>2276.9772790220441</v>
      </c>
      <c r="O27" s="700">
        <f t="shared" ca="1" si="3"/>
        <v>12837.019240467353</v>
      </c>
      <c r="P27" s="700">
        <f t="shared" si="3"/>
        <v>131.32000000000002</v>
      </c>
      <c r="Q27" s="700">
        <f t="shared" si="3"/>
        <v>476.66666666666663</v>
      </c>
      <c r="R27" s="700">
        <f t="shared" ca="1" si="3"/>
        <v>384805.89270225941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3148.9401101532699</v>
      </c>
      <c r="D40" s="690">
        <f ca="1">tertiair!C20</f>
        <v>0</v>
      </c>
      <c r="E40" s="690">
        <f ca="1">tertiair!D20</f>
        <v>24489.449440661981</v>
      </c>
      <c r="F40" s="690">
        <f>tertiair!E20</f>
        <v>42.316113260533434</v>
      </c>
      <c r="G40" s="690">
        <f ca="1">tertiair!F20</f>
        <v>736.55009016685051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28417.255754242637</v>
      </c>
    </row>
    <row r="41" spans="1:18">
      <c r="A41" s="818" t="s">
        <v>225</v>
      </c>
      <c r="B41" s="825"/>
      <c r="C41" s="690">
        <f ca="1">huishoudens!B12</f>
        <v>7368.8749571073622</v>
      </c>
      <c r="D41" s="690">
        <f ca="1">huishoudens!C12</f>
        <v>0</v>
      </c>
      <c r="E41" s="690">
        <f>huishoudens!D12</f>
        <v>16178.909313976352</v>
      </c>
      <c r="F41" s="690">
        <f>huishoudens!E12</f>
        <v>1322.1467416060286</v>
      </c>
      <c r="G41" s="690">
        <f>huishoudens!F12</f>
        <v>6116.9466793890997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30986.877692078844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4012.1418756925564</v>
      </c>
      <c r="D43" s="690">
        <f ca="1">industrie!C22</f>
        <v>0</v>
      </c>
      <c r="E43" s="690">
        <f>industrie!D22</f>
        <v>680.1823202966192</v>
      </c>
      <c r="F43" s="690">
        <f>industrie!E22</f>
        <v>327.16014714937489</v>
      </c>
      <c r="G43" s="690">
        <f>industrie!F22</f>
        <v>1515.0957187828917</v>
      </c>
      <c r="H43" s="690">
        <f>industrie!G22</f>
        <v>0</v>
      </c>
      <c r="I43" s="690">
        <f>industrie!H22</f>
        <v>0</v>
      </c>
      <c r="J43" s="690">
        <f>industrie!I22</f>
        <v>0</v>
      </c>
      <c r="K43" s="690">
        <f>industrie!J22</f>
        <v>14.860595280866402</v>
      </c>
      <c r="L43" s="690">
        <f>industrie!K22</f>
        <v>0</v>
      </c>
      <c r="M43" s="690">
        <f>industrie!L22</f>
        <v>0</v>
      </c>
      <c r="N43" s="690">
        <f>industrie!M22</f>
        <v>0</v>
      </c>
      <c r="O43" s="690">
        <f>industrie!N22</f>
        <v>0</v>
      </c>
      <c r="P43" s="690">
        <f>industrie!O22</f>
        <v>0</v>
      </c>
      <c r="Q43" s="767">
        <f>industrie!P22</f>
        <v>0</v>
      </c>
      <c r="R43" s="845">
        <f t="shared" ca="1" si="4"/>
        <v>6549.440657202309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14529.956942953188</v>
      </c>
      <c r="D46" s="725">
        <f t="shared" ref="D46:Q46" ca="1" si="5">SUM(D39:D45)</f>
        <v>0</v>
      </c>
      <c r="E46" s="725">
        <f t="shared" ca="1" si="5"/>
        <v>41348.541074934954</v>
      </c>
      <c r="F46" s="725">
        <f t="shared" si="5"/>
        <v>1691.6230020159369</v>
      </c>
      <c r="G46" s="725">
        <f t="shared" ca="1" si="5"/>
        <v>8368.5924883388416</v>
      </c>
      <c r="H46" s="725">
        <f t="shared" si="5"/>
        <v>0</v>
      </c>
      <c r="I46" s="725">
        <f t="shared" si="5"/>
        <v>0</v>
      </c>
      <c r="J46" s="725">
        <f t="shared" si="5"/>
        <v>0</v>
      </c>
      <c r="K46" s="725">
        <f t="shared" si="5"/>
        <v>14.860595280866402</v>
      </c>
      <c r="L46" s="725">
        <f t="shared" si="5"/>
        <v>0</v>
      </c>
      <c r="M46" s="725">
        <f t="shared" ca="1" si="5"/>
        <v>0</v>
      </c>
      <c r="N46" s="725">
        <f t="shared" si="5"/>
        <v>0</v>
      </c>
      <c r="O46" s="725">
        <f t="shared" ca="1" si="5"/>
        <v>0</v>
      </c>
      <c r="P46" s="725">
        <f t="shared" si="5"/>
        <v>0</v>
      </c>
      <c r="Q46" s="725">
        <f t="shared" si="5"/>
        <v>0</v>
      </c>
      <c r="R46" s="725">
        <f ca="1">SUM(R39:R45)</f>
        <v>65953.574103523788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240.72112220661157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240.72112220661157</v>
      </c>
    </row>
    <row r="50" spans="1:18">
      <c r="A50" s="821" t="s">
        <v>307</v>
      </c>
      <c r="B50" s="831"/>
      <c r="C50" s="696">
        <f ca="1">transport!B18</f>
        <v>0.67610955756777258</v>
      </c>
      <c r="D50" s="696">
        <f>transport!C18</f>
        <v>0</v>
      </c>
      <c r="E50" s="696">
        <f>transport!D18</f>
        <v>1.2603669042586634</v>
      </c>
      <c r="F50" s="696">
        <f>transport!E18</f>
        <v>43.184305246658703</v>
      </c>
      <c r="G50" s="696">
        <f>transport!F18</f>
        <v>0</v>
      </c>
      <c r="H50" s="696">
        <f>transport!G18</f>
        <v>10730.362820437269</v>
      </c>
      <c r="I50" s="696">
        <f>transport!H18</f>
        <v>2307.9985800694617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13083.482182215215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0.67610955756777258</v>
      </c>
      <c r="D52" s="725">
        <f t="shared" ref="D52:Q52" ca="1" si="6">SUM(D48:D51)</f>
        <v>0</v>
      </c>
      <c r="E52" s="725">
        <f t="shared" si="6"/>
        <v>1.2603669042586634</v>
      </c>
      <c r="F52" s="725">
        <f t="shared" si="6"/>
        <v>43.184305246658703</v>
      </c>
      <c r="G52" s="725">
        <f t="shared" si="6"/>
        <v>0</v>
      </c>
      <c r="H52" s="725">
        <f t="shared" si="6"/>
        <v>10971.08394264388</v>
      </c>
      <c r="I52" s="725">
        <f t="shared" si="6"/>
        <v>2307.9985800694617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13324.203304421826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12.071496327368896</v>
      </c>
      <c r="D54" s="696">
        <f ca="1">+landbouw!C12</f>
        <v>0</v>
      </c>
      <c r="E54" s="696">
        <f>+landbouw!D12</f>
        <v>0</v>
      </c>
      <c r="F54" s="696">
        <f>+landbouw!E12</f>
        <v>0.16443747042030815</v>
      </c>
      <c r="G54" s="696">
        <f>+landbouw!F12</f>
        <v>52.95681708879043</v>
      </c>
      <c r="H54" s="696">
        <f>+landbouw!G12</f>
        <v>0</v>
      </c>
      <c r="I54" s="696">
        <f>+landbouw!H12</f>
        <v>0</v>
      </c>
      <c r="J54" s="696">
        <f>+landbouw!I12</f>
        <v>0</v>
      </c>
      <c r="K54" s="696">
        <f>+landbouw!J12</f>
        <v>3.0604004397494595</v>
      </c>
      <c r="L54" s="696">
        <f>+landbouw!K12</f>
        <v>0</v>
      </c>
      <c r="M54" s="696">
        <f>+landbouw!L12</f>
        <v>0</v>
      </c>
      <c r="N54" s="696">
        <f>+landbouw!M12</f>
        <v>0</v>
      </c>
      <c r="O54" s="696">
        <f>+landbouw!N12</f>
        <v>0</v>
      </c>
      <c r="P54" s="696">
        <f>+landbouw!O12</f>
        <v>0</v>
      </c>
      <c r="Q54" s="697">
        <f>+landbouw!P12</f>
        <v>0</v>
      </c>
      <c r="R54" s="724">
        <f ca="1">SUM(C54:Q54)</f>
        <v>68.253151326329089</v>
      </c>
    </row>
    <row r="55" spans="1:18" ht="15" thickBot="1">
      <c r="A55" s="821" t="s">
        <v>872</v>
      </c>
      <c r="B55" s="831"/>
      <c r="C55" s="696">
        <f ca="1">C25*'EF ele_warmte'!B12</f>
        <v>170.39816696416446</v>
      </c>
      <c r="D55" s="696"/>
      <c r="E55" s="696">
        <f>E25*EF_CO2_aardgas</f>
        <v>953.89838902822203</v>
      </c>
      <c r="F55" s="696"/>
      <c r="G55" s="696"/>
      <c r="H55" s="696"/>
      <c r="I55" s="696"/>
      <c r="J55" s="696"/>
      <c r="K55" s="696"/>
      <c r="L55" s="696"/>
      <c r="M55" s="696"/>
      <c r="N55" s="696"/>
      <c r="O55" s="696"/>
      <c r="P55" s="696"/>
      <c r="Q55" s="697"/>
      <c r="R55" s="724">
        <f ca="1">SUM(C55:Q55)</f>
        <v>1124.2965559923864</v>
      </c>
    </row>
    <row r="56" spans="1:18" ht="15.75" thickBot="1">
      <c r="A56" s="819" t="s">
        <v>873</v>
      </c>
      <c r="B56" s="832"/>
      <c r="C56" s="725">
        <f ca="1">SUM(C54:C55)</f>
        <v>182.46966329153335</v>
      </c>
      <c r="D56" s="725">
        <f t="shared" ref="D56:Q56" ca="1" si="7">SUM(D54:D55)</f>
        <v>0</v>
      </c>
      <c r="E56" s="725">
        <f t="shared" si="7"/>
        <v>953.89838902822203</v>
      </c>
      <c r="F56" s="725">
        <f t="shared" si="7"/>
        <v>0.16443747042030815</v>
      </c>
      <c r="G56" s="725">
        <f t="shared" si="7"/>
        <v>52.95681708879043</v>
      </c>
      <c r="H56" s="725">
        <f t="shared" si="7"/>
        <v>0</v>
      </c>
      <c r="I56" s="725">
        <f t="shared" si="7"/>
        <v>0</v>
      </c>
      <c r="J56" s="725">
        <f t="shared" si="7"/>
        <v>0</v>
      </c>
      <c r="K56" s="725">
        <f t="shared" si="7"/>
        <v>3.0604004397494595</v>
      </c>
      <c r="L56" s="725">
        <f t="shared" si="7"/>
        <v>0</v>
      </c>
      <c r="M56" s="725">
        <f t="shared" si="7"/>
        <v>0</v>
      </c>
      <c r="N56" s="725">
        <f t="shared" si="7"/>
        <v>0</v>
      </c>
      <c r="O56" s="725">
        <f t="shared" si="7"/>
        <v>0</v>
      </c>
      <c r="P56" s="725">
        <f t="shared" si="7"/>
        <v>0</v>
      </c>
      <c r="Q56" s="726">
        <f t="shared" si="7"/>
        <v>0</v>
      </c>
      <c r="R56" s="727">
        <f ca="1">SUM(R54:R55)</f>
        <v>1192.5497073187155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14713.102715802288</v>
      </c>
      <c r="D61" s="733">
        <f t="shared" ref="D61:Q61" ca="1" si="8">D46+D52+D56</f>
        <v>0</v>
      </c>
      <c r="E61" s="733">
        <f t="shared" ca="1" si="8"/>
        <v>42303.699830867437</v>
      </c>
      <c r="F61" s="733">
        <f t="shared" si="8"/>
        <v>1734.9717447330158</v>
      </c>
      <c r="G61" s="733">
        <f t="shared" ca="1" si="8"/>
        <v>8421.5493054276321</v>
      </c>
      <c r="H61" s="733">
        <f t="shared" si="8"/>
        <v>10971.08394264388</v>
      </c>
      <c r="I61" s="733">
        <f t="shared" si="8"/>
        <v>2307.9985800694617</v>
      </c>
      <c r="J61" s="733">
        <f t="shared" si="8"/>
        <v>0</v>
      </c>
      <c r="K61" s="733">
        <f t="shared" si="8"/>
        <v>17.920995720615863</v>
      </c>
      <c r="L61" s="733">
        <f t="shared" si="8"/>
        <v>0</v>
      </c>
      <c r="M61" s="733">
        <f t="shared" ca="1" si="8"/>
        <v>0</v>
      </c>
      <c r="N61" s="733">
        <f t="shared" si="8"/>
        <v>0</v>
      </c>
      <c r="O61" s="733">
        <f t="shared" ca="1" si="8"/>
        <v>0</v>
      </c>
      <c r="P61" s="733">
        <f t="shared" si="8"/>
        <v>0</v>
      </c>
      <c r="Q61" s="733">
        <f t="shared" si="8"/>
        <v>0</v>
      </c>
      <c r="R61" s="733">
        <f ca="1">R46+R52+R56</f>
        <v>80470.327115264328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0.20999121332162607</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3490.2001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3490.2001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35091.349016689899</v>
      </c>
      <c r="C4" s="462">
        <f>huishoudens!C8</f>
        <v>0</v>
      </c>
      <c r="D4" s="462">
        <f>huishoudens!D8</f>
        <v>80093.61046522946</v>
      </c>
      <c r="E4" s="462">
        <f>huishoudens!E8</f>
        <v>5824.4349850485842</v>
      </c>
      <c r="F4" s="462">
        <f>huishoudens!F8</f>
        <v>22909.912656888013</v>
      </c>
      <c r="G4" s="462">
        <f>huishoudens!G8</f>
        <v>0</v>
      </c>
      <c r="H4" s="462">
        <f>huishoudens!H8</f>
        <v>0</v>
      </c>
      <c r="I4" s="462">
        <f>huishoudens!I8</f>
        <v>0</v>
      </c>
      <c r="J4" s="462">
        <f>huishoudens!J8</f>
        <v>0</v>
      </c>
      <c r="K4" s="462">
        <f>huishoudens!K8</f>
        <v>0</v>
      </c>
      <c r="L4" s="462">
        <f>huishoudens!L8</f>
        <v>0</v>
      </c>
      <c r="M4" s="462">
        <f>huishoudens!M8</f>
        <v>0</v>
      </c>
      <c r="N4" s="462">
        <f>huishoudens!N8</f>
        <v>7798.3513386145814</v>
      </c>
      <c r="O4" s="462">
        <f>huishoudens!O8</f>
        <v>128.19333333333336</v>
      </c>
      <c r="P4" s="463">
        <f>huishoudens!P8</f>
        <v>305.06666666666666</v>
      </c>
      <c r="Q4" s="464">
        <f>SUM(B4:P4)</f>
        <v>152150.91846247055</v>
      </c>
    </row>
    <row r="5" spans="1:17">
      <c r="A5" s="461" t="s">
        <v>156</v>
      </c>
      <c r="B5" s="462">
        <f ca="1">tertiair!B16</f>
        <v>13759.052340451199</v>
      </c>
      <c r="C5" s="462">
        <f ca="1">tertiair!C16</f>
        <v>0</v>
      </c>
      <c r="D5" s="462">
        <f ca="1">tertiair!D16</f>
        <v>121234.89822109891</v>
      </c>
      <c r="E5" s="462">
        <f>tertiair!E16</f>
        <v>186.41459586138077</v>
      </c>
      <c r="F5" s="462">
        <f ca="1">tertiair!F16</f>
        <v>2758.6145699132976</v>
      </c>
      <c r="G5" s="462">
        <f>tertiair!G16</f>
        <v>0</v>
      </c>
      <c r="H5" s="462">
        <f>tertiair!H16</f>
        <v>0</v>
      </c>
      <c r="I5" s="462">
        <f>tertiair!I16</f>
        <v>0</v>
      </c>
      <c r="J5" s="462">
        <f>tertiair!J16</f>
        <v>0</v>
      </c>
      <c r="K5" s="462">
        <f>tertiair!K16</f>
        <v>0</v>
      </c>
      <c r="L5" s="462">
        <f ca="1">tertiair!L16</f>
        <v>0</v>
      </c>
      <c r="M5" s="462">
        <f>tertiair!M16</f>
        <v>0</v>
      </c>
      <c r="N5" s="462">
        <f ca="1">tertiair!N16</f>
        <v>1080.1864732689201</v>
      </c>
      <c r="O5" s="462">
        <f>tertiair!O16</f>
        <v>3.1266666666666669</v>
      </c>
      <c r="P5" s="463">
        <f>tertiair!P16</f>
        <v>171.6</v>
      </c>
      <c r="Q5" s="461">
        <f t="shared" ref="Q5:Q14" ca="1" si="0">SUM(B5:P5)</f>
        <v>139193.89286726038</v>
      </c>
    </row>
    <row r="6" spans="1:17">
      <c r="A6" s="461" t="s">
        <v>194</v>
      </c>
      <c r="B6" s="462">
        <f>'openbare verlichting'!B8</f>
        <v>1236.528</v>
      </c>
      <c r="C6" s="462"/>
      <c r="D6" s="462"/>
      <c r="E6" s="462"/>
      <c r="F6" s="462"/>
      <c r="G6" s="462"/>
      <c r="H6" s="462"/>
      <c r="I6" s="462"/>
      <c r="J6" s="462"/>
      <c r="K6" s="462"/>
      <c r="L6" s="462"/>
      <c r="M6" s="462"/>
      <c r="N6" s="462"/>
      <c r="O6" s="462"/>
      <c r="P6" s="463"/>
      <c r="Q6" s="461">
        <f t="shared" si="0"/>
        <v>1236.528</v>
      </c>
    </row>
    <row r="7" spans="1:17">
      <c r="A7" s="461" t="s">
        <v>112</v>
      </c>
      <c r="B7" s="462">
        <f>landbouw!B8</f>
        <v>57.485721123388103</v>
      </c>
      <c r="C7" s="462">
        <f>landbouw!C8</f>
        <v>0</v>
      </c>
      <c r="D7" s="462">
        <f>landbouw!D8</f>
        <v>0</v>
      </c>
      <c r="E7" s="462">
        <f>landbouw!E8</f>
        <v>0.72439414282074077</v>
      </c>
      <c r="F7" s="462">
        <f>landbouw!F8</f>
        <v>198.34013890932744</v>
      </c>
      <c r="G7" s="462">
        <f>landbouw!G8</f>
        <v>0</v>
      </c>
      <c r="H7" s="462">
        <f>landbouw!H8</f>
        <v>0</v>
      </c>
      <c r="I7" s="462">
        <f>landbouw!I8</f>
        <v>0</v>
      </c>
      <c r="J7" s="462">
        <f>landbouw!J8</f>
        <v>8.645198982343107</v>
      </c>
      <c r="K7" s="462">
        <f>landbouw!K8</f>
        <v>0</v>
      </c>
      <c r="L7" s="462">
        <f>landbouw!L8</f>
        <v>0</v>
      </c>
      <c r="M7" s="462">
        <f>landbouw!M8</f>
        <v>0</v>
      </c>
      <c r="N7" s="462">
        <f>landbouw!N8</f>
        <v>0</v>
      </c>
      <c r="O7" s="462">
        <f>landbouw!O8</f>
        <v>0</v>
      </c>
      <c r="P7" s="463">
        <f>landbouw!P8</f>
        <v>0</v>
      </c>
      <c r="Q7" s="461">
        <f t="shared" si="0"/>
        <v>265.1954531578794</v>
      </c>
    </row>
    <row r="8" spans="1:17">
      <c r="A8" s="461" t="s">
        <v>657</v>
      </c>
      <c r="B8" s="462">
        <f>industrie!B18</f>
        <v>19106.236933578228</v>
      </c>
      <c r="C8" s="462">
        <f>industrie!C18</f>
        <v>0</v>
      </c>
      <c r="D8" s="462">
        <f>industrie!D18</f>
        <v>3367.2392093892036</v>
      </c>
      <c r="E8" s="462">
        <f>industrie!E18</f>
        <v>1441.2341284113431</v>
      </c>
      <c r="F8" s="462">
        <f>industrie!F18</f>
        <v>5674.515800684987</v>
      </c>
      <c r="G8" s="462">
        <f>industrie!G18</f>
        <v>0</v>
      </c>
      <c r="H8" s="462">
        <f>industrie!H18</f>
        <v>0</v>
      </c>
      <c r="I8" s="462">
        <f>industrie!I18</f>
        <v>0</v>
      </c>
      <c r="J8" s="462">
        <f>industrie!J18</f>
        <v>41.979082714311872</v>
      </c>
      <c r="K8" s="462">
        <f>industrie!K18</f>
        <v>0</v>
      </c>
      <c r="L8" s="462">
        <f>industrie!L18</f>
        <v>0</v>
      </c>
      <c r="M8" s="462">
        <f>industrie!M18</f>
        <v>0</v>
      </c>
      <c r="N8" s="462">
        <f>industrie!N18</f>
        <v>3958.4814285838511</v>
      </c>
      <c r="O8" s="462">
        <f>industrie!O18</f>
        <v>0</v>
      </c>
      <c r="P8" s="463">
        <f>industrie!P18</f>
        <v>0</v>
      </c>
      <c r="Q8" s="461">
        <f t="shared" si="0"/>
        <v>33589.686583361923</v>
      </c>
    </row>
    <row r="9" spans="1:17" s="467" customFormat="1">
      <c r="A9" s="465" t="s">
        <v>574</v>
      </c>
      <c r="B9" s="466">
        <f>transport!B14</f>
        <v>3.2197040384362743</v>
      </c>
      <c r="C9" s="466">
        <f>transport!C14</f>
        <v>0</v>
      </c>
      <c r="D9" s="466">
        <f>transport!D14</f>
        <v>6.239440120092393</v>
      </c>
      <c r="E9" s="466">
        <f>transport!E14</f>
        <v>190.23923016149209</v>
      </c>
      <c r="F9" s="466">
        <f>transport!F14</f>
        <v>0</v>
      </c>
      <c r="G9" s="466">
        <f>transport!G14</f>
        <v>40188.624795645199</v>
      </c>
      <c r="H9" s="466">
        <f>transport!H14</f>
        <v>9269.0706026886019</v>
      </c>
      <c r="I9" s="466">
        <f>transport!I14</f>
        <v>0</v>
      </c>
      <c r="J9" s="466">
        <f>transport!J14</f>
        <v>0</v>
      </c>
      <c r="K9" s="466">
        <f>transport!K14</f>
        <v>0</v>
      </c>
      <c r="L9" s="466">
        <f>transport!L14</f>
        <v>0</v>
      </c>
      <c r="M9" s="466">
        <f>transport!M14</f>
        <v>2236.8819341221811</v>
      </c>
      <c r="N9" s="466">
        <f>transport!N14</f>
        <v>0</v>
      </c>
      <c r="O9" s="466">
        <f>transport!O14</f>
        <v>0</v>
      </c>
      <c r="P9" s="466">
        <f>transport!P14</f>
        <v>0</v>
      </c>
      <c r="Q9" s="465">
        <f>SUM(B9:P9)</f>
        <v>51894.275706776003</v>
      </c>
    </row>
    <row r="10" spans="1:17">
      <c r="A10" s="461" t="s">
        <v>564</v>
      </c>
      <c r="B10" s="462">
        <f>transport!B54</f>
        <v>0</v>
      </c>
      <c r="C10" s="462">
        <f>transport!C54</f>
        <v>0</v>
      </c>
      <c r="D10" s="462">
        <f>transport!D54</f>
        <v>0</v>
      </c>
      <c r="E10" s="462">
        <f>transport!E54</f>
        <v>0</v>
      </c>
      <c r="F10" s="462">
        <f>transport!F54</f>
        <v>0</v>
      </c>
      <c r="G10" s="462">
        <f>transport!G54</f>
        <v>901.57723672888221</v>
      </c>
      <c r="H10" s="462">
        <f>transport!H54</f>
        <v>0</v>
      </c>
      <c r="I10" s="462">
        <f>transport!I54</f>
        <v>0</v>
      </c>
      <c r="J10" s="462">
        <f>transport!J54</f>
        <v>0</v>
      </c>
      <c r="K10" s="462">
        <f>transport!K54</f>
        <v>0</v>
      </c>
      <c r="L10" s="462">
        <f>transport!L54</f>
        <v>0</v>
      </c>
      <c r="M10" s="462">
        <f>transport!M54</f>
        <v>40.095344899863079</v>
      </c>
      <c r="N10" s="462">
        <f>transport!N54</f>
        <v>0</v>
      </c>
      <c r="O10" s="462">
        <f>transport!O54</f>
        <v>0</v>
      </c>
      <c r="P10" s="463">
        <f>transport!P54</f>
        <v>0</v>
      </c>
      <c r="Q10" s="461">
        <f t="shared" si="0"/>
        <v>941.67258162874532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811.45379498893499</v>
      </c>
      <c r="C14" s="469"/>
      <c r="D14" s="469">
        <f>'SEAP template'!E25</f>
        <v>4722.2692526149604</v>
      </c>
      <c r="E14" s="469"/>
      <c r="F14" s="469"/>
      <c r="G14" s="469"/>
      <c r="H14" s="469"/>
      <c r="I14" s="469"/>
      <c r="J14" s="469"/>
      <c r="K14" s="469"/>
      <c r="L14" s="469"/>
      <c r="M14" s="469"/>
      <c r="N14" s="469"/>
      <c r="O14" s="469"/>
      <c r="P14" s="470"/>
      <c r="Q14" s="461">
        <f t="shared" si="0"/>
        <v>5533.7230476038949</v>
      </c>
    </row>
    <row r="15" spans="1:17" s="474" customFormat="1">
      <c r="A15" s="471" t="s">
        <v>568</v>
      </c>
      <c r="B15" s="472">
        <f ca="1">SUM(B4:B14)</f>
        <v>70065.325510870083</v>
      </c>
      <c r="C15" s="472">
        <f t="shared" ref="C15:Q15" ca="1" si="1">SUM(C4:C14)</f>
        <v>0</v>
      </c>
      <c r="D15" s="472">
        <f t="shared" ca="1" si="1"/>
        <v>209424.25658845261</v>
      </c>
      <c r="E15" s="472">
        <f t="shared" si="1"/>
        <v>7643.0473336256209</v>
      </c>
      <c r="F15" s="472">
        <f t="shared" ca="1" si="1"/>
        <v>31541.383166395623</v>
      </c>
      <c r="G15" s="472">
        <f t="shared" si="1"/>
        <v>41090.20203237408</v>
      </c>
      <c r="H15" s="472">
        <f t="shared" si="1"/>
        <v>9269.0706026886019</v>
      </c>
      <c r="I15" s="472">
        <f t="shared" si="1"/>
        <v>0</v>
      </c>
      <c r="J15" s="472">
        <f t="shared" si="1"/>
        <v>50.624281696654975</v>
      </c>
      <c r="K15" s="472">
        <f t="shared" si="1"/>
        <v>0</v>
      </c>
      <c r="L15" s="472">
        <f t="shared" ca="1" si="1"/>
        <v>0</v>
      </c>
      <c r="M15" s="472">
        <f t="shared" si="1"/>
        <v>2276.9772790220441</v>
      </c>
      <c r="N15" s="472">
        <f t="shared" ca="1" si="1"/>
        <v>12837.019240467353</v>
      </c>
      <c r="O15" s="472">
        <f t="shared" si="1"/>
        <v>131.32000000000002</v>
      </c>
      <c r="P15" s="472">
        <f t="shared" si="1"/>
        <v>476.66666666666663</v>
      </c>
      <c r="Q15" s="472">
        <f t="shared" ca="1" si="1"/>
        <v>384805.89270225936</v>
      </c>
    </row>
    <row r="17" spans="1:17">
      <c r="A17" s="475" t="s">
        <v>569</v>
      </c>
      <c r="B17" s="781">
        <f ca="1">huishoudens!B10</f>
        <v>0.20999121332162607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7368.8749571073622</v>
      </c>
      <c r="C22" s="462">
        <f t="shared" ref="C22:C32" ca="1" si="3">C4*$C$17</f>
        <v>0</v>
      </c>
      <c r="D22" s="462">
        <f t="shared" ref="D22:D32" si="4">D4*$D$17</f>
        <v>16178.909313976352</v>
      </c>
      <c r="E22" s="462">
        <f t="shared" ref="E22:E32" si="5">E4*$E$17</f>
        <v>1322.1467416060286</v>
      </c>
      <c r="F22" s="462">
        <f t="shared" ref="F22:F32" si="6">F4*$F$17</f>
        <v>6116.9466793890997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30986.877692078844</v>
      </c>
    </row>
    <row r="23" spans="1:17">
      <c r="A23" s="461" t="s">
        <v>156</v>
      </c>
      <c r="B23" s="462">
        <f t="shared" ca="1" si="2"/>
        <v>2889.2800951271061</v>
      </c>
      <c r="C23" s="462">
        <f t="shared" ca="1" si="3"/>
        <v>0</v>
      </c>
      <c r="D23" s="462">
        <f t="shared" ca="1" si="4"/>
        <v>24489.449440661981</v>
      </c>
      <c r="E23" s="462">
        <f t="shared" si="5"/>
        <v>42.316113260533434</v>
      </c>
      <c r="F23" s="462">
        <f t="shared" ca="1" si="6"/>
        <v>736.55009016685051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28157.595739216471</v>
      </c>
    </row>
    <row r="24" spans="1:17">
      <c r="A24" s="461" t="s">
        <v>194</v>
      </c>
      <c r="B24" s="462">
        <f t="shared" ca="1" si="2"/>
        <v>259.66001502616365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259.66001502616365</v>
      </c>
    </row>
    <row r="25" spans="1:17">
      <c r="A25" s="461" t="s">
        <v>112</v>
      </c>
      <c r="B25" s="462">
        <f t="shared" ca="1" si="2"/>
        <v>12.071496327368896</v>
      </c>
      <c r="C25" s="462">
        <f t="shared" ca="1" si="3"/>
        <v>0</v>
      </c>
      <c r="D25" s="462">
        <f t="shared" si="4"/>
        <v>0</v>
      </c>
      <c r="E25" s="462">
        <f t="shared" si="5"/>
        <v>0.16443747042030815</v>
      </c>
      <c r="F25" s="462">
        <f t="shared" si="6"/>
        <v>52.95681708879043</v>
      </c>
      <c r="G25" s="462">
        <f t="shared" si="7"/>
        <v>0</v>
      </c>
      <c r="H25" s="462">
        <f t="shared" si="8"/>
        <v>0</v>
      </c>
      <c r="I25" s="462">
        <f t="shared" si="9"/>
        <v>0</v>
      </c>
      <c r="J25" s="462">
        <f t="shared" si="10"/>
        <v>3.0604004397494595</v>
      </c>
      <c r="K25" s="462">
        <f t="shared" si="11"/>
        <v>0</v>
      </c>
      <c r="L25" s="462">
        <f t="shared" si="12"/>
        <v>0</v>
      </c>
      <c r="M25" s="462">
        <f t="shared" si="13"/>
        <v>0</v>
      </c>
      <c r="N25" s="462">
        <f t="shared" si="14"/>
        <v>0</v>
      </c>
      <c r="O25" s="462">
        <f t="shared" si="15"/>
        <v>0</v>
      </c>
      <c r="P25" s="463">
        <f t="shared" si="16"/>
        <v>0</v>
      </c>
      <c r="Q25" s="461">
        <f t="shared" ca="1" si="17"/>
        <v>68.253151326329089</v>
      </c>
    </row>
    <row r="26" spans="1:17">
      <c r="A26" s="461" t="s">
        <v>657</v>
      </c>
      <c r="B26" s="462">
        <f t="shared" ca="1" si="2"/>
        <v>4012.1418756925564</v>
      </c>
      <c r="C26" s="462">
        <f t="shared" ca="1" si="3"/>
        <v>0</v>
      </c>
      <c r="D26" s="462">
        <f t="shared" si="4"/>
        <v>680.1823202966192</v>
      </c>
      <c r="E26" s="462">
        <f t="shared" si="5"/>
        <v>327.16014714937489</v>
      </c>
      <c r="F26" s="462">
        <f t="shared" si="6"/>
        <v>1515.0957187828917</v>
      </c>
      <c r="G26" s="462">
        <f t="shared" si="7"/>
        <v>0</v>
      </c>
      <c r="H26" s="462">
        <f t="shared" si="8"/>
        <v>0</v>
      </c>
      <c r="I26" s="462">
        <f t="shared" si="9"/>
        <v>0</v>
      </c>
      <c r="J26" s="462">
        <f t="shared" si="10"/>
        <v>14.860595280866402</v>
      </c>
      <c r="K26" s="462">
        <f t="shared" si="11"/>
        <v>0</v>
      </c>
      <c r="L26" s="462">
        <f t="shared" si="12"/>
        <v>0</v>
      </c>
      <c r="M26" s="462">
        <f t="shared" si="13"/>
        <v>0</v>
      </c>
      <c r="N26" s="462">
        <f t="shared" si="14"/>
        <v>0</v>
      </c>
      <c r="O26" s="462">
        <f t="shared" si="15"/>
        <v>0</v>
      </c>
      <c r="P26" s="463">
        <f t="shared" si="16"/>
        <v>0</v>
      </c>
      <c r="Q26" s="461">
        <f t="shared" ca="1" si="17"/>
        <v>6549.440657202309</v>
      </c>
    </row>
    <row r="27" spans="1:17" s="467" customFormat="1">
      <c r="A27" s="465" t="s">
        <v>574</v>
      </c>
      <c r="B27" s="775">
        <f t="shared" ca="1" si="2"/>
        <v>0.67610955756777258</v>
      </c>
      <c r="C27" s="466">
        <f t="shared" ca="1" si="3"/>
        <v>0</v>
      </c>
      <c r="D27" s="466">
        <f t="shared" si="4"/>
        <v>1.2603669042586634</v>
      </c>
      <c r="E27" s="466">
        <f t="shared" si="5"/>
        <v>43.184305246658703</v>
      </c>
      <c r="F27" s="466">
        <f t="shared" si="6"/>
        <v>0</v>
      </c>
      <c r="G27" s="466">
        <f t="shared" si="7"/>
        <v>10730.362820437269</v>
      </c>
      <c r="H27" s="466">
        <f t="shared" si="8"/>
        <v>2307.9985800694617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13083.482182215215</v>
      </c>
    </row>
    <row r="28" spans="1:17">
      <c r="A28" s="461" t="s">
        <v>564</v>
      </c>
      <c r="B28" s="462">
        <f t="shared" ca="1" si="2"/>
        <v>0</v>
      </c>
      <c r="C28" s="462">
        <f t="shared" ca="1" si="3"/>
        <v>0</v>
      </c>
      <c r="D28" s="462">
        <f t="shared" si="4"/>
        <v>0</v>
      </c>
      <c r="E28" s="462">
        <f t="shared" si="5"/>
        <v>0</v>
      </c>
      <c r="F28" s="462">
        <f t="shared" si="6"/>
        <v>0</v>
      </c>
      <c r="G28" s="462">
        <f t="shared" si="7"/>
        <v>240.72112220661157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240.72112220661157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170.39816696416446</v>
      </c>
      <c r="C32" s="462">
        <f t="shared" ca="1" si="3"/>
        <v>0</v>
      </c>
      <c r="D32" s="462">
        <f t="shared" si="4"/>
        <v>953.89838902822203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1124.2965559923864</v>
      </c>
    </row>
    <row r="33" spans="1:17" s="474" customFormat="1">
      <c r="A33" s="471" t="s">
        <v>568</v>
      </c>
      <c r="B33" s="472">
        <f ca="1">SUM(B22:B32)</f>
        <v>14713.10271580229</v>
      </c>
      <c r="C33" s="472">
        <f t="shared" ref="C33:Q33" ca="1" si="18">SUM(C22:C32)</f>
        <v>0</v>
      </c>
      <c r="D33" s="472">
        <f t="shared" ca="1" si="18"/>
        <v>42303.699830867437</v>
      </c>
      <c r="E33" s="472">
        <f t="shared" si="18"/>
        <v>1734.9717447330161</v>
      </c>
      <c r="F33" s="472">
        <f t="shared" ca="1" si="18"/>
        <v>8421.5493054276321</v>
      </c>
      <c r="G33" s="472">
        <f t="shared" si="18"/>
        <v>10971.08394264388</v>
      </c>
      <c r="H33" s="472">
        <f t="shared" si="18"/>
        <v>2307.9985800694617</v>
      </c>
      <c r="I33" s="472">
        <f t="shared" si="18"/>
        <v>0</v>
      </c>
      <c r="J33" s="472">
        <f t="shared" si="18"/>
        <v>17.920995720615863</v>
      </c>
      <c r="K33" s="472">
        <f t="shared" si="18"/>
        <v>0</v>
      </c>
      <c r="L33" s="472">
        <f t="shared" ca="1" si="18"/>
        <v>0</v>
      </c>
      <c r="M33" s="472">
        <f t="shared" si="18"/>
        <v>0</v>
      </c>
      <c r="N33" s="472">
        <f t="shared" ca="1" si="18"/>
        <v>0</v>
      </c>
      <c r="O33" s="472">
        <f t="shared" si="18"/>
        <v>0</v>
      </c>
      <c r="P33" s="472">
        <f t="shared" si="18"/>
        <v>0</v>
      </c>
      <c r="Q33" s="472">
        <f t="shared" ca="1" si="18"/>
        <v>80470.327115264343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3490.2001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3490.2001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0.20999121332162607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0.20999121332162607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0.20999121332162607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0.20999121332162607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41011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7919</v>
      </c>
      <c r="C9" s="338">
        <v>8779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389</v>
      </c>
    </row>
    <row r="15" spans="1:6">
      <c r="A15" s="1295" t="s">
        <v>184</v>
      </c>
      <c r="B15" s="335">
        <v>3</v>
      </c>
    </row>
    <row r="16" spans="1:6">
      <c r="A16" s="1295" t="s">
        <v>6</v>
      </c>
      <c r="B16" s="335">
        <v>89</v>
      </c>
    </row>
    <row r="17" spans="1:6">
      <c r="A17" s="1295" t="s">
        <v>7</v>
      </c>
      <c r="B17" s="335">
        <v>57</v>
      </c>
    </row>
    <row r="18" spans="1:6">
      <c r="A18" s="1295" t="s">
        <v>8</v>
      </c>
      <c r="B18" s="335">
        <v>107</v>
      </c>
    </row>
    <row r="19" spans="1:6">
      <c r="A19" s="1295" t="s">
        <v>9</v>
      </c>
      <c r="B19" s="335">
        <v>135</v>
      </c>
    </row>
    <row r="20" spans="1:6">
      <c r="A20" s="1295" t="s">
        <v>10</v>
      </c>
      <c r="B20" s="335">
        <v>83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63</v>
      </c>
    </row>
    <row r="27" spans="1:6">
      <c r="A27" s="1295" t="s">
        <v>17</v>
      </c>
      <c r="B27" s="335">
        <v>0</v>
      </c>
    </row>
    <row r="28" spans="1:6" s="341" customFormat="1">
      <c r="A28" s="1296" t="s">
        <v>18</v>
      </c>
      <c r="B28" s="1296">
        <v>0</v>
      </c>
    </row>
    <row r="29" spans="1:6">
      <c r="A29" s="1296" t="s">
        <v>906</v>
      </c>
      <c r="B29" s="1296">
        <v>9</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391763.27467421402</v>
      </c>
      <c r="E38" s="335">
        <v>1</v>
      </c>
      <c r="F38" s="335">
        <v>4250</v>
      </c>
    </row>
    <row r="39" spans="1:6">
      <c r="A39" s="1295" t="s">
        <v>30</v>
      </c>
      <c r="B39" s="1295" t="s">
        <v>31</v>
      </c>
      <c r="C39" s="335">
        <v>4983</v>
      </c>
      <c r="D39" s="335">
        <v>88795577.012449503</v>
      </c>
      <c r="E39" s="335">
        <v>8045</v>
      </c>
      <c r="F39" s="335">
        <v>32430091.0166899</v>
      </c>
    </row>
    <row r="40" spans="1:6">
      <c r="A40" s="1295" t="s">
        <v>30</v>
      </c>
      <c r="B40" s="1295" t="s">
        <v>29</v>
      </c>
      <c r="C40" s="335">
        <v>0</v>
      </c>
      <c r="D40" s="335">
        <v>0</v>
      </c>
      <c r="E40" s="335">
        <v>0</v>
      </c>
      <c r="F40" s="335">
        <v>0</v>
      </c>
    </row>
    <row r="41" spans="1:6">
      <c r="A41" s="1295" t="s">
        <v>32</v>
      </c>
      <c r="B41" s="1295" t="s">
        <v>33</v>
      </c>
      <c r="C41" s="335">
        <v>13</v>
      </c>
      <c r="D41" s="335">
        <v>382573.26929114503</v>
      </c>
      <c r="E41" s="335">
        <v>93</v>
      </c>
      <c r="F41" s="335">
        <v>1788233.5792159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596667.06830129598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58811.871755384702</v>
      </c>
      <c r="E47" s="335">
        <v>4</v>
      </c>
      <c r="F47" s="335">
        <v>23455.8253412431</v>
      </c>
    </row>
    <row r="48" spans="1:6">
      <c r="A48" s="1295" t="s">
        <v>32</v>
      </c>
      <c r="B48" s="1295" t="s">
        <v>29</v>
      </c>
      <c r="C48" s="335">
        <v>50</v>
      </c>
      <c r="D48" s="335">
        <v>2868760.9778383598</v>
      </c>
      <c r="E48" s="335">
        <v>65</v>
      </c>
      <c r="F48" s="335">
        <v>16376826.2504804</v>
      </c>
    </row>
    <row r="49" spans="1:6">
      <c r="A49" s="1295" t="s">
        <v>32</v>
      </c>
      <c r="B49" s="1295" t="s">
        <v>40</v>
      </c>
      <c r="C49" s="335">
        <v>0</v>
      </c>
      <c r="D49" s="335">
        <v>0</v>
      </c>
      <c r="E49" s="335">
        <v>0</v>
      </c>
      <c r="F49" s="335">
        <v>0</v>
      </c>
    </row>
    <row r="50" spans="1:6">
      <c r="A50" s="1295" t="s">
        <v>32</v>
      </c>
      <c r="B50" s="1295" t="s">
        <v>41</v>
      </c>
      <c r="C50" s="335">
        <v>8</v>
      </c>
      <c r="D50" s="335">
        <v>422935.04451777501</v>
      </c>
      <c r="E50" s="335">
        <v>12</v>
      </c>
      <c r="F50" s="335">
        <v>321054.210239387</v>
      </c>
    </row>
    <row r="51" spans="1:6">
      <c r="A51" s="1295" t="s">
        <v>42</v>
      </c>
      <c r="B51" s="1295" t="s">
        <v>43</v>
      </c>
      <c r="C51" s="335">
        <v>0</v>
      </c>
      <c r="D51" s="335">
        <v>0</v>
      </c>
      <c r="E51" s="335">
        <v>0</v>
      </c>
      <c r="F51" s="335">
        <v>0</v>
      </c>
    </row>
    <row r="52" spans="1:6">
      <c r="A52" s="1295" t="s">
        <v>42</v>
      </c>
      <c r="B52" s="1295" t="s">
        <v>29</v>
      </c>
      <c r="C52" s="335">
        <v>0</v>
      </c>
      <c r="D52" s="335">
        <v>0</v>
      </c>
      <c r="E52" s="335">
        <v>5</v>
      </c>
      <c r="F52" s="335">
        <v>57485.721123388103</v>
      </c>
    </row>
    <row r="53" spans="1:6">
      <c r="A53" s="1295" t="s">
        <v>44</v>
      </c>
      <c r="B53" s="1295" t="s">
        <v>45</v>
      </c>
      <c r="C53" s="335">
        <v>116</v>
      </c>
      <c r="D53" s="335">
        <v>4722269.2526149601</v>
      </c>
      <c r="E53" s="335">
        <v>246</v>
      </c>
      <c r="F53" s="335">
        <v>811453.794988935</v>
      </c>
    </row>
    <row r="54" spans="1:6">
      <c r="A54" s="1295" t="s">
        <v>46</v>
      </c>
      <c r="B54" s="1295" t="s">
        <v>47</v>
      </c>
      <c r="C54" s="335">
        <v>0</v>
      </c>
      <c r="D54" s="335">
        <v>0</v>
      </c>
      <c r="E54" s="335">
        <v>1</v>
      </c>
      <c r="F54" s="335">
        <v>1236528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24</v>
      </c>
      <c r="D57" s="335">
        <v>895422.56236973801</v>
      </c>
      <c r="E57" s="335">
        <v>100</v>
      </c>
      <c r="F57" s="335">
        <v>1167834.8859309601</v>
      </c>
    </row>
    <row r="58" spans="1:6">
      <c r="A58" s="1295" t="s">
        <v>49</v>
      </c>
      <c r="B58" s="1295" t="s">
        <v>51</v>
      </c>
      <c r="C58" s="335">
        <v>6</v>
      </c>
      <c r="D58" s="335">
        <v>171167.93929295099</v>
      </c>
      <c r="E58" s="335">
        <v>7</v>
      </c>
      <c r="F58" s="335">
        <v>202636.234560382</v>
      </c>
    </row>
    <row r="59" spans="1:6">
      <c r="A59" s="1295" t="s">
        <v>49</v>
      </c>
      <c r="B59" s="1295" t="s">
        <v>52</v>
      </c>
      <c r="C59" s="335">
        <v>34</v>
      </c>
      <c r="D59" s="335">
        <v>1812355.1928355701</v>
      </c>
      <c r="E59" s="335">
        <v>125</v>
      </c>
      <c r="F59" s="335">
        <v>5229528.3923490597</v>
      </c>
    </row>
    <row r="60" spans="1:6">
      <c r="A60" s="1295" t="s">
        <v>49</v>
      </c>
      <c r="B60" s="1295" t="s">
        <v>53</v>
      </c>
      <c r="C60" s="335">
        <v>46</v>
      </c>
      <c r="D60" s="335">
        <v>1532123.46109786</v>
      </c>
      <c r="E60" s="335">
        <v>63</v>
      </c>
      <c r="F60" s="335">
        <v>1016881.80319668</v>
      </c>
    </row>
    <row r="61" spans="1:6">
      <c r="A61" s="1295" t="s">
        <v>49</v>
      </c>
      <c r="B61" s="1295" t="s">
        <v>54</v>
      </c>
      <c r="C61" s="335">
        <v>103</v>
      </c>
      <c r="D61" s="335">
        <v>4452967.6121879499</v>
      </c>
      <c r="E61" s="335">
        <v>208</v>
      </c>
      <c r="F61" s="335">
        <v>2534329.44037874</v>
      </c>
    </row>
    <row r="62" spans="1:6">
      <c r="A62" s="1295" t="s">
        <v>49</v>
      </c>
      <c r="B62" s="1295" t="s">
        <v>55</v>
      </c>
      <c r="C62" s="335">
        <v>6</v>
      </c>
      <c r="D62" s="335">
        <v>491487.85082044802</v>
      </c>
      <c r="E62" s="335">
        <v>8</v>
      </c>
      <c r="F62" s="335">
        <v>485344.65447170899</v>
      </c>
    </row>
    <row r="63" spans="1:6">
      <c r="A63" s="1295" t="s">
        <v>49</v>
      </c>
      <c r="B63" s="1295" t="s">
        <v>29</v>
      </c>
      <c r="C63" s="335">
        <v>127</v>
      </c>
      <c r="D63" s="335">
        <v>125051236.158667</v>
      </c>
      <c r="E63" s="335">
        <v>169</v>
      </c>
      <c r="F63" s="335">
        <v>3122496.92956367</v>
      </c>
    </row>
    <row r="64" spans="1:6">
      <c r="A64" s="1295" t="s">
        <v>56</v>
      </c>
      <c r="B64" s="1295" t="s">
        <v>57</v>
      </c>
      <c r="C64" s="335">
        <v>0</v>
      </c>
      <c r="D64" s="335">
        <v>0</v>
      </c>
      <c r="E64" s="335">
        <v>0</v>
      </c>
      <c r="F64" s="335">
        <v>0</v>
      </c>
    </row>
    <row r="65" spans="1:6">
      <c r="A65" s="1295" t="s">
        <v>56</v>
      </c>
      <c r="B65" s="1295" t="s">
        <v>29</v>
      </c>
      <c r="C65" s="335">
        <v>3</v>
      </c>
      <c r="D65" s="335">
        <v>41542.4485332494</v>
      </c>
      <c r="E65" s="335">
        <v>4</v>
      </c>
      <c r="F65" s="335">
        <v>9752.2187225196994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81767.667984264001</v>
      </c>
      <c r="E68" s="335">
        <v>3</v>
      </c>
      <c r="F68" s="335">
        <v>11313.2399954877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25702342</v>
      </c>
      <c r="E73" s="335">
        <v>24334830.451623473</v>
      </c>
    </row>
    <row r="74" spans="1:6">
      <c r="A74" s="1295" t="s">
        <v>64</v>
      </c>
      <c r="B74" s="1295" t="s">
        <v>727</v>
      </c>
      <c r="C74" s="1295" t="s">
        <v>728</v>
      </c>
      <c r="D74" s="335">
        <v>1467804.6666334847</v>
      </c>
      <c r="E74" s="335">
        <v>1487225.9620679466</v>
      </c>
    </row>
    <row r="75" spans="1:6">
      <c r="A75" s="1295" t="s">
        <v>65</v>
      </c>
      <c r="B75" s="1295" t="s">
        <v>725</v>
      </c>
      <c r="C75" s="1295" t="s">
        <v>729</v>
      </c>
      <c r="D75" s="335">
        <v>27466483</v>
      </c>
      <c r="E75" s="335">
        <v>26002890.01805605</v>
      </c>
    </row>
    <row r="76" spans="1:6">
      <c r="A76" s="1295" t="s">
        <v>65</v>
      </c>
      <c r="B76" s="1295" t="s">
        <v>727</v>
      </c>
      <c r="C76" s="1295" t="s">
        <v>730</v>
      </c>
      <c r="D76" s="335">
        <v>551581.66663348465</v>
      </c>
      <c r="E76" s="335">
        <v>556412.00186454505</v>
      </c>
    </row>
    <row r="77" spans="1:6">
      <c r="A77" s="1295" t="s">
        <v>66</v>
      </c>
      <c r="B77" s="1295" t="s">
        <v>725</v>
      </c>
      <c r="C77" s="1295" t="s">
        <v>731</v>
      </c>
      <c r="D77" s="335">
        <v>5795852</v>
      </c>
      <c r="E77" s="335">
        <v>6654942.3041345924</v>
      </c>
    </row>
    <row r="78" spans="1:6">
      <c r="A78" s="1291" t="s">
        <v>66</v>
      </c>
      <c r="B78" s="1291" t="s">
        <v>727</v>
      </c>
      <c r="C78" s="1291" t="s">
        <v>732</v>
      </c>
      <c r="D78" s="1291">
        <v>692643</v>
      </c>
      <c r="E78" s="1291">
        <v>764360.98040996678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248778.66673303061</v>
      </c>
      <c r="C83" s="335">
        <v>248274.44908809243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2661.2579999999998</v>
      </c>
    </row>
    <row r="92" spans="1:6">
      <c r="A92" s="1291" t="s">
        <v>69</v>
      </c>
      <c r="B92" s="338">
        <v>828.94209999999998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2673</v>
      </c>
    </row>
    <row r="98" spans="1:6">
      <c r="A98" s="1295" t="s">
        <v>72</v>
      </c>
      <c r="B98" s="335">
        <v>0</v>
      </c>
    </row>
    <row r="99" spans="1:6">
      <c r="A99" s="1295" t="s">
        <v>73</v>
      </c>
      <c r="B99" s="335">
        <v>112</v>
      </c>
    </row>
    <row r="100" spans="1:6">
      <c r="A100" s="1295" t="s">
        <v>74</v>
      </c>
      <c r="B100" s="335">
        <v>655</v>
      </c>
    </row>
    <row r="101" spans="1:6">
      <c r="A101" s="1295" t="s">
        <v>75</v>
      </c>
      <c r="B101" s="335">
        <v>40</v>
      </c>
    </row>
    <row r="102" spans="1:6">
      <c r="A102" s="1295" t="s">
        <v>76</v>
      </c>
      <c r="B102" s="335">
        <v>98</v>
      </c>
    </row>
    <row r="103" spans="1:6">
      <c r="A103" s="1295" t="s">
        <v>77</v>
      </c>
      <c r="B103" s="335">
        <v>226</v>
      </c>
    </row>
    <row r="104" spans="1:6">
      <c r="A104" s="1295" t="s">
        <v>78</v>
      </c>
      <c r="B104" s="335">
        <v>2985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10</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73</v>
      </c>
    </row>
    <row r="130" spans="1:6">
      <c r="A130" s="1295" t="s">
        <v>295</v>
      </c>
      <c r="B130" s="335">
        <v>2</v>
      </c>
    </row>
    <row r="131" spans="1:6">
      <c r="A131" s="1295" t="s">
        <v>296</v>
      </c>
      <c r="B131" s="335">
        <v>9</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70065.325510870083</v>
      </c>
      <c r="C3" s="43" t="s">
        <v>170</v>
      </c>
      <c r="D3" s="43"/>
      <c r="E3" s="156"/>
      <c r="F3" s="43"/>
      <c r="G3" s="43"/>
      <c r="H3" s="43"/>
      <c r="I3" s="43"/>
      <c r="J3" s="43"/>
      <c r="K3" s="96"/>
    </row>
    <row r="4" spans="1:11">
      <c r="A4" s="366" t="s">
        <v>171</v>
      </c>
      <c r="B4" s="49">
        <f>IF(ISERROR('SEAP template'!B78),0,'SEAP template'!B78)</f>
        <v>3490.2001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0.20999121332162607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1236.528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0.20999121332162607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259.66001502616365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B46*B57</f>
        <v>5824.4349850485842</v>
      </c>
      <c r="F5" s="17">
        <f>B51*B62</f>
        <v>22909.912656888013</v>
      </c>
      <c r="G5" s="18"/>
      <c r="H5" s="17"/>
      <c r="I5" s="17"/>
      <c r="J5" s="17">
        <f>B50*B61+C50*C61</f>
        <v>0</v>
      </c>
      <c r="K5" s="17"/>
      <c r="L5" s="17"/>
      <c r="M5" s="17"/>
      <c r="N5" s="17">
        <f>B48*B59+C48*C59</f>
        <v>7798.3513386145814</v>
      </c>
      <c r="O5" s="17">
        <f>B69*B70*B71</f>
        <v>128.19333333333336</v>
      </c>
      <c r="P5" s="17">
        <f>B77*B78*B79/1000-B77*B78*B79/1000/B80</f>
        <v>305.06666666666666</v>
      </c>
    </row>
    <row r="6" spans="1:16">
      <c r="A6" s="16" t="s">
        <v>634</v>
      </c>
      <c r="B6" s="783">
        <f>kWh_PV_kleiner_dan_10kW</f>
        <v>2661.2579999999998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35091.349016689899</v>
      </c>
      <c r="C8" s="21">
        <f>C5</f>
        <v>0</v>
      </c>
      <c r="D8" s="21">
        <f>D5</f>
        <v>80093.61046522946</v>
      </c>
      <c r="E8" s="21">
        <f>E5</f>
        <v>5824.4349850485842</v>
      </c>
      <c r="F8" s="21">
        <f>F5</f>
        <v>22909.912656888013</v>
      </c>
      <c r="G8" s="21"/>
      <c r="H8" s="21"/>
      <c r="I8" s="21"/>
      <c r="J8" s="21">
        <f>J5</f>
        <v>0</v>
      </c>
      <c r="K8" s="21"/>
      <c r="L8" s="21">
        <f>L5</f>
        <v>0</v>
      </c>
      <c r="M8" s="21">
        <f>M5</f>
        <v>0</v>
      </c>
      <c r="N8" s="21">
        <f>N5</f>
        <v>7798.3513386145814</v>
      </c>
      <c r="O8" s="21">
        <f>O5</f>
        <v>128.19333333333336</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0.20999121332162607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7368.8749571073622</v>
      </c>
      <c r="C12" s="23">
        <f ca="1">C10*C8</f>
        <v>0</v>
      </c>
      <c r="D12" s="23">
        <f>D8*D10</f>
        <v>16178.909313976352</v>
      </c>
      <c r="E12" s="23">
        <f>E10*E8</f>
        <v>1322.1467416060286</v>
      </c>
      <c r="F12" s="23">
        <f>F10*F8</f>
        <v>6116.9466793890997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2673</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13.878562577447337</v>
      </c>
      <c r="D20" s="231"/>
      <c r="E20" s="15"/>
    </row>
    <row r="21" spans="1:7">
      <c r="A21" s="173" t="s">
        <v>74</v>
      </c>
      <c r="B21" s="37">
        <f>aantalw2001_elektriciteit</f>
        <v>655</v>
      </c>
      <c r="C21" s="169">
        <f>IF(ISERROR(B21/SUM($B$20,$B$21,$B$22)*100),0,B21/SUM($B$20,$B$21,$B$22)*100)</f>
        <v>81.164807930607182</v>
      </c>
      <c r="D21" s="231"/>
      <c r="E21" s="15"/>
    </row>
    <row r="22" spans="1:7">
      <c r="A22" s="173" t="s">
        <v>75</v>
      </c>
      <c r="B22" s="37">
        <f>aantalw2001_hout</f>
        <v>40</v>
      </c>
      <c r="C22" s="169">
        <f>IF(ISERROR(B22/SUM($B$20,$B$21,$B$22)*100),0,B22/SUM($B$20,$B$21,$B$22)*100)</f>
        <v>4.9566294919454776</v>
      </c>
      <c r="D22" s="231"/>
      <c r="E22" s="15"/>
    </row>
    <row r="23" spans="1:7">
      <c r="A23" s="173" t="s">
        <v>76</v>
      </c>
      <c r="B23" s="37">
        <f>aantalw2001_niet_gespec</f>
        <v>98</v>
      </c>
      <c r="C23" s="168" t="s">
        <v>111</v>
      </c>
      <c r="D23" s="230"/>
      <c r="E23" s="15"/>
    </row>
    <row r="24" spans="1:7">
      <c r="A24" s="173" t="s">
        <v>77</v>
      </c>
      <c r="B24" s="37">
        <f>aantalw2001_steenkool</f>
        <v>226</v>
      </c>
      <c r="C24" s="168" t="s">
        <v>111</v>
      </c>
      <c r="D24" s="231"/>
      <c r="E24" s="15"/>
    </row>
    <row r="25" spans="1:7">
      <c r="A25" s="173" t="s">
        <v>78</v>
      </c>
      <c r="B25" s="37">
        <f>aantalw2001_stookolie</f>
        <v>2985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7919</v>
      </c>
      <c r="C28" s="36"/>
      <c r="D28" s="230"/>
    </row>
    <row r="29" spans="1:7" s="15" customFormat="1">
      <c r="A29" s="232" t="s">
        <v>746</v>
      </c>
      <c r="B29" s="37">
        <f>SUM(HH_hh_gas_aantal,HH_rest_gas_aantal)</f>
        <v>4983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4983</v>
      </c>
      <c r="C32" s="169">
        <f>IF(ISERROR(B32/SUM($B$32,$B$34,$B$35,$B$36,$B$38,$B$39)*100),0,B32/SUM($B$32,$B$34,$B$35,$B$36,$B$38,$B$39)*100)</f>
        <v>63.052005567506008</v>
      </c>
      <c r="D32" s="235"/>
      <c r="G32" s="15"/>
    </row>
    <row r="33" spans="1:7">
      <c r="A33" s="173" t="s">
        <v>72</v>
      </c>
      <c r="B33" s="34" t="s">
        <v>111</v>
      </c>
      <c r="C33" s="169"/>
      <c r="D33" s="235"/>
      <c r="G33" s="15"/>
    </row>
    <row r="34" spans="1:7">
      <c r="A34" s="173" t="s">
        <v>73</v>
      </c>
      <c r="B34" s="33">
        <f>IF((($B$28-$B$32-$B$39-$B$77-$B$38)*C20/100)&lt;0,0,($B$28-$B$32-$B$39-$B$77-$B$38)*C20/100)</f>
        <v>279.51425030978936</v>
      </c>
      <c r="C34" s="169">
        <f>IF(ISERROR(B34/SUM($B$32,$B$34,$B$35,$B$36,$B$38,$B$39)*100),0,B34/SUM($B$32,$B$34,$B$35,$B$36,$B$38,$B$39)*100)</f>
        <v>3.5368119740578177</v>
      </c>
      <c r="D34" s="235"/>
      <c r="G34" s="15"/>
    </row>
    <row r="35" spans="1:7">
      <c r="A35" s="173" t="s">
        <v>74</v>
      </c>
      <c r="B35" s="33">
        <f>IF((($B$28-$B$32-$B$39-$B$77-$B$38)*C21/100)&lt;0,0,($B$28-$B$32-$B$39-$B$77-$B$38)*C21/100)</f>
        <v>1634.6592317224286</v>
      </c>
      <c r="C35" s="169">
        <f>IF(ISERROR(B35/SUM($B$32,$B$34,$B$35,$B$36,$B$38,$B$39)*100),0,B35/SUM($B$32,$B$34,$B$35,$B$36,$B$38,$B$39)*100)</f>
        <v>20.684034312570272</v>
      </c>
      <c r="D35" s="235"/>
      <c r="G35" s="15"/>
    </row>
    <row r="36" spans="1:7">
      <c r="A36" s="173" t="s">
        <v>75</v>
      </c>
      <c r="B36" s="33">
        <f>IF((($B$28-$B$32-$B$39-$B$77-$B$38)*C22/100)&lt;0,0,($B$28-$B$32-$B$39-$B$77-$B$38)*C22/100)</f>
        <v>99.826517967781911</v>
      </c>
      <c r="C36" s="169">
        <f>IF(ISERROR(B36/SUM($B$32,$B$34,$B$35,$B$36,$B$38,$B$39)*100),0,B36/SUM($B$32,$B$34,$B$35,$B$36,$B$38,$B$39)*100)</f>
        <v>1.2631471335920779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906</v>
      </c>
      <c r="C39" s="169">
        <f>IF(ISERROR(B39/SUM($B$32,$B$34,$B$35,$B$36,$B$38,$B$39)*100),0,B39/SUM($B$32,$B$34,$B$35,$B$36,$B$38,$B$39)*100)</f>
        <v>11.464001012273819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4983</v>
      </c>
      <c r="C44" s="34" t="s">
        <v>111</v>
      </c>
      <c r="D44" s="176"/>
    </row>
    <row r="45" spans="1:7">
      <c r="A45" s="173" t="s">
        <v>72</v>
      </c>
      <c r="B45" s="33" t="str">
        <f t="shared" si="0"/>
        <v>-</v>
      </c>
      <c r="C45" s="34" t="s">
        <v>111</v>
      </c>
      <c r="D45" s="176"/>
    </row>
    <row r="46" spans="1:7">
      <c r="A46" s="173" t="s">
        <v>73</v>
      </c>
      <c r="B46" s="33">
        <f t="shared" si="0"/>
        <v>279.51425030978936</v>
      </c>
      <c r="C46" s="34" t="s">
        <v>111</v>
      </c>
      <c r="D46" s="176"/>
    </row>
    <row r="47" spans="1:7">
      <c r="A47" s="173" t="s">
        <v>74</v>
      </c>
      <c r="B47" s="33">
        <f t="shared" si="0"/>
        <v>1634.6592317224286</v>
      </c>
      <c r="C47" s="34" t="s">
        <v>111</v>
      </c>
      <c r="D47" s="176"/>
    </row>
    <row r="48" spans="1:7">
      <c r="A48" s="173" t="s">
        <v>75</v>
      </c>
      <c r="B48" s="33">
        <f t="shared" si="0"/>
        <v>99.826517967781911</v>
      </c>
      <c r="C48" s="33">
        <f>B48*10</f>
        <v>998.26517967781911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13759.052340451199</v>
      </c>
      <c r="C5" s="17">
        <f>IF(ISERROR('Eigen informatie GS &amp; warmtenet'!B58),0,'Eigen informatie GS &amp; warmtenet'!B58)</f>
        <v>0</v>
      </c>
      <c r="D5" s="30">
        <f>SUM(D6:D12)</f>
        <v>121234.89822109891</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54</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53</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52</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51</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50</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55</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3122.4969295636702</v>
      </c>
      <c r="C12" s="33"/>
      <c r="D12" s="37">
        <f>IF(ISERROR(TER_rest_gas_kWh/1000),0,TER_rest_gas_kWh/1000)*0.902</f>
        <v>112796.21501511763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13759.052340451199</v>
      </c>
      <c r="C16" s="21">
        <f t="shared" ca="1" si="1"/>
        <v>0</v>
      </c>
      <c r="D16" s="21">
        <f t="shared" ca="1" si="1"/>
        <v>121234.89822109891</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0.20999121332162607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2889.2800951271061</v>
      </c>
      <c r="C20" s="23">
        <f t="shared" ref="C20:P20" ca="1" si="2">C16*C18</f>
        <v>0</v>
      </c>
      <c r="D20" s="23">
        <f t="shared" ca="1" si="2"/>
        <v>24489.449440661981</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2534.3294403787399</v>
      </c>
      <c r="C26" s="39">
        <f>IF(ISERROR(B26*3.6/1000000/'E Balans VL '!Z12*100),0,B26*3.6/1000000/'E Balans VL '!Z12*100)</f>
        <v>5.3830412657256764E-2</v>
      </c>
      <c r="D26" s="239" t="s">
        <v>692</v>
      </c>
      <c r="F26" s="6"/>
    </row>
    <row r="27" spans="1:18">
      <c r="A27" s="233" t="s">
        <v>53</v>
      </c>
      <c r="B27" s="33">
        <f>IF(ISERROR(TER_horeca_ele_kWh/1000),0,TER_horeca_ele_kWh/1000)</f>
        <v>1016.88180319668</v>
      </c>
      <c r="C27" s="39">
        <f>IF(ISERROR(B27*3.6/1000000/'E Balans VL '!Z9*100),0,B27*3.6/1000000/'E Balans VL '!Z9*100)</f>
        <v>7.906875308834091E-2</v>
      </c>
      <c r="D27" s="239" t="s">
        <v>692</v>
      </c>
      <c r="F27" s="6"/>
    </row>
    <row r="28" spans="1:18">
      <c r="A28" s="173" t="s">
        <v>52</v>
      </c>
      <c r="B28" s="33">
        <f>IF(ISERROR(TER_handel_ele_kWh/1000),0,TER_handel_ele_kWh/1000)</f>
        <v>5229.5283923490597</v>
      </c>
      <c r="C28" s="39">
        <f>IF(ISERROR(B28*3.6/1000000/'E Balans VL '!Z13*100),0,B28*3.6/1000000/'E Balans VL '!Z13*100)</f>
        <v>0.14962296184435456</v>
      </c>
      <c r="D28" s="239" t="s">
        <v>692</v>
      </c>
      <c r="F28" s="6"/>
    </row>
    <row r="29" spans="1:18">
      <c r="A29" s="233" t="s">
        <v>51</v>
      </c>
      <c r="B29" s="33">
        <f>IF(ISERROR(TER_gezond_ele_kWh/1000),0,TER_gezond_ele_kWh/1000)</f>
        <v>202.63623456038201</v>
      </c>
      <c r="C29" s="39">
        <f>IF(ISERROR(B29*3.6/1000000/'E Balans VL '!Z10*100),0,B29*3.6/1000000/'E Balans VL '!Z10*100)</f>
        <v>2.209205826844967E-2</v>
      </c>
      <c r="D29" s="239" t="s">
        <v>692</v>
      </c>
      <c r="F29" s="6"/>
    </row>
    <row r="30" spans="1:18">
      <c r="A30" s="233" t="s">
        <v>50</v>
      </c>
      <c r="B30" s="33">
        <f>IF(ISERROR(TER_ander_ele_kWh/1000),0,TER_ander_ele_kWh/1000)</f>
        <v>1167.8348859309601</v>
      </c>
      <c r="C30" s="39">
        <f>IF(ISERROR(B30*3.6/1000000/'E Balans VL '!Z14*100),0,B30*3.6/1000000/'E Balans VL '!Z14*100)</f>
        <v>8.5459507781788693E-2</v>
      </c>
      <c r="D30" s="239" t="s">
        <v>692</v>
      </c>
      <c r="F30" s="6"/>
    </row>
    <row r="31" spans="1:18">
      <c r="A31" s="233" t="s">
        <v>55</v>
      </c>
      <c r="B31" s="33">
        <f>IF(ISERROR(TER_onderwijs_ele_kWh/1000),0,TER_onderwijs_ele_kWh/1000)</f>
        <v>485.34465447170896</v>
      </c>
      <c r="C31" s="39">
        <f>IF(ISERROR(B31*3.6/1000000/'E Balans VL '!Z11*100),0,B31*3.6/1000000/'E Balans VL '!Z11*100)</f>
        <v>9.7481834257644964E-2</v>
      </c>
      <c r="D31" s="239" t="s">
        <v>692</v>
      </c>
    </row>
    <row r="32" spans="1:18">
      <c r="A32" s="233" t="s">
        <v>260</v>
      </c>
      <c r="B32" s="33">
        <f>IF(ISERROR(TER_rest_ele_kWh/1000),0,TER_rest_ele_kWh/1000)</f>
        <v>3122.4969295636702</v>
      </c>
      <c r="C32" s="39">
        <f>IF(ISERROR(B32*3.6/1000000/'E Balans VL '!Z8*100),0,B32*3.6/1000000/'E Balans VL '!Z8*100)</f>
        <v>2.5446455028838091E-2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9</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19106.236933578228</v>
      </c>
      <c r="C5" s="17">
        <f>IF(ISERROR('Eigen informatie GS &amp; warmtenet'!B59),0,'Eigen informatie GS &amp; warmtenet'!B59)</f>
        <v>0</v>
      </c>
      <c r="D5" s="30">
        <f>SUM(D6:D15)</f>
        <v>3367.2392093892036</v>
      </c>
      <c r="E5" s="17">
        <f>SUM(E6:E15)</f>
        <v>1441.2341284113431</v>
      </c>
      <c r="F5" s="17">
        <f>SUM(F6:F15)</f>
        <v>5674.515800684987</v>
      </c>
      <c r="G5" s="18"/>
      <c r="H5" s="17"/>
      <c r="I5" s="17"/>
      <c r="J5" s="17">
        <f>SUM(J6:J15)</f>
        <v>41.979082714311872</v>
      </c>
      <c r="K5" s="17"/>
      <c r="L5" s="17"/>
      <c r="M5" s="17"/>
      <c r="N5" s="17">
        <f>SUM(N6:N15)</f>
        <v>3958.4814285838511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33</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583.82855851115687</v>
      </c>
      <c r="O9" s="33"/>
      <c r="P9" s="33"/>
      <c r="R9" s="32"/>
    </row>
    <row r="10" spans="1:18">
      <c r="A10" s="6" t="s">
        <v>41</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50.134378422245362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16376.826250480401</v>
      </c>
      <c r="C15" s="33"/>
      <c r="D15" s="37">
        <f>IF( ISERROR(IND_rest_gas_kWh/1000),0,IND_rest_gas_kWh/1000)*0.902</f>
        <v>2587.6224020102009</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3214.0033645892122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19106.236933578228</v>
      </c>
      <c r="C18" s="21">
        <f>C5+C16</f>
        <v>0</v>
      </c>
      <c r="D18" s="21">
        <f>MAX((D5+D16),0)</f>
        <v>3367.2392093892036</v>
      </c>
      <c r="E18" s="21">
        <f>MAX((E5+E16),0)</f>
        <v>1441.2341284113431</v>
      </c>
      <c r="F18" s="21">
        <f>MAX((F5+F16),0)</f>
        <v>5674.515800684987</v>
      </c>
      <c r="G18" s="21"/>
      <c r="H18" s="21"/>
      <c r="I18" s="21"/>
      <c r="J18" s="21">
        <f>MAX((J5+J16),0)</f>
        <v>41.979082714311872</v>
      </c>
      <c r="K18" s="21"/>
      <c r="L18" s="21">
        <f>MAX((L5+L16),0)</f>
        <v>0</v>
      </c>
      <c r="M18" s="21"/>
      <c r="N18" s="21">
        <f>MAX((N5+N16),0)</f>
        <v>3958.4814285838511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0.20999121332162607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4012.1418756925564</v>
      </c>
      <c r="C22" s="23">
        <f ca="1">C18*C20</f>
        <v>0</v>
      </c>
      <c r="D22" s="23">
        <f>D18*D20</f>
        <v>680.1823202966192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596.66706830129601</v>
      </c>
      <c r="C30" s="39">
        <f>IF(ISERROR(B30*3.6/1000000/'E Balans VL '!Z18*100),0,B30*3.6/1000000/'E Balans VL '!Z18*100)</f>
        <v>5.8710516392073538E-2</v>
      </c>
      <c r="D30" s="239" t="s">
        <v>692</v>
      </c>
    </row>
    <row r="31" spans="1:18">
      <c r="A31" s="6" t="s">
        <v>33</v>
      </c>
      <c r="B31" s="37">
        <f>IF( ISERROR(IND_ander_ele_kWh/1000),0,IND_ander_ele_kWh/1000)</f>
        <v>1788.2335792159001</v>
      </c>
      <c r="C31" s="39">
        <f>IF(ISERROR(B31*3.6/1000000/'E Balans VL '!Z19*100),0,B31*3.6/1000000/'E Balans VL '!Z19*100)</f>
        <v>7.7876145914977865E-2</v>
      </c>
      <c r="D31" s="239" t="s">
        <v>692</v>
      </c>
    </row>
    <row r="32" spans="1:18">
      <c r="A32" s="173" t="s">
        <v>41</v>
      </c>
      <c r="B32" s="37">
        <f>IF( ISERROR(IND_voed_ele_kWh/1000),0,IND_voed_ele_kWh/1000)</f>
        <v>321.05421023938698</v>
      </c>
      <c r="C32" s="39">
        <f>IF(ISERROR(B32*3.6/1000000/'E Balans VL '!Z20*100),0,B32*3.6/1000000/'E Balans VL '!Z20*100)</f>
        <v>6.0915406287516738E-2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23.455825341243102</v>
      </c>
      <c r="C35" s="39">
        <f>IF(ISERROR(B35*3.6/1000000/'E Balans VL '!Z22*100),0,B35*3.6/1000000/'E Balans VL '!Z22*100)</f>
        <v>3.2981245790352849E-3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16376.826250480401</v>
      </c>
      <c r="C37" s="39">
        <f>IF(ISERROR(B37*3.6/1000000/'E Balans VL '!Z15*100),0,B37*3.6/1000000/'E Balans VL '!Z15*100)</f>
        <v>0.1262035611488399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57.485721123388103</v>
      </c>
      <c r="C5" s="17">
        <f>'Eigen informatie GS &amp; warmtenet'!B60</f>
        <v>0</v>
      </c>
      <c r="D5" s="30">
        <f>IF(ISERROR(SUM(LB_lb_gas_kWh,LB_rest_gas_kWh)/1000),0,SUM(LB_lb_gas_kWh,LB_rest_gas_kWh)/1000)*0.902</f>
        <v>0</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57.485721123388103</v>
      </c>
      <c r="C8" s="21">
        <f>C5+C6</f>
        <v>0</v>
      </c>
      <c r="D8" s="21">
        <f>MAX((D5+D6),0)</f>
        <v>0</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0.20999121332162607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12.071496327368896</v>
      </c>
      <c r="C12" s="23">
        <f ca="1">C8*C10</f>
        <v>0</v>
      </c>
      <c r="D12" s="23">
        <f>D8*D10</f>
        <v>0</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8.0174462519537158E-3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32.502126702544395</v>
      </c>
      <c r="C26" s="249">
        <f>B26*'GWP N2O_CH4'!B5</f>
        <v>682.54466075343225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5.1782526889856948</v>
      </c>
      <c r="C27" s="249">
        <f>B27*'GWP N2O_CH4'!B5</f>
        <v>108.74330646869959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9">
        <f>B28*'GWP N2O_CH4'!B4</f>
        <v>134.761936124785</v>
      </c>
      <c r="D28" s="50"/>
    </row>
    <row r="29" spans="1:4">
      <c r="A29" s="41" t="s">
        <v>277</v>
      </c>
      <c r="B29" s="249">
        <f>B34*'ha_N2O bodem landbouw'!B4</f>
        <v>2.3171267965589322</v>
      </c>
      <c r="C29" s="249">
        <f>B29*'GWP N2O_CH4'!B4</f>
        <v>718.309306933269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5.7856340772359841E-4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1.1590934538370588E-5</v>
      </c>
      <c r="C5" s="448" t="s">
        <v>211</v>
      </c>
      <c r="D5" s="433">
        <f>SUM(D6:D11)</f>
        <v>2.2461984432332615E-5</v>
      </c>
      <c r="E5" s="433">
        <f>SUM(E6:E11)</f>
        <v>6.8486122858137154E-4</v>
      </c>
      <c r="F5" s="446" t="s">
        <v>211</v>
      </c>
      <c r="G5" s="433">
        <f>SUM(G6:G11)</f>
        <v>0.14467904926432273</v>
      </c>
      <c r="H5" s="433">
        <f>SUM(H6:H11)</f>
        <v>3.3368654169678963E-2</v>
      </c>
      <c r="I5" s="448" t="s">
        <v>211</v>
      </c>
      <c r="J5" s="448" t="s">
        <v>211</v>
      </c>
      <c r="K5" s="448" t="s">
        <v>211</v>
      </c>
      <c r="L5" s="448" t="s">
        <v>211</v>
      </c>
      <c r="M5" s="433">
        <f>SUM(M6:M11)</f>
        <v>8.0527749628398516E-3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5.0524174601145184E-6</v>
      </c>
      <c r="C6" s="887"/>
      <c r="D6" s="887">
        <f>vkm_2011_GW_PW*SUMIFS(TableVerdeelsleutelVkm[CNG],TableVerdeelsleutelVkm[Voertuigtype],"Lichte voertuigen")*SUMIFS(TableECFTransport[EnergieConsumptieFactor (PJ per km)],TableECFTransport[Index],CONCATENATE($A6,"_CNG_CNG"))</f>
        <v>7.1552112784334456E-6</v>
      </c>
      <c r="E6" s="887">
        <f>vkm_2011_GW_PW*SUMIFS(TableVerdeelsleutelVkm[LPG],TableVerdeelsleutelVkm[Voertuigtype],"Lichte voertuigen")*SUMIFS(TableECFTransport[EnergieConsumptieFactor (PJ per km)],TableECFTransport[Index],CONCATENATE($A6,"_LPG_LPG"))</f>
        <v>2.2472163067819382E-4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4.0388630369379896E-2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1.0822458498730097E-2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2.3169532938871534E-3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1.3855706704334884E-2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4.922788953229594E-6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6.2526419327945141E-4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5.3992020757150694E-6</v>
      </c>
      <c r="C8" s="887"/>
      <c r="D8" s="436">
        <f>vkm_2011_NGW_PW*SUMIFS(TableVerdeelsleutelVkm[CNG],TableVerdeelsleutelVkm[Voertuigtype],"Lichte voertuigen")*SUMIFS(TableECFTransport[EnergieConsumptieFactor (PJ per km)],TableECFTransport[Index],CONCATENATE($A8,"_CNG_CNG"))</f>
        <v>1.3622060358473147E-5</v>
      </c>
      <c r="E8" s="436">
        <f>vkm_2011_NGW_PW*SUMIFS(TableVerdeelsleutelVkm[LPG],TableVerdeelsleutelVkm[Voertuigtype],"Lichte voertuigen")*SUMIFS(TableECFTransport[EnergieConsumptieFactor (PJ per km)],TableECFTransport[Index],CONCATENATE($A8,"_LPG_LPG"))</f>
        <v>3.9405557711127525E-4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6.6796241475951396E-2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1.9880591841776377E-2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3.9225177724759031E-3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6.6419647117570606E-3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2.2330775286193027E-6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2.9972505005973466E-4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1.139315002541E-6</v>
      </c>
      <c r="C10" s="887"/>
      <c r="D10" s="436">
        <f>vkm_2011_SW_PW*SUMIFS(TableVerdeelsleutelVkm[CNG],TableVerdeelsleutelVkm[Voertuigtype],"Lichte voertuigen")*SUMIFS(TableECFTransport[EnergieConsumptieFactor (PJ per km)],TableECFTransport[Index],CONCATENATE($A10,"_CNG_CNG"))</f>
        <v>1.6847127954260217E-6</v>
      </c>
      <c r="E10" s="436">
        <f>vkm_2011_SW_PW*SUMIFS(TableVerdeelsleutelVkm[LPG],TableVerdeelsleutelVkm[Voertuigtype],"Lichte voertuigen")*SUMIFS(TableECFTransport[EnergieConsumptieFactor (PJ per km)],TableECFTransport[Index],CONCATENATE($A10,"_LPG_LPG"))</f>
        <v>6.608402079190246E-5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1.0756535833774717E-2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2.656057155928644E-3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6.067165978092641E-4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6.2399701691247568E-3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2.3908067619928178E-6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2.8159805532834616E-4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3.2197040384362743</v>
      </c>
      <c r="C14" s="21"/>
      <c r="D14" s="21">
        <f t="shared" ref="D14:M14" si="0">((D5)*10^9/3600)+D12</f>
        <v>6.239440120092393</v>
      </c>
      <c r="E14" s="21">
        <f t="shared" si="0"/>
        <v>190.23923016149209</v>
      </c>
      <c r="F14" s="21"/>
      <c r="G14" s="21">
        <f t="shared" si="0"/>
        <v>40188.624795645199</v>
      </c>
      <c r="H14" s="21">
        <f t="shared" si="0"/>
        <v>9269.0706026886019</v>
      </c>
      <c r="I14" s="21"/>
      <c r="J14" s="21"/>
      <c r="K14" s="21"/>
      <c r="L14" s="21"/>
      <c r="M14" s="21">
        <f t="shared" si="0"/>
        <v>2236.8819341221811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0.20999121332162607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0.67610955756777258</v>
      </c>
      <c r="C18" s="23"/>
      <c r="D18" s="23">
        <f t="shared" ref="D18:M18" si="1">D14*D16</f>
        <v>1.2603669042586634</v>
      </c>
      <c r="E18" s="23">
        <f t="shared" si="1"/>
        <v>43.184305246658703</v>
      </c>
      <c r="F18" s="23"/>
      <c r="G18" s="23">
        <f t="shared" si="1"/>
        <v>10730.362820437269</v>
      </c>
      <c r="H18" s="23">
        <f t="shared" si="1"/>
        <v>2307.9985800694617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3.2456780522239757E-3</v>
      </c>
      <c r="H50" s="323">
        <f t="shared" si="2"/>
        <v>0</v>
      </c>
      <c r="I50" s="323">
        <f t="shared" si="2"/>
        <v>0</v>
      </c>
      <c r="J50" s="323">
        <f t="shared" si="2"/>
        <v>0</v>
      </c>
      <c r="K50" s="323">
        <f t="shared" si="2"/>
        <v>0</v>
      </c>
      <c r="L50" s="323">
        <f t="shared" si="2"/>
        <v>0</v>
      </c>
      <c r="M50" s="323">
        <f t="shared" si="2"/>
        <v>1.4434324163950708E-4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3.2456780522239757E-3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1.4434324163950708E-4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901.57723672888221</v>
      </c>
      <c r="H54" s="21">
        <f t="shared" si="3"/>
        <v>0</v>
      </c>
      <c r="I54" s="21">
        <f t="shared" si="3"/>
        <v>0</v>
      </c>
      <c r="J54" s="21">
        <f t="shared" si="3"/>
        <v>0</v>
      </c>
      <c r="K54" s="21">
        <f t="shared" si="3"/>
        <v>0</v>
      </c>
      <c r="L54" s="21">
        <f t="shared" si="3"/>
        <v>0</v>
      </c>
      <c r="M54" s="21">
        <f t="shared" si="3"/>
        <v>40.095344899863079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0.20999121332162607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240.72112220661157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3490.2001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3490.2001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2019-07-04T14:27:07Z</dcterms:modified>
</cp:coreProperties>
</file>