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2" s="1"/>
  <c r="M4"/>
  <c r="L4"/>
  <c r="K4"/>
  <c r="I4"/>
  <c r="H4"/>
  <c r="G4"/>
  <c r="P11"/>
  <c r="O11"/>
  <c r="N11"/>
  <c r="M11"/>
  <c r="L11"/>
  <c r="K11"/>
  <c r="J11"/>
  <c r="I11"/>
  <c r="H11"/>
  <c r="G11"/>
  <c r="F11"/>
  <c r="E11"/>
  <c r="D11"/>
  <c r="C11"/>
  <c r="B11"/>
  <c r="P32"/>
  <c r="P29"/>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I24"/>
  <c r="H24"/>
  <c r="Q50"/>
  <c r="P50"/>
  <c r="O50"/>
  <c r="M50"/>
  <c r="L50"/>
  <c r="K50"/>
  <c r="J50"/>
  <c r="G50"/>
  <c r="D50"/>
  <c r="Q49"/>
  <c r="P49"/>
  <c r="Q20"/>
  <c r="P20"/>
  <c r="O20"/>
  <c r="M20"/>
  <c r="L20"/>
  <c r="L22" s="1"/>
  <c r="K20"/>
  <c r="J20"/>
  <c r="G20"/>
  <c r="D20"/>
  <c r="D22" s="1"/>
  <c r="Q19"/>
  <c r="P19"/>
  <c r="O19"/>
  <c r="M19"/>
  <c r="M22" s="1"/>
  <c r="L19"/>
  <c r="K19"/>
  <c r="K22" s="1"/>
  <c r="J19"/>
  <c r="I19"/>
  <c r="G19"/>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J26"/>
  <c r="H26"/>
  <c r="Q22"/>
  <c r="O22" l="1"/>
  <c r="O25" i="48"/>
  <c r="L78" i="14"/>
  <c r="L9" i="59"/>
  <c r="K20"/>
  <c r="Q52" i="14"/>
  <c r="G10" i="59"/>
  <c r="Q11" i="48"/>
  <c r="O28"/>
  <c r="D14"/>
  <c r="L10" i="59"/>
  <c r="E10"/>
  <c r="K78" i="14"/>
  <c r="K8" i="59"/>
  <c r="K10" s="1"/>
  <c r="E90" i="14"/>
  <c r="E18" i="59"/>
  <c r="E20" s="1"/>
  <c r="G22" i="14"/>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Q90" l="1"/>
  <c r="B17" i="6" s="1"/>
  <c r="P17" i="59"/>
  <c r="P20" s="1"/>
  <c r="Q78" i="14"/>
  <c r="B9" i="6" s="1"/>
  <c r="P8" i="59"/>
  <c r="P10" s="1"/>
  <c r="J78" i="14"/>
  <c r="J8" i="59"/>
  <c r="J10" s="1"/>
  <c r="J90" i="14"/>
  <c r="J17" i="59"/>
  <c r="J20" s="1"/>
  <c r="B87" i="14"/>
  <c r="C76"/>
  <c r="B76"/>
  <c r="C87"/>
  <c r="B78" l="1"/>
  <c r="B4" i="6" s="1"/>
  <c r="B8" i="59"/>
  <c r="B10" s="1"/>
  <c r="B90" i="14"/>
  <c r="B17" i="59"/>
  <c r="B2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28" i="48" l="1"/>
  <c r="L29"/>
  <c r="L32"/>
  <c r="L30"/>
  <c r="L22"/>
  <c r="L31"/>
  <c r="L27"/>
  <c r="L24"/>
  <c r="K32"/>
  <c r="K28"/>
  <c r="K26"/>
  <c r="K25"/>
  <c r="K27"/>
  <c r="K22"/>
  <c r="K24"/>
  <c r="K31"/>
  <c r="K30"/>
  <c r="K29"/>
  <c r="C24" i="14"/>
  <c r="C26" s="1"/>
  <c r="B7" i="48"/>
  <c r="L10" i="14"/>
  <c r="L16" s="1"/>
  <c r="L27" s="1"/>
  <c r="K5" i="48"/>
  <c r="P5"/>
  <c r="P23" s="1"/>
  <c r="Q10" i="14"/>
  <c r="J32" i="48"/>
  <c r="J27"/>
  <c r="J29"/>
  <c r="J24"/>
  <c r="J31"/>
  <c r="J28"/>
  <c r="J30"/>
  <c r="O4"/>
  <c r="P11" i="14"/>
  <c r="I26" i="48"/>
  <c r="I28"/>
  <c r="I29"/>
  <c r="I31"/>
  <c r="I32"/>
  <c r="I27"/>
  <c r="I30"/>
  <c r="I25"/>
  <c r="I22"/>
  <c r="I24"/>
  <c r="M32"/>
  <c r="M22"/>
  <c r="M29"/>
  <c r="M26"/>
  <c r="M24"/>
  <c r="M30"/>
  <c r="M25"/>
  <c r="M23"/>
  <c r="D30"/>
  <c r="D29"/>
  <c r="D28"/>
  <c r="D31"/>
  <c r="D24"/>
  <c r="D32"/>
  <c r="P4"/>
  <c r="Q11" i="14"/>
  <c r="D4" i="48"/>
  <c r="D22" s="1"/>
  <c r="E11" i="14"/>
  <c r="D11"/>
  <c r="C4" i="48"/>
  <c r="G32"/>
  <c r="G26"/>
  <c r="G25"/>
  <c r="G22"/>
  <c r="G30"/>
  <c r="G24"/>
  <c r="G29"/>
  <c r="G23"/>
  <c r="E31"/>
  <c r="E32"/>
  <c r="E24"/>
  <c r="E29"/>
  <c r="E30"/>
  <c r="E28"/>
  <c r="H29"/>
  <c r="H32"/>
  <c r="H26"/>
  <c r="H25"/>
  <c r="H22"/>
  <c r="H30"/>
  <c r="H24"/>
  <c r="H28"/>
  <c r="H23"/>
  <c r="C11" i="14"/>
  <c r="B4" i="48"/>
  <c r="F31"/>
  <c r="F32"/>
  <c r="F27"/>
  <c r="F28"/>
  <c r="F24"/>
  <c r="F29"/>
  <c r="F30"/>
  <c r="N32"/>
  <c r="N27"/>
  <c r="N29"/>
  <c r="N28"/>
  <c r="N31"/>
  <c r="N30"/>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G13" i="48"/>
  <c r="H13"/>
  <c r="H31" s="1"/>
  <c r="I18" i="14"/>
  <c r="P22" i="16"/>
  <c r="Q43" i="14" s="1"/>
  <c r="P8" i="48"/>
  <c r="P26" s="1"/>
  <c r="Q13" i="14"/>
  <c r="C22"/>
  <c r="P22" i="48"/>
  <c r="F20" i="14"/>
  <c r="F22" s="1"/>
  <c r="E9" i="48"/>
  <c r="D9"/>
  <c r="D27" s="1"/>
  <c r="E20" i="14"/>
  <c r="E22" s="1"/>
  <c r="F4" i="48"/>
  <c r="F22" s="1"/>
  <c r="G11" i="14"/>
  <c r="J7" i="48"/>
  <c r="J25" s="1"/>
  <c r="K24" i="14"/>
  <c r="K26" s="1"/>
  <c r="K15" i="48"/>
  <c r="K23"/>
  <c r="J10" i="14"/>
  <c r="J16" s="1"/>
  <c r="J27" s="1"/>
  <c r="I5" i="48"/>
  <c r="L63" i="14"/>
  <c r="L46"/>
  <c r="L61" s="1"/>
  <c r="K33" i="48"/>
  <c r="B9"/>
  <c r="C20" i="14"/>
  <c r="O5" i="48"/>
  <c r="O23" s="1"/>
  <c r="P10" i="14"/>
  <c r="M12" i="22"/>
  <c r="M13" i="48"/>
  <c r="M31" s="1"/>
  <c r="N18" i="14"/>
  <c r="O22" i="48"/>
  <c r="Q16" i="14"/>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E7" i="48"/>
  <c r="E25" s="1"/>
  <c r="F24" i="14"/>
  <c r="F26" s="1"/>
  <c r="J4" i="48"/>
  <c r="K11" i="14"/>
  <c r="N20"/>
  <c r="M9" i="48"/>
  <c r="G9"/>
  <c r="H20" i="14"/>
  <c r="O8" i="48"/>
  <c r="P13" i="14"/>
  <c r="P16" s="1"/>
  <c r="P27" s="1"/>
  <c r="G31" i="48"/>
  <c r="Q13"/>
  <c r="P15"/>
  <c r="R18" i="14"/>
  <c r="P33" i="48"/>
  <c r="H19" i="14"/>
  <c r="R19" s="1"/>
  <c r="G10" i="48"/>
  <c r="I23"/>
  <c r="I33" s="1"/>
  <c r="I15"/>
  <c r="Q46" i="14"/>
  <c r="Q61" s="1"/>
  <c r="Q63" s="1"/>
  <c r="N19"/>
  <c r="N22" s="1"/>
  <c r="N27" s="1"/>
  <c r="N63" s="1"/>
  <c r="M10" i="48"/>
  <c r="M28" s="1"/>
  <c r="E27"/>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J22" i="48" l="1"/>
  <c r="E22"/>
  <c r="Q4"/>
  <c r="H22" i="14"/>
  <c r="H27" s="1"/>
  <c r="I20"/>
  <c r="H9" i="48"/>
  <c r="Q9" s="1"/>
  <c r="G28"/>
  <c r="Q10"/>
  <c r="E61" i="14"/>
  <c r="M27" i="48"/>
  <c r="M33" s="1"/>
  <c r="M15"/>
  <c r="O26"/>
  <c r="O33" s="1"/>
  <c r="O15"/>
  <c r="K10" i="14"/>
  <c r="J5" i="48"/>
  <c r="J23" s="1"/>
  <c r="G27"/>
  <c r="G33" s="1"/>
  <c r="G15"/>
  <c r="E20" i="15"/>
  <c r="F40" i="14" s="1"/>
  <c r="E5" i="48"/>
  <c r="E23" s="1"/>
  <c r="F10" i="14"/>
  <c r="M61"/>
  <c r="M27"/>
  <c r="E16"/>
  <c r="E27" s="1"/>
  <c r="E63" s="1"/>
  <c r="L15" i="48"/>
  <c r="R24" i="14"/>
  <c r="R26" s="1"/>
  <c r="L33" i="48"/>
  <c r="Q7"/>
  <c r="R10" i="14"/>
  <c r="D23" i="48"/>
  <c r="D33" s="1"/>
  <c r="D15"/>
  <c r="C16" i="14"/>
  <c r="C27" s="1"/>
  <c r="B3" i="6" s="1"/>
  <c r="B12" s="1"/>
  <c r="F23" i="48"/>
  <c r="N23"/>
  <c r="Q5"/>
  <c r="B15"/>
  <c r="F18" i="16"/>
  <c r="E18"/>
  <c r="N18"/>
  <c r="J18"/>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22" l="1"/>
  <c r="I27" s="1"/>
  <c r="I63" s="1"/>
  <c r="R20"/>
  <c r="R22" s="1"/>
  <c r="H27" i="48"/>
  <c r="H33" s="1"/>
  <c r="H15"/>
  <c r="E8"/>
  <c r="F13" i="14"/>
  <c r="F16" s="1"/>
  <c r="F27" s="1"/>
  <c r="F63" s="1"/>
  <c r="J15" i="48"/>
  <c r="J22" i="16"/>
  <c r="K43" i="14" s="1"/>
  <c r="K46" s="1"/>
  <c r="K61" s="1"/>
  <c r="K13"/>
  <c r="K16" s="1"/>
  <c r="K27" s="1"/>
  <c r="J8" i="48"/>
  <c r="J26" s="1"/>
  <c r="J33" s="1"/>
  <c r="F46" i="14"/>
  <c r="F61" s="1"/>
  <c r="H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<sst xmlns="http://schemas.openxmlformats.org/spreadsheetml/2006/main" count="2447" uniqueCount="920">
  <si>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</si>
  <si>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</si>
  <si>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</si>
  <si>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</si>
  <si>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</si>
  <si>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</si>
  <si>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</si>
  <si>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</si>
  <si>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</si>
  <si>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</si>
  <si>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</si>
  <si>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</si>
  <si>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</si>
  <si>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</si>
  <si>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</si>
  <si>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</si>
  <si>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</si>
  <si>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</si>
  <si>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</si>
  <si>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</si>
  <si>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</si>
  <si>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</si>
  <si>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</si>
  <si>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</si>
  <si>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</si>
  <si>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</si>
  <si>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</si>
  <si>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</si>
  <si>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</si>
  <si>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</si>
  <si>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</si>
  <si>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</si>
  <si>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</si>
  <si>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</si>
  <si>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</si>
  <si>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</si>
  <si>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</si>
  <si>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</si>
  <si>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</si>
  <si>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</si>
  <si>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</si>
  <si>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</si>
  <si>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</si>
  <si>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</si>
  <si>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</si>
  <si>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</si>
  <si>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</si>
  <si>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</si>
  <si>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</si>
  <si>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</si>
  <si>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</si>
  <si>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</si>
  <si>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</si>
  <si>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</si>
  <si>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</si>
  <si>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</si>
  <si>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</si>
  <si>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</si>
  <si>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</si>
  <si>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</si>
  <si>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</si>
  <si>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</si>
  <si>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</si>
  <si>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</si>
  <si>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</si>
  <si>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</si>
  <si>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</si>
  <si>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</si>
  <si>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</si>
  <si>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</si>
  <si>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</si>
  <si>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</si>
  <si>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</si>
  <si>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</si>
  <si>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</si>
  <si>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</si>
  <si>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</si>
  <si>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</si>
  <si>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</si>
  <si>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</si>
  <si>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</si>
  <si>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</si>
  <si>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</si>
  <si>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</si>
  <si>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</si>
  <si>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</si>
  <si>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</si>
  <si>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</si>
  <si>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</si>
  <si>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</si>
  <si>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</si>
  <si>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</si>
  <si>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</si>
  <si>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</si>
  <si>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</si>
  <si>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</si>
  <si>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</si>
  <si>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</si>
  <si>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</si>
  <si>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</si>
  <si>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</si>
  <si>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</si>
  <si>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</si>
  <si>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</si>
  <si>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</si>
  <si>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</si>
  <si>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</si>
  <si>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</si>
  <si>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</si>
  <si>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</si>
  <si>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</si>
  <si>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</si>
  <si>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</si>
  <si>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</si>
  <si>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</si>
  <si>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</si>
  <si>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</si>
  <si>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</si>
  <si>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</si>
  <si>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</si>
  <si>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</si>
  <si>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</si>
  <si>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</si>
  <si>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</si>
  <si>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</si>
  <si>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</si>
  <si>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</si>
  <si>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</si>
  <si>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</si>
  <si>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</si>
  <si>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</si>
  <si>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</si>
  <si>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</si>
  <si>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</si>
  <si>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</si>
  <si>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</si>
  <si>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</si>
  <si>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</si>
  <si>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</si>
  <si>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</si>
  <si>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</si>
  <si>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</si>
  <si>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</si>
  <si>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</si>
  <si>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</si>
  <si>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</si>
  <si>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</si>
  <si>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</si>
  <si>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</si>
  <si>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</si>
  <si>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</si>
  <si>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</si>
  <si>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</si>
  <si>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</si>
  <si>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</si>
  <si>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</si>
  <si>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</si>
  <si>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</si>
  <si>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</si>
  <si>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</si>
  <si>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</si>
  <si>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</si>
  <si>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</si>
  <si>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</si>
  <si>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</si>
  <si>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</si>
  <si>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</si>
  <si>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</si>
  <si>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</si>
  <si>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</si>
  <si>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</si>
  <si>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</si>
  <si>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</si>
  <si>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</si>
  <si>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</si>
  <si>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</si>
  <si>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</si>
  <si>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</si>
  <si>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</si>
  <si>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</si>
  <si>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</si>
  <si>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</si>
  <si>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</si>
  <si>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</si>
  <si>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</si>
  <si>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</si>
  <si>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</si>
  <si>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</si>
  <si>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</si>
  <si>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</si>
  <si>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</si>
  <si>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</si>
  <si>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</si>
  <si>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</si>
  <si>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</si>
  <si>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</si>
  <si>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</si>
  <si>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</si>
  <si>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</si>
  <si>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</si>
  <si>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</si>
  <si>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</si>
  <si>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</si>
  <si>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</si>
  <si>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</si>
  <si>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</si>
  <si>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</si>
  <si>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</si>
  <si>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</si>
  <si>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</si>
  <si>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</si>
  <si>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</si>
  <si>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</si>
  <si>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</si>
  <si>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</si>
  <si>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</si>
  <si>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</si>
  <si>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</si>
  <si>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</si>
  <si>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</si>
  <si>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</si>
  <si>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</si>
  <si>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</si>
  <si>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</si>
  <si>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</si>
  <si>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</si>
  <si>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</si>
  <si>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</si>
  <si>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</si>
  <si>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</si>
  <si>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</si>
  <si>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</si>
  <si>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</si>
  <si>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</si>
  <si>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</si>
  <si>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</si>
  <si>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</si>
  <si>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</si>
  <si>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</si>
  <si>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</si>
  <si>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</si>
  <si>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</si>
  <si>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</si>
  <si>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</si>
  <si>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</si>
  <si>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</si>
  <si>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</si>
  <si>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</si>
  <si>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</si>
  <si>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</si>
  <si>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</si>
  <si>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</si>
  <si>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</si>
  <si>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</si>
  <si>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</si>
  <si>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</si>
  <si>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</si>
  <si>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</si>
  <si>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</si>
  <si>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</si>
  <si>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</si>
  <si>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</si>
  <si>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</si>
  <si>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</si>
  <si>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</si>
  <si>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</si>
  <si>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</si>
  <si>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</si>
  <si>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</si>
  <si>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</si>
  <si>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</si>
  <si>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</si>
  <si>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</si>
  <si>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</si>
  <si>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</si>
  <si>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</si>
  <si>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</si>
  <si>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</si>
  <si>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</si>
  <si>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</si>
  <si>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</si>
  <si>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</si>
  <si>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</si>
  <si>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</si>
  <si>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</si>
  <si>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</si>
  <si>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</si>
  <si>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</si>
  <si>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</si>
  <si>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</si>
  <si>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</si>
  <si>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</si>
  <si>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</si>
  <si>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</si>
  <si>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</si>
  <si>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</si>
  <si>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</si>
  <si>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</si>
  <si>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</si>
  <si>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</si>
  <si>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</si>
  <si>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</si>
  <si>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</si>
  <si>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</si>
  <si>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</si>
  <si>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</si>
  <si>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</si>
  <si>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</si>
  <si>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</si>
  <si>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</si>
  <si>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</si>
  <si>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</si>
  <si>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</si>
  <si>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</si>
  <si>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</si>
  <si>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</si>
  <si>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</si>
  <si>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</si>
  <si>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</si>
  <si>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</si>
  <si>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</si>
  <si>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</si>
  <si>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</si>
  <si>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</si>
  <si>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</si>
  <si>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</si>
  <si>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</si>
  <si>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</si>
  <si>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</si>
  <si>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</si>
  <si>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</si>
  <si>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</si>
  <si>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</si>
  <si>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</si>
  <si>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</si>
  <si>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</si>
  <si>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</si>
  <si>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</si>
  <si>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</si>
  <si>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</si>
  <si>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</si>
  <si>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</si>
  <si>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</si>
  <si>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</si>
  <si>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</si>
  <si>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</si>
  <si>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</si>
  <si>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</si>
  <si>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</si>
  <si>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</si>
  <si>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</si>
  <si>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</si>
  <si>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</si>
  <si>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</si>
  <si>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</si>
  <si>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</si>
  <si>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</si>
  <si>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</si>
  <si>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</si>
  <si>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</si>
  <si>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</si>
  <si>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</si>
  <si>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</si>
  <si>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</si>
  <si>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</si>
  <si>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</si>
  <si>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</si>
  <si>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</si>
  <si>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</si>
  <si>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</si>
  <si>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</si>
  <si>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</si>
  <si>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</si>
  <si>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</si>
  <si>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</si>
  <si>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</si>
  <si>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</si>
  <si>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</si>
  <si>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</si>
  <si>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</si>
  <si>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</si>
  <si>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</si>
  <si>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</si>
  <si>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</si>
  <si>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</si>
  <si>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</si>
  <si>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</si>
  <si>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</si>
  <si>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</si>
  <si>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</si>
  <si>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</si>
  <si>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</si>
  <si>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</si>
  <si>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</si>
  <si>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</si>
  <si>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</si>
  <si>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</si>
  <si>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</si>
  <si>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</si>
  <si>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</si>
  <si>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</si>
  <si>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</si>
  <si>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</si>
  <si>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</si>
  <si>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</si>
  <si>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</si>
  <si>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</si>
  <si>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</si>
  <si>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</si>
  <si>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</si>
  <si>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</si>
  <si>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</si>
  <si>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</si>
  <si>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</si>
  <si>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</si>
  <si>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</si>
  <si>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</si>
  <si>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</si>
  <si>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</si>
  <si>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</si>
  <si>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</si>
  <si>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</si>
  <si>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</si>
  <si>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</si>
  <si>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</si>
  <si>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</si>
  <si>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</si>
  <si>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</si>
  <si>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</si>
  <si>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</si>
  <si>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</si>
  <si>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</si>
  <si>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</si>
  <si>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</si>
  <si>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</si>
  <si>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</si>
  <si>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</si>
  <si>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</si>
  <si>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</si>
  <si>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</si>
  <si>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</si>
  <si>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</si>
  <si>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</si>
  <si>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</si>
  <si>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</si>
  <si>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</si>
  <si>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</si>
  <si>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</si>
  <si>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</si>
  <si>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</si>
  <si>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</si>
  <si>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</si>
  <si>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</si>
  <si>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</si>
  <si>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</si>
  <si>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</si>
  <si>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</si>
  <si>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</si>
  <si>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</si>
  <si>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</si>
  <si>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</si>
  <si>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</si>
  <si>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</si>
  <si>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</si>
  <si>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</si>
  <si>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</si>
  <si>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</si>
  <si>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</si>
  <si>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</si>
  <si>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</si>
  <si>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</si>
  <si>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</si>
  <si>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</si>
  <si>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</si>
  <si>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</si>
  <si>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</si>
  <si>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</si>
  <si>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</si>
  <si>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</si>
  <si>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</si>
  <si>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</si>
  <si>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</si>
  <si>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</si>
  <si>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</si>
  <si>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</si>
  <si>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</si>
  <si>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</si>
  <si>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</si>
  <si>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</si>
  <si>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</si>
  <si>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</si>
  <si>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</si>
  <si>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</si>
  <si>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</si>
  <si>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</si>
  <si>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</si>
  <si>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</si>
  <si>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</si>
  <si>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</si>
  <si>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</si>
  <si>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</si>
  <si>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</si>
  <si>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</si>
  <si>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</si>
  <si>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</si>
  <si>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</si>
  <si>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</si>
  <si>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</si>
  <si>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</si>
  <si>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</si>
  <si>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</si>
  <si>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</si>
  <si>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</si>
  <si>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</si>
  <si>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</si>
  <si>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</si>
  <si>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</si>
  <si>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</si>
  <si>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</si>
  <si>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</si>
  <si>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</si>
  <si>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</si>
  <si>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</si>
  <si>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</si>
  <si>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</si>
  <si>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</si>
  <si>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</si>
  <si>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</si>
  <si>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</si>
  <si>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</si>
  <si>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</si>
  <si>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</si>
  <si>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</si>
  <si>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</si>
  <si>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</si>
  <si>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</si>
  <si>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</si>
  <si>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</si>
  <si>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</si>
  <si>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</si>
  <si>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</si>
  <si>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</si>
  <si>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</si>
  <si>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</si>
  <si>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</si>
  <si>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</si>
  <si>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</si>
  <si>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</si>
  <si>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</si>
  <si>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</si>
  <si>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</si>
  <si>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</si>
  <si>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</si>
  <si>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</si>
  <si>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</si>
  <si>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</si>
  <si>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</si>
  <si>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</si>
  <si>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</si>
  <si>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</si>
  <si>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</si>
  <si>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</si>
  <si>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</si>
  <si>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</si>
  <si>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</si>
  <si>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</si>
  <si>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</si>
  <si>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</si>
  <si>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</si>
  <si>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</si>
  <si>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</si>
  <si>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</si>
  <si>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</si>
  <si>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</si>
  <si>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</si>
  <si>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</si>
  <si>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</si>
  <si>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</si>
  <si>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</si>
  <si>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</si>
  <si>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</si>
  <si>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</si>
  <si>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</si>
  <si>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</si>
  <si>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</si>
  <si>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</si>
  <si>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</si>
  <si>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</si>
  <si>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</si>
  <si>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</si>
  <si>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</si>
  <si>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</si>
  <si>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</si>
  <si>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</si>
  <si>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</si>
  <si>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</si>
  <si>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</si>
  <si>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</si>
  <si>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</si>
  <si>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</si>
  <si>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</si>
  <si>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</si>
  <si>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</si>
  <si>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</si>
  <si>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</si>
  <si>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</si>
  <si>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</si>
  <si>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</si>
  <si>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</si>
  <si>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</si>
  <si>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</si>
  <si>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</si>
  <si>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</si>
  <si>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</si>
  <si>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</si>
  <si>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</si>
  <si>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</si>
  <si>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</si>
  <si>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</si>
  <si>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</si>
  <si>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</si>
  <si>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</si>
  <si>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</si>
  <si>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</si>
  <si>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</si>
  <si>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</si>
  <si>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</si>
  <si>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</si>
  <si>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</si>
  <si>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</si>
  <si>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</si>
  <si>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</si>
  <si>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</si>
  <si>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</si>
  <si>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</si>
  <si>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</si>
  <si>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</si>
  <si>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</si>
  <si>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</si>
  <si>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</si>
  <si>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</si>
  <si>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</si>
  <si>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</si>
  <si>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</si>
  <si>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</si>
  <si>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</si>
  <si>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</si>
  <si>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</si>
  <si>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</si>
  <si>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</si>
  <si>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</si>
  <si>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</si>
  <si>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</si>
  <si>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</si>
  <si>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</si>
  <si>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</si>
  <si>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</si>
  <si>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</si>
  <si>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</si>
  <si>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</si>
  <si>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</si>
  <si>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</si>
  <si>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</si>
  <si>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</si>
  <si>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</si>
  <si>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</si>
  <si>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</si>
  <si>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</si>
  <si>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</si>
  <si>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</si>
  <si>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</si>
  <si>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</si>
  <si>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</si>
  <si>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</si>
  <si>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</si>
  <si>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</si>
  <si>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</si>
  <si>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</si>
  <si>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</si>
  <si>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</si>
  <si>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</si>
  <si>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</si>
  <si>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</si>
  <si>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</si>
  <si>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</si>
  <si>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</si>
  <si>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</si>
  <si>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</si>
  <si>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</si>
  <si>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</si>
  <si>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</si>
  <si>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</si>
  <si>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</si>
  <si>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</si>
  <si>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</si>
  <si>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</si>
  <si>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</si>
  <si>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</si>
  <si>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</si>
  <si>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</si>
  <si>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</si>
  <si>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</si>
  <si>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</si>
  <si>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</si>
  <si>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</si>
  <si>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</si>
  <si>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</si>
  <si>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</si>
  <si>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</si>
  <si>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</si>
  <si>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</si>
  <si>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</si>
  <si>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</si>
  <si>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</si>
  <si>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</si>
  <si>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</si>
  <si>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</si>
  <si>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</si>
  <si>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</si>
  <si>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</si>
  <si>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</si>
  <si>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</si>
  <si>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</si>
  <si>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</si>
  <si>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</si>
  <si>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</si>
  <si>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</si>
  <si>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</si>
  <si>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</si>
  <si>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</si>
  <si>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</si>
  <si>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</si>
  <si>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</si>
  <si>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</si>
  <si>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</si>
  <si>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</si>
  <si>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</si>
  <si>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</si>
  <si>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</si>
  <si>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</si>
  <si>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</si>
  <si>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</si>
  <si>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</si>
  <si>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</si>
  <si>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</si>
  <si>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</si>
  <si>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</si>
  <si>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</si>
  <si>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</si>
  <si>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</si>
  <si>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</si>
  <si>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</si>
  <si>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</si>
  <si>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</si>
  <si>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</si>
  <si>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</si>
  <si>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</si>
  <si>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</si>
  <si>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</si>
  <si>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</si>
  <si>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</si>
  <si>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</si>
  <si>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</si>
  <si>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</si>
  <si>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</si>
  <si>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</si>
  <si>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</si>
  <si>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</si>
  <si>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</si>
  <si>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</si>
  <si>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</si>
  <si>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</si>
  <si>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</si>
  <si>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</si>
  <si>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</si>
  <si>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</si>
  <si>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</si>
  <si>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</si>
  <si>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</si>
  <si>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</si>
  <si>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</si>
  <si>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</si>
  <si>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</si>
  <si>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</si>
  <si>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</si>
  <si>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</si>
  <si>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</si>
  <si>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</si>
  <si>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</si>
  <si>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</si>
  <si>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</si>
  <si>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</si>
  <si>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</si>
  <si>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</si>
  <si>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</si>
  <si>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</si>
  <si>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</si>
  <si>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</si>
  <si>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</si>
  <si>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</si>
  <si>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</si>
  <si>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</si>
  <si>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</si>
  <si>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</si>
  <si>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</si>
  <si>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</si>
  <si>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</si>
  <si>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</si>
  <si>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</si>
  <si>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</si>
  <si>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</si>
  <si>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</si>
  <si>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</si>
  <si>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</si>
  <si>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</si>
  <si>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</si>
  <si>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</si>
  <si>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</si>
  <si>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</si>
  <si>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</si>
  <si>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</si>
  <si>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</si>
  <si>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</si>
  <si>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</si>
  <si>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</si>
  <si>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</si>
  <si>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</si>
  <si>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</si>
  <si>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</si>
  <si>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</si>
  <si>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</si>
  <si>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</si>
  <si>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</si>
  <si>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</si>
  <si>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</si>
  <si>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</si>
  <si>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</si>
  <si>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</si>
  <si>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</si>
  <si>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</si>
  <si>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</si>
  <si>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</si>
  <si>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</si>
  <si>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</si>
  <si>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</si>
  <si>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</si>
  <si>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</si>
  <si>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</si>
  <si>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</si>
  <si>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</si>
  <si>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</si>
  <si>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</si>
  <si>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</si>
  <si>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</si>
  <si>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</si>
  <si>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</si>
  <si>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</si>
  <si>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</si>
  <si>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</si>
  <si>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</si>
  <si>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</si>
  <si>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</si>
  <si>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</si>
  <si>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</si>
  <si>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</si>
  <si>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</si>
  <si>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</si>
  <si>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</si>
  <si>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</si>
  <si>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</si>
  <si>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</si>
  <si>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</si>
  <si>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</si>
  <si>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</si>
  <si>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</si>
  <si>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</si>
  <si>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</si>
  <si>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</si>
  <si>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</si>
  <si>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</si>
  <si>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</si>
  <si>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</si>
  <si>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</si>
  <si>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</si>
  <si>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</si>
  <si>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</si>
  <si>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</si>
  <si>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</si>
  <si>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</si>
  <si>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</si>
  <si>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</si>
  <si>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</si>
  <si>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</si>
  <si>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</si>
  <si>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</si>
  <si>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</si>
  <si>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</si>
  <si>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</si>
  <si>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</si>
  <si>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</si>
  <si>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</si>
  <si>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</si>
  <si>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</si>
  <si>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38025</t>
  </si>
  <si>
    <t>VEURNE</t>
  </si>
  <si>
    <t>Cultuurgrond (ha)</t>
  </si>
  <si>
    <t>Paarden&amp;pony's 200 - 600 kg</t>
  </si>
  <si>
    <t>Paarden&amp;pony's &lt; 200 kg</t>
  </si>
  <si>
    <t>op basis van VEA (maart 2018) en Inventaris Hernieuwbare Energiebronnen (juni 2018)</t>
  </si>
  <si>
    <t>VEA (juni 2018)</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</si>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</sst>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97532.646323573019</c:v>
                </c:pt>
                <c:pt idx="1">
                  <c:v>67352.929831314948</c:v>
                </c:pt>
                <c:pt idx="2">
                  <c:v>936.04600000000005</c:v>
                </c:pt>
                <c:pt idx="3">
                  <c:v>24981.93879854387</c:v>
                </c:pt>
                <c:pt idx="4">
                  <c:v>275344.79375326831</c:v>
                </c:pt>
                <c:pt idx="5">
                  <c:v>187056.44008745262</c:v>
                </c:pt>
                <c:pt idx="6">
                  <c:v>1203.3569694346668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97532.646323573019</c:v>
                </c:pt>
                <c:pt idx="1">
                  <c:v>67352.929831314948</c:v>
                </c:pt>
                <c:pt idx="2">
                  <c:v>936.04600000000005</c:v>
                </c:pt>
                <c:pt idx="3">
                  <c:v>24981.93879854387</c:v>
                </c:pt>
                <c:pt idx="4">
                  <c:v>275344.79375326831</c:v>
                </c:pt>
                <c:pt idx="5">
                  <c:v>187056.44008745262</c:v>
                </c:pt>
                <c:pt idx="6">
                  <c:v>1203.3569694346668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18081.293476779916</c:v>
                </c:pt>
                <c:pt idx="2">
                  <c:v>13755.470394519398</c:v>
                </c:pt>
                <c:pt idx="3">
                  <c:v>190.37300116809908</c:v>
                </c:pt>
                <c:pt idx="4">
                  <c:v>6378.1638156008776</c:v>
                </c:pt>
                <c:pt idx="5">
                  <c:v>55906.972207077015</c:v>
                </c:pt>
                <c:pt idx="6">
                  <c:v>47415.91232410173</c:v>
                </c:pt>
                <c:pt idx="7">
                  <c:v>307.61588024197567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18081.293476779916</c:v>
                </c:pt>
                <c:pt idx="2">
                  <c:v>13755.470394519398</c:v>
                </c:pt>
                <c:pt idx="3">
                  <c:v>190.37300116809908</c:v>
                </c:pt>
                <c:pt idx="4">
                  <c:v>6378.1638156008776</c:v>
                </c:pt>
                <c:pt idx="5">
                  <c:v>55906.972207077015</c:v>
                </c:pt>
                <c:pt idx="6">
                  <c:v>47415.91232410173</c:v>
                </c:pt>
                <c:pt idx="7">
                  <c:v>307.61588024197567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38025</v>
      </c>
      <c r="B6" s="398"/>
      <c r="C6" s="399"/>
    </row>
    <row r="7" spans="1:7" s="396" customFormat="1" ht="15.75" customHeight="1">
      <c r="A7" s="400" t="str">
        <f>txtMunicipality</f>
        <v>VEURNE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0.20337996334378766</v>
      </c>
      <c r="C17" s="512">
        <f ca="1">'EF ele_warmte'!B22</f>
        <v>0.22998102466793169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0.20337996334378766</v>
      </c>
      <c r="C29" s="513">
        <f ca="1">'EF ele_warmte'!B22</f>
        <v>0.22998102466793169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38025</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4814</v>
      </c>
      <c r="C9" s="338">
        <v>4863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8098</v>
      </c>
    </row>
    <row r="15" spans="1:6">
      <c r="A15" s="1295" t="s">
        <v>184</v>
      </c>
      <c r="B15" s="335">
        <v>1341</v>
      </c>
    </row>
    <row r="16" spans="1:6">
      <c r="A16" s="1295" t="s">
        <v>6</v>
      </c>
      <c r="B16" s="335">
        <v>2103</v>
      </c>
    </row>
    <row r="17" spans="1:6">
      <c r="A17" s="1295" t="s">
        <v>7</v>
      </c>
      <c r="B17" s="335">
        <v>1938</v>
      </c>
    </row>
    <row r="18" spans="1:6">
      <c r="A18" s="1295" t="s">
        <v>8</v>
      </c>
      <c r="B18" s="335">
        <v>2821</v>
      </c>
    </row>
    <row r="19" spans="1:6">
      <c r="A19" s="1295" t="s">
        <v>9</v>
      </c>
      <c r="B19" s="335">
        <v>2788</v>
      </c>
    </row>
    <row r="20" spans="1:6">
      <c r="A20" s="1295" t="s">
        <v>10</v>
      </c>
      <c r="B20" s="335">
        <v>1622</v>
      </c>
    </row>
    <row r="21" spans="1:6">
      <c r="A21" s="1295" t="s">
        <v>11</v>
      </c>
      <c r="B21" s="335">
        <v>21748</v>
      </c>
    </row>
    <row r="22" spans="1:6">
      <c r="A22" s="1295" t="s">
        <v>12</v>
      </c>
      <c r="B22" s="335">
        <v>45712</v>
      </c>
    </row>
    <row r="23" spans="1:6">
      <c r="A23" s="1295" t="s">
        <v>13</v>
      </c>
      <c r="B23" s="335">
        <v>1019</v>
      </c>
    </row>
    <row r="24" spans="1:6">
      <c r="A24" s="1295" t="s">
        <v>14</v>
      </c>
      <c r="B24" s="335">
        <v>66</v>
      </c>
    </row>
    <row r="25" spans="1:6">
      <c r="A25" s="1295" t="s">
        <v>15</v>
      </c>
      <c r="B25" s="335">
        <v>6118</v>
      </c>
    </row>
    <row r="26" spans="1:6">
      <c r="A26" s="1295" t="s">
        <v>16</v>
      </c>
      <c r="B26" s="335">
        <v>427</v>
      </c>
    </row>
    <row r="27" spans="1:6">
      <c r="A27" s="1295" t="s">
        <v>17</v>
      </c>
      <c r="B27" s="335">
        <v>6</v>
      </c>
    </row>
    <row r="28" spans="1:6" s="341" customFormat="1">
      <c r="A28" s="1296" t="s">
        <v>18</v>
      </c>
      <c r="B28" s="1296">
        <v>769757</v>
      </c>
    </row>
    <row r="29" spans="1:6">
      <c r="A29" s="1296" t="s">
        <v>906</v>
      </c>
      <c r="B29" s="1296">
        <v>111</v>
      </c>
      <c r="C29" s="341"/>
      <c r="D29" s="341"/>
      <c r="E29" s="341"/>
      <c r="F29" s="341"/>
    </row>
    <row r="30" spans="1:6">
      <c r="A30" s="1291" t="s">
        <v>907</v>
      </c>
      <c r="B30" s="1291">
        <v>42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11</v>
      </c>
      <c r="F36" s="335">
        <v>135420.762066842</v>
      </c>
    </row>
    <row r="37" spans="1:6">
      <c r="A37" s="1295" t="s">
        <v>25</v>
      </c>
      <c r="B37" s="1295" t="s">
        <v>28</v>
      </c>
      <c r="C37" s="335">
        <v>0</v>
      </c>
      <c r="D37" s="335">
        <v>0</v>
      </c>
      <c r="E37" s="335">
        <v>0</v>
      </c>
      <c r="F37" s="335">
        <v>0</v>
      </c>
    </row>
    <row r="38" spans="1:6">
      <c r="A38" s="1295" t="s">
        <v>25</v>
      </c>
      <c r="B38" s="1295" t="s">
        <v>29</v>
      </c>
      <c r="C38" s="335">
        <v>5</v>
      </c>
      <c r="D38" s="335">
        <v>472172.69257779798</v>
      </c>
      <c r="E38" s="335">
        <v>2</v>
      </c>
      <c r="F38" s="335">
        <v>20941.653917440399</v>
      </c>
    </row>
    <row r="39" spans="1:6">
      <c r="A39" s="1295" t="s">
        <v>30</v>
      </c>
      <c r="B39" s="1295" t="s">
        <v>31</v>
      </c>
      <c r="C39" s="335">
        <v>3419</v>
      </c>
      <c r="D39" s="335">
        <v>56853141.373558402</v>
      </c>
      <c r="E39" s="335">
        <v>4599</v>
      </c>
      <c r="F39" s="335">
        <v>17349209.5266762</v>
      </c>
    </row>
    <row r="40" spans="1:6">
      <c r="A40" s="1295" t="s">
        <v>30</v>
      </c>
      <c r="B40" s="1295" t="s">
        <v>29</v>
      </c>
      <c r="C40" s="335">
        <v>0</v>
      </c>
      <c r="D40" s="335">
        <v>0</v>
      </c>
      <c r="E40" s="335">
        <v>0</v>
      </c>
      <c r="F40" s="335">
        <v>0</v>
      </c>
    </row>
    <row r="41" spans="1:6">
      <c r="A41" s="1295" t="s">
        <v>32</v>
      </c>
      <c r="B41" s="1295" t="s">
        <v>33</v>
      </c>
      <c r="C41" s="335">
        <v>54</v>
      </c>
      <c r="D41" s="335">
        <v>1788433.1375354901</v>
      </c>
      <c r="E41" s="335">
        <v>128</v>
      </c>
      <c r="F41" s="335">
        <v>6961445.3827399798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6</v>
      </c>
      <c r="D44" s="335">
        <v>205782.807078649</v>
      </c>
      <c r="E44" s="335">
        <v>23</v>
      </c>
      <c r="F44" s="335">
        <v>984216.53613239795</v>
      </c>
    </row>
    <row r="45" spans="1:6">
      <c r="A45" s="1295" t="s">
        <v>32</v>
      </c>
      <c r="B45" s="1295" t="s">
        <v>37</v>
      </c>
      <c r="C45" s="335">
        <v>0</v>
      </c>
      <c r="D45" s="335">
        <v>0</v>
      </c>
      <c r="E45" s="335">
        <v>3</v>
      </c>
      <c r="F45" s="335">
        <v>65762.068069148503</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34</v>
      </c>
      <c r="D48" s="335">
        <v>171309038.24939501</v>
      </c>
      <c r="E48" s="335">
        <v>34</v>
      </c>
      <c r="F48" s="335">
        <v>23977443.055553801</v>
      </c>
    </row>
    <row r="49" spans="1:6">
      <c r="A49" s="1295" t="s">
        <v>32</v>
      </c>
      <c r="B49" s="1295" t="s">
        <v>40</v>
      </c>
      <c r="C49" s="335">
        <v>0</v>
      </c>
      <c r="D49" s="335">
        <v>0</v>
      </c>
      <c r="E49" s="335">
        <v>0</v>
      </c>
      <c r="F49" s="335">
        <v>0</v>
      </c>
    </row>
    <row r="50" spans="1:6">
      <c r="A50" s="1295" t="s">
        <v>32</v>
      </c>
      <c r="B50" s="1295" t="s">
        <v>41</v>
      </c>
      <c r="C50" s="335">
        <v>13</v>
      </c>
      <c r="D50" s="335">
        <v>5015671.8373813201</v>
      </c>
      <c r="E50" s="335">
        <v>29</v>
      </c>
      <c r="F50" s="335">
        <v>21505362.199297201</v>
      </c>
    </row>
    <row r="51" spans="1:6">
      <c r="A51" s="1295" t="s">
        <v>42</v>
      </c>
      <c r="B51" s="1295" t="s">
        <v>43</v>
      </c>
      <c r="C51" s="335">
        <v>11</v>
      </c>
      <c r="D51" s="335">
        <v>233665.615056287</v>
      </c>
      <c r="E51" s="335">
        <v>194</v>
      </c>
      <c r="F51" s="335">
        <v>5181128.9810281796</v>
      </c>
    </row>
    <row r="52" spans="1:6">
      <c r="A52" s="1295" t="s">
        <v>42</v>
      </c>
      <c r="B52" s="1295" t="s">
        <v>29</v>
      </c>
      <c r="C52" s="335">
        <v>2</v>
      </c>
      <c r="D52" s="335">
        <v>54071.361645474397</v>
      </c>
      <c r="E52" s="335">
        <v>8</v>
      </c>
      <c r="F52" s="335">
        <v>164363.68227006801</v>
      </c>
    </row>
    <row r="53" spans="1:6">
      <c r="A53" s="1295" t="s">
        <v>44</v>
      </c>
      <c r="B53" s="1295" t="s">
        <v>45</v>
      </c>
      <c r="C53" s="335">
        <v>130</v>
      </c>
      <c r="D53" s="335">
        <v>3013010.1791675198</v>
      </c>
      <c r="E53" s="335">
        <v>237</v>
      </c>
      <c r="F53" s="335">
        <v>896576.40640646603</v>
      </c>
    </row>
    <row r="54" spans="1:6">
      <c r="A54" s="1295" t="s">
        <v>46</v>
      </c>
      <c r="B54" s="1295" t="s">
        <v>47</v>
      </c>
      <c r="C54" s="335">
        <v>0</v>
      </c>
      <c r="D54" s="335">
        <v>0</v>
      </c>
      <c r="E54" s="335">
        <v>1</v>
      </c>
      <c r="F54" s="335">
        <v>936046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45</v>
      </c>
      <c r="D57" s="335">
        <v>1941564.7574904501</v>
      </c>
      <c r="E57" s="335">
        <v>76</v>
      </c>
      <c r="F57" s="335">
        <v>1108688.54784588</v>
      </c>
    </row>
    <row r="58" spans="1:6">
      <c r="A58" s="1295" t="s">
        <v>49</v>
      </c>
      <c r="B58" s="1295" t="s">
        <v>51</v>
      </c>
      <c r="C58" s="335">
        <v>23</v>
      </c>
      <c r="D58" s="335">
        <v>1180434.4252995399</v>
      </c>
      <c r="E58" s="335">
        <v>26</v>
      </c>
      <c r="F58" s="335">
        <v>940892.50658742595</v>
      </c>
    </row>
    <row r="59" spans="1:6">
      <c r="A59" s="1295" t="s">
        <v>49</v>
      </c>
      <c r="B59" s="1295" t="s">
        <v>52</v>
      </c>
      <c r="C59" s="335">
        <v>141</v>
      </c>
      <c r="D59" s="335">
        <v>7025201.1041094204</v>
      </c>
      <c r="E59" s="335">
        <v>223</v>
      </c>
      <c r="F59" s="335">
        <v>8541301.6952797491</v>
      </c>
    </row>
    <row r="60" spans="1:6">
      <c r="A60" s="1295" t="s">
        <v>49</v>
      </c>
      <c r="B60" s="1295" t="s">
        <v>53</v>
      </c>
      <c r="C60" s="335">
        <v>75</v>
      </c>
      <c r="D60" s="335">
        <v>3897528.4316368601</v>
      </c>
      <c r="E60" s="335">
        <v>97</v>
      </c>
      <c r="F60" s="335">
        <v>2422854.02628267</v>
      </c>
    </row>
    <row r="61" spans="1:6">
      <c r="A61" s="1295" t="s">
        <v>49</v>
      </c>
      <c r="B61" s="1295" t="s">
        <v>54</v>
      </c>
      <c r="C61" s="335">
        <v>184</v>
      </c>
      <c r="D61" s="335">
        <v>10562977.595914699</v>
      </c>
      <c r="E61" s="335">
        <v>414</v>
      </c>
      <c r="F61" s="335">
        <v>5356180.0441974197</v>
      </c>
    </row>
    <row r="62" spans="1:6">
      <c r="A62" s="1295" t="s">
        <v>49</v>
      </c>
      <c r="B62" s="1295" t="s">
        <v>55</v>
      </c>
      <c r="C62" s="335">
        <v>14</v>
      </c>
      <c r="D62" s="335">
        <v>2255812.8374992702</v>
      </c>
      <c r="E62" s="335">
        <v>14</v>
      </c>
      <c r="F62" s="335">
        <v>673977.97819410497</v>
      </c>
    </row>
    <row r="63" spans="1:6">
      <c r="A63" s="1295" t="s">
        <v>49</v>
      </c>
      <c r="B63" s="1295" t="s">
        <v>29</v>
      </c>
      <c r="C63" s="335">
        <v>83</v>
      </c>
      <c r="D63" s="335">
        <v>12318635.8804169</v>
      </c>
      <c r="E63" s="335">
        <v>90</v>
      </c>
      <c r="F63" s="335">
        <v>6734737.6999581102</v>
      </c>
    </row>
    <row r="64" spans="1:6">
      <c r="A64" s="1295" t="s">
        <v>56</v>
      </c>
      <c r="B64" s="1295" t="s">
        <v>57</v>
      </c>
      <c r="C64" s="335">
        <v>0</v>
      </c>
      <c r="D64" s="335">
        <v>0</v>
      </c>
      <c r="E64" s="335">
        <v>0</v>
      </c>
      <c r="F64" s="335">
        <v>0</v>
      </c>
    </row>
    <row r="65" spans="1:6">
      <c r="A65" s="1295" t="s">
        <v>56</v>
      </c>
      <c r="B65" s="1295" t="s">
        <v>29</v>
      </c>
      <c r="C65" s="335">
        <v>3</v>
      </c>
      <c r="D65" s="335">
        <v>805208.75116987806</v>
      </c>
      <c r="E65" s="335">
        <v>3</v>
      </c>
      <c r="F65" s="335">
        <v>229629.52169466999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205708.209414668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72134731</v>
      </c>
      <c r="E73" s="335">
        <v>73220889.765082404</v>
      </c>
    </row>
    <row r="74" spans="1:6">
      <c r="A74" s="1295" t="s">
        <v>64</v>
      </c>
      <c r="B74" s="1295" t="s">
        <v>727</v>
      </c>
      <c r="C74" s="1295" t="s">
        <v>728</v>
      </c>
      <c r="D74" s="335">
        <v>6997732.7192818876</v>
      </c>
      <c r="E74" s="335">
        <v>7330380.7005077014</v>
      </c>
    </row>
    <row r="75" spans="1:6">
      <c r="A75" s="1295" t="s">
        <v>65</v>
      </c>
      <c r="B75" s="1295" t="s">
        <v>725</v>
      </c>
      <c r="C75" s="1295" t="s">
        <v>729</v>
      </c>
      <c r="D75" s="335">
        <v>17507504</v>
      </c>
      <c r="E75" s="335">
        <v>16954827.123776481</v>
      </c>
    </row>
    <row r="76" spans="1:6">
      <c r="A76" s="1295" t="s">
        <v>65</v>
      </c>
      <c r="B76" s="1295" t="s">
        <v>727</v>
      </c>
      <c r="C76" s="1295" t="s">
        <v>730</v>
      </c>
      <c r="D76" s="335">
        <v>2112966.7192818876</v>
      </c>
      <c r="E76" s="335">
        <v>2095326.5470971304</v>
      </c>
    </row>
    <row r="77" spans="1:6">
      <c r="A77" s="1295" t="s">
        <v>66</v>
      </c>
      <c r="B77" s="1295" t="s">
        <v>725</v>
      </c>
      <c r="C77" s="1295" t="s">
        <v>731</v>
      </c>
      <c r="D77" s="335">
        <v>61029245</v>
      </c>
      <c r="E77" s="335">
        <v>69248230.138133615</v>
      </c>
    </row>
    <row r="78" spans="1:6">
      <c r="A78" s="1291" t="s">
        <v>66</v>
      </c>
      <c r="B78" s="1291" t="s">
        <v>727</v>
      </c>
      <c r="C78" s="1291" t="s">
        <v>732</v>
      </c>
      <c r="D78" s="1291">
        <v>23409124</v>
      </c>
      <c r="E78" s="1291">
        <v>27069968.470664743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317912.56143622461</v>
      </c>
      <c r="C83" s="335">
        <v>319809.23211344297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2542.596</v>
      </c>
    </row>
    <row r="92" spans="1:6">
      <c r="A92" s="1291" t="s">
        <v>69</v>
      </c>
      <c r="B92" s="338">
        <v>7405.5230000000001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2583</v>
      </c>
    </row>
    <row r="98" spans="1:6">
      <c r="A98" s="1295" t="s">
        <v>72</v>
      </c>
      <c r="B98" s="335">
        <v>0</v>
      </c>
    </row>
    <row r="99" spans="1:6">
      <c r="A99" s="1295" t="s">
        <v>73</v>
      </c>
      <c r="B99" s="335">
        <v>141</v>
      </c>
    </row>
    <row r="100" spans="1:6">
      <c r="A100" s="1295" t="s">
        <v>74</v>
      </c>
      <c r="B100" s="335">
        <v>366</v>
      </c>
    </row>
    <row r="101" spans="1:6">
      <c r="A101" s="1295" t="s">
        <v>75</v>
      </c>
      <c r="B101" s="335">
        <v>85</v>
      </c>
    </row>
    <row r="102" spans="1:6">
      <c r="A102" s="1295" t="s">
        <v>76</v>
      </c>
      <c r="B102" s="335">
        <v>65</v>
      </c>
    </row>
    <row r="103" spans="1:6">
      <c r="A103" s="1295" t="s">
        <v>77</v>
      </c>
      <c r="B103" s="335">
        <v>106</v>
      </c>
    </row>
    <row r="104" spans="1:6">
      <c r="A104" s="1295" t="s">
        <v>78</v>
      </c>
      <c r="B104" s="335">
        <v>1077</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5</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146</v>
      </c>
    </row>
    <row r="130" spans="1:6">
      <c r="A130" s="1295" t="s">
        <v>295</v>
      </c>
      <c r="B130" s="335">
        <v>5</v>
      </c>
    </row>
    <row r="131" spans="1:6">
      <c r="A131" s="1295" t="s">
        <v>296</v>
      </c>
      <c r="B131" s="335">
        <v>1</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107660.50959387548</v>
      </c>
      <c r="C3" s="43" t="s">
        <v>170</v>
      </c>
      <c r="D3" s="43"/>
      <c r="E3" s="156"/>
      <c r="F3" s="43"/>
      <c r="G3" s="43"/>
      <c r="H3" s="43"/>
      <c r="I3" s="43"/>
      <c r="J3" s="43"/>
      <c r="K3" s="96"/>
    </row>
    <row r="4" spans="1:11">
      <c r="A4" s="366" t="s">
        <v>171</v>
      </c>
      <c r="B4" s="49">
        <f>IF(ISERROR('SEAP template'!B78),0,'SEAP template'!B78)</f>
        <v>9991.7690000000002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311.19882352941175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0.20337996334378766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444.56974789915967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1933.0714285714287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0.22998102466793169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936.04600000000005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936.04600000000005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0.20337996334378766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190.37300116809908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17349.209526676201</v>
      </c>
      <c r="C5" s="17">
        <f>IF(ISERROR('Eigen informatie GS &amp; warmtenet'!B57),0,'Eigen informatie GS &amp; warmtenet'!B57)</f>
        <v>0</v>
      </c>
      <c r="D5" s="30">
        <f>(SUM(HH_hh_gas_kWh,HH_rest_gas_kWh)/1000)*0.902</f>
        <v>51281.533518949676</v>
      </c>
      <c r="E5" s="17">
        <f>B46*B57</f>
        <v>5121.8511257371356</v>
      </c>
      <c r="F5" s="17">
        <f>B51*B62</f>
        <v>8208.1210247525942</v>
      </c>
      <c r="G5" s="18"/>
      <c r="H5" s="17"/>
      <c r="I5" s="17"/>
      <c r="J5" s="17">
        <f>B50*B61+C50*C61</f>
        <v>911.30086989731603</v>
      </c>
      <c r="K5" s="17"/>
      <c r="L5" s="17"/>
      <c r="M5" s="17"/>
      <c r="N5" s="17">
        <f>B48*B59+C48*C59</f>
        <v>11575.340924226775</v>
      </c>
      <c r="O5" s="17">
        <f>B69*B70*B71</f>
        <v>237.62666666666667</v>
      </c>
      <c r="P5" s="17">
        <f>B77*B78*B79/1000-B77*B78*B79/1000/B80</f>
        <v>305.06666666666666</v>
      </c>
    </row>
    <row r="6" spans="1:16">
      <c r="A6" s="16" t="s">
        <v>634</v>
      </c>
      <c r="B6" s="783">
        <f>kWh_PV_kleiner_dan_10kW</f>
        <v>2542.596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19891.805526676202</v>
      </c>
      <c r="C8" s="21">
        <f>C5</f>
        <v>0</v>
      </c>
      <c r="D8" s="21">
        <f>D5</f>
        <v>51281.533518949676</v>
      </c>
      <c r="E8" s="21">
        <f>E5</f>
        <v>5121.8511257371356</v>
      </c>
      <c r="F8" s="21">
        <f>F5</f>
        <v>8208.1210247525942</v>
      </c>
      <c r="G8" s="21"/>
      <c r="H8" s="21"/>
      <c r="I8" s="21"/>
      <c r="J8" s="21">
        <f>J5</f>
        <v>911.30086989731603</v>
      </c>
      <c r="K8" s="21"/>
      <c r="L8" s="21">
        <f>L5</f>
        <v>0</v>
      </c>
      <c r="M8" s="21">
        <f>M5</f>
        <v>0</v>
      </c>
      <c r="N8" s="21">
        <f>N5</f>
        <v>11575.340924226775</v>
      </c>
      <c r="O8" s="21">
        <f>O5</f>
        <v>237.62666666666667</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0.20337996334378766</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4045.5946788571587</v>
      </c>
      <c r="C12" s="23">
        <f ca="1">C10*C8</f>
        <v>0</v>
      </c>
      <c r="D12" s="23">
        <f>D8*D10</f>
        <v>10358.869770827836</v>
      </c>
      <c r="E12" s="23">
        <f>E10*E8</f>
        <v>1162.6602055423298</v>
      </c>
      <c r="F12" s="23">
        <f>F10*F8</f>
        <v>2191.5683136089428</v>
      </c>
      <c r="G12" s="23"/>
      <c r="H12" s="23"/>
      <c r="I12" s="23"/>
      <c r="J12" s="23">
        <f>J10*J8</f>
        <v>322.60050794364986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2583</v>
      </c>
      <c r="C18" s="168" t="s">
        <v>111</v>
      </c>
      <c r="D18" s="230"/>
      <c r="E18" s="15"/>
    </row>
    <row r="19" spans="1:7">
      <c r="A19" s="173" t="s">
        <v>72</v>
      </c>
      <c r="B19" s="37">
        <f>aantalw2001_ander</f>
        <v>0</v>
      </c>
      <c r="C19" s="168" t="s">
        <v>111</v>
      </c>
      <c r="D19" s="231"/>
      <c r="E19" s="15"/>
    </row>
    <row r="20" spans="1:7">
      <c r="A20" s="173" t="s">
        <v>73</v>
      </c>
      <c r="B20" s="37">
        <f>aantalw2001_propaan</f>
        <v>141</v>
      </c>
      <c r="C20" s="169">
        <f>IF(ISERROR(B20/SUM($B$20,$B$21,$B$22)*100),0,B20/SUM($B$20,$B$21,$B$22)*100)</f>
        <v>23.817567567567568</v>
      </c>
      <c r="D20" s="231"/>
      <c r="E20" s="15"/>
    </row>
    <row r="21" spans="1:7">
      <c r="A21" s="173" t="s">
        <v>74</v>
      </c>
      <c r="B21" s="37">
        <f>aantalw2001_elektriciteit</f>
        <v>366</v>
      </c>
      <c r="C21" s="169">
        <f>IF(ISERROR(B21/SUM($B$20,$B$21,$B$22)*100),0,B21/SUM($B$20,$B$21,$B$22)*100)</f>
        <v>61.824324324324323</v>
      </c>
      <c r="D21" s="231"/>
      <c r="E21" s="15"/>
    </row>
    <row r="22" spans="1:7">
      <c r="A22" s="173" t="s">
        <v>75</v>
      </c>
      <c r="B22" s="37">
        <f>aantalw2001_hout</f>
        <v>85</v>
      </c>
      <c r="C22" s="169">
        <f>IF(ISERROR(B22/SUM($B$20,$B$21,$B$22)*100),0,B22/SUM($B$20,$B$21,$B$22)*100)</f>
        <v>14.358108108108109</v>
      </c>
      <c r="D22" s="231"/>
      <c r="E22" s="15"/>
    </row>
    <row r="23" spans="1:7">
      <c r="A23" s="173" t="s">
        <v>76</v>
      </c>
      <c r="B23" s="37">
        <f>aantalw2001_niet_gespec</f>
        <v>65</v>
      </c>
      <c r="C23" s="168" t="s">
        <v>111</v>
      </c>
      <c r="D23" s="230"/>
      <c r="E23" s="15"/>
    </row>
    <row r="24" spans="1:7">
      <c r="A24" s="173" t="s">
        <v>77</v>
      </c>
      <c r="B24" s="37">
        <f>aantalw2001_steenkool</f>
        <v>106</v>
      </c>
      <c r="C24" s="168" t="s">
        <v>111</v>
      </c>
      <c r="D24" s="231"/>
      <c r="E24" s="15"/>
    </row>
    <row r="25" spans="1:7">
      <c r="A25" s="173" t="s">
        <v>78</v>
      </c>
      <c r="B25" s="37">
        <f>aantalw2001_stookolie</f>
        <v>1077</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4814</v>
      </c>
      <c r="C28" s="36"/>
      <c r="D28" s="230"/>
    </row>
    <row r="29" spans="1:7" s="15" customFormat="1">
      <c r="A29" s="232" t="s">
        <v>746</v>
      </c>
      <c r="B29" s="37">
        <f>SUM(HH_hh_gas_aantal,HH_rest_gas_aantal)</f>
        <v>3419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3419</v>
      </c>
      <c r="C32" s="169">
        <f>IF(ISERROR(B32/SUM($B$32,$B$34,$B$35,$B$36,$B$38,$B$39)*100),0,B32/SUM($B$32,$B$34,$B$35,$B$36,$B$38,$B$39)*100)</f>
        <v>71.258857857440603</v>
      </c>
      <c r="D32" s="235"/>
      <c r="G32" s="15"/>
    </row>
    <row r="33" spans="1:7">
      <c r="A33" s="173" t="s">
        <v>72</v>
      </c>
      <c r="B33" s="34" t="s">
        <v>111</v>
      </c>
      <c r="C33" s="169"/>
      <c r="D33" s="235"/>
      <c r="G33" s="15"/>
    </row>
    <row r="34" spans="1:7">
      <c r="A34" s="173" t="s">
        <v>73</v>
      </c>
      <c r="B34" s="33">
        <f>IF((($B$28-$B$32-$B$39-$B$77-$B$38)*C20/100)&lt;0,0,($B$28-$B$32-$B$39-$B$77-$B$38)*C20/100)</f>
        <v>245.79729729729729</v>
      </c>
      <c r="C34" s="169">
        <f>IF(ISERROR(B34/SUM($B$32,$B$34,$B$35,$B$36,$B$38,$B$39)*100),0,B34/SUM($B$32,$B$34,$B$35,$B$36,$B$38,$B$39)*100)</f>
        <v>5.1229115735159914</v>
      </c>
      <c r="D34" s="235"/>
      <c r="G34" s="15"/>
    </row>
    <row r="35" spans="1:7">
      <c r="A35" s="173" t="s">
        <v>74</v>
      </c>
      <c r="B35" s="33">
        <f>IF((($B$28-$B$32-$B$39-$B$77-$B$38)*C21/100)&lt;0,0,($B$28-$B$32-$B$39-$B$77-$B$38)*C21/100)</f>
        <v>638.02702702702697</v>
      </c>
      <c r="C35" s="169">
        <f>IF(ISERROR(B35/SUM($B$32,$B$34,$B$35,$B$36,$B$38,$B$39)*100),0,B35/SUM($B$32,$B$34,$B$35,$B$36,$B$38,$B$39)*100)</f>
        <v>13.297770467424488</v>
      </c>
      <c r="D35" s="235"/>
      <c r="G35" s="15"/>
    </row>
    <row r="36" spans="1:7">
      <c r="A36" s="173" t="s">
        <v>75</v>
      </c>
      <c r="B36" s="33">
        <f>IF((($B$28-$B$32-$B$39-$B$77-$B$38)*C22/100)&lt;0,0,($B$28-$B$32-$B$39-$B$77-$B$38)*C22/100)</f>
        <v>148.17567567567568</v>
      </c>
      <c r="C36" s="169">
        <f>IF(ISERROR(B36/SUM($B$32,$B$34,$B$35,$B$36,$B$38,$B$39)*100),0,B36/SUM($B$32,$B$34,$B$35,$B$36,$B$38,$B$39)*100)</f>
        <v>3.0882800265876549</v>
      </c>
      <c r="D36" s="235"/>
      <c r="G36" s="15"/>
    </row>
    <row r="37" spans="1:7">
      <c r="A37" s="173" t="s">
        <v>76</v>
      </c>
      <c r="B37" s="34" t="s">
        <v>111</v>
      </c>
      <c r="C37" s="169"/>
      <c r="D37" s="175"/>
      <c r="G37" s="15"/>
    </row>
    <row r="38" spans="1:7">
      <c r="A38" s="173" t="s">
        <v>77</v>
      </c>
      <c r="B38" s="33">
        <f>IF((B24-(B29-B18)*0.1)&lt;0,0,B24-(B29-B18)*0.1)</f>
        <v>22.399999999999991</v>
      </c>
      <c r="C38" s="169">
        <f>IF(ISERROR(B38/SUM($B$32,$B$34,$B$35,$B$36,$B$38,$B$39)*100),0,B38/SUM($B$32,$B$34,$B$35,$B$36,$B$38,$B$39)*100)</f>
        <v>0.46686119216340127</v>
      </c>
      <c r="D38" s="236"/>
      <c r="G38" s="15"/>
    </row>
    <row r="39" spans="1:7">
      <c r="A39" s="173" t="s">
        <v>78</v>
      </c>
      <c r="B39" s="33">
        <f>IF((B25-(B29-B18))&lt;0,0,B25-(B29-B18)*0.9)</f>
        <v>324.60000000000002</v>
      </c>
      <c r="C39" s="169">
        <f>IF(ISERROR(B39/SUM($B$32,$B$34,$B$35,$B$36,$B$38,$B$39)*100),0,B39/SUM($B$32,$B$34,$B$35,$B$36,$B$38,$B$39)*100)</f>
        <v>6.7653188828678612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3419</v>
      </c>
      <c r="C44" s="34" t="s">
        <v>111</v>
      </c>
      <c r="D44" s="176"/>
    </row>
    <row r="45" spans="1:7">
      <c r="A45" s="173" t="s">
        <v>72</v>
      </c>
      <c r="B45" s="33" t="str">
        <f t="shared" si="0"/>
        <v>-</v>
      </c>
      <c r="C45" s="34" t="s">
        <v>111</v>
      </c>
      <c r="D45" s="176"/>
    </row>
    <row r="46" spans="1:7">
      <c r="A46" s="173" t="s">
        <v>73</v>
      </c>
      <c r="B46" s="33">
        <f t="shared" si="0"/>
        <v>245.79729729729729</v>
      </c>
      <c r="C46" s="34" t="s">
        <v>111</v>
      </c>
      <c r="D46" s="176"/>
    </row>
    <row r="47" spans="1:7">
      <c r="A47" s="173" t="s">
        <v>74</v>
      </c>
      <c r="B47" s="33">
        <f t="shared" si="0"/>
        <v>638.02702702702697</v>
      </c>
      <c r="C47" s="34" t="s">
        <v>111</v>
      </c>
      <c r="D47" s="176"/>
    </row>
    <row r="48" spans="1:7">
      <c r="A48" s="173" t="s">
        <v>75</v>
      </c>
      <c r="B48" s="33">
        <f t="shared" si="0"/>
        <v>148.17567567567568</v>
      </c>
      <c r="C48" s="33">
        <f>B48*10</f>
        <v>1481.7567567567567</v>
      </c>
      <c r="D48" s="236"/>
    </row>
    <row r="49" spans="1:6">
      <c r="A49" s="173" t="s">
        <v>76</v>
      </c>
      <c r="B49" s="33" t="str">
        <f t="shared" si="0"/>
        <v>-</v>
      </c>
      <c r="C49" s="34" t="s">
        <v>111</v>
      </c>
      <c r="D49" s="236"/>
    </row>
    <row r="50" spans="1:6">
      <c r="A50" s="173" t="s">
        <v>77</v>
      </c>
      <c r="B50" s="33">
        <f t="shared" si="0"/>
        <v>22.399999999999991</v>
      </c>
      <c r="C50" s="33">
        <f>B50*2</f>
        <v>44.799999999999983</v>
      </c>
      <c r="D50" s="236"/>
    </row>
    <row r="51" spans="1:6">
      <c r="A51" s="173" t="s">
        <v>78</v>
      </c>
      <c r="B51" s="33">
        <f t="shared" si="0"/>
        <v>324.60000000000002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25778.632498345356</v>
      </c>
      <c r="C5" s="17">
        <f>IF(ISERROR('Eigen informatie GS &amp; warmtenet'!B58),0,'Eigen informatie GS &amp; warmtenet'!B58)</f>
        <v>0</v>
      </c>
      <c r="D5" s="30">
        <f>SUM(D6:D12)</f>
        <v>35342.303839195156</v>
      </c>
      <c r="E5" s="17">
        <f>SUM(E6:E12)</f>
        <v>368.81707411023865</v>
      </c>
      <c r="F5" s="17">
        <f>SUM(F6:F12)</f>
        <v>5052.2843885875445</v>
      </c>
      <c r="G5" s="18"/>
      <c r="H5" s="17"/>
      <c r="I5" s="17"/>
      <c r="J5" s="17">
        <f>SUM(J6:J12)</f>
        <v>0</v>
      </c>
      <c r="K5" s="17"/>
      <c r="L5" s="17"/>
      <c r="M5" s="17"/>
      <c r="N5" s="17">
        <f>SUM(N6:N12)</f>
        <v>1345.2229834576192</v>
      </c>
      <c r="O5" s="17">
        <f>B38*B39*B40</f>
        <v>7.8166666666666664</v>
      </c>
      <c r="P5" s="17">
        <f>B46*B47*B48/1000-B46*B47*B48/1000/B49</f>
        <v>19.066666666666666</v>
      </c>
      <c r="R5" s="32"/>
    </row>
    <row r="6" spans="1:18">
      <c r="A6" s="32" t="s">
        <v>54</v>
      </c>
      <c r="B6" s="37">
        <f>B26</f>
        <v>5356.1800441974201</v>
      </c>
      <c r="C6" s="33"/>
      <c r="D6" s="37">
        <f>IF(ISERROR(TER_kantoor_gas_kWh/1000),0,TER_kantoor_gas_kWh/1000)*0.902</f>
        <v>9527.8057915150584</v>
      </c>
      <c r="E6" s="33">
        <f>$C$26*'E Balans VL '!I12/100/3.6*1000000</f>
        <v>20.809893441092886</v>
      </c>
      <c r="F6" s="33">
        <f>$C$26*('E Balans VL '!L12+'E Balans VL '!N12)/100/3.6*1000000</f>
        <v>814.6262473697044</v>
      </c>
      <c r="G6" s="34"/>
      <c r="H6" s="33"/>
      <c r="I6" s="33"/>
      <c r="J6" s="33">
        <f>$C$26*('E Balans VL '!D12+'E Balans VL '!E12)/100/3.6*1000000</f>
        <v>0</v>
      </c>
      <c r="K6" s="33"/>
      <c r="L6" s="33"/>
      <c r="M6" s="33"/>
      <c r="N6" s="33">
        <f>$C$26*'E Balans VL '!Y12/100/3.6*1000000</f>
        <v>2.9518968589200831</v>
      </c>
      <c r="O6" s="33"/>
      <c r="P6" s="33"/>
      <c r="R6" s="32"/>
    </row>
    <row r="7" spans="1:18">
      <c r="A7" s="32" t="s">
        <v>53</v>
      </c>
      <c r="B7" s="37">
        <f t="shared" ref="B7:B12" si="0">B27</f>
        <v>2422.85402628267</v>
      </c>
      <c r="C7" s="33"/>
      <c r="D7" s="37">
        <f>IF(ISERROR(TER_horeca_gas_kWh/1000),0,TER_horeca_gas_kWh/1000)*0.902</f>
        <v>3515.5706453364478</v>
      </c>
      <c r="E7" s="33">
        <f>$C$27*'E Balans VL '!I9/100/3.6*1000000</f>
        <v>136.48001506434628</v>
      </c>
      <c r="F7" s="33">
        <f>$C$27*('E Balans VL '!L9+'E Balans VL '!N9)/100/3.6*1000000</f>
        <v>698.60604787048612</v>
      </c>
      <c r="G7" s="34"/>
      <c r="H7" s="33"/>
      <c r="I7" s="33"/>
      <c r="J7" s="33">
        <f>$C$27*('E Balans VL '!D9+'E Balans VL '!E9)/100/3.6*1000000</f>
        <v>0</v>
      </c>
      <c r="K7" s="33"/>
      <c r="L7" s="33"/>
      <c r="M7" s="33"/>
      <c r="N7" s="33">
        <f>$C$27*'E Balans VL '!Y9/100/3.6*1000000</f>
        <v>0.66893740632253862</v>
      </c>
      <c r="O7" s="33"/>
      <c r="P7" s="33"/>
      <c r="R7" s="32"/>
    </row>
    <row r="8" spans="1:18">
      <c r="A8" s="6" t="s">
        <v>52</v>
      </c>
      <c r="B8" s="37">
        <f t="shared" si="0"/>
        <v>8541.3016952797498</v>
      </c>
      <c r="C8" s="33"/>
      <c r="D8" s="37">
        <f>IF(ISERROR(TER_handel_gas_kWh/1000),0,TER_handel_gas_kWh/1000)*0.902</f>
        <v>6336.7313959066969</v>
      </c>
      <c r="E8" s="33">
        <f>$C$28*'E Balans VL '!I13/100/3.6*1000000</f>
        <v>123.10913518305159</v>
      </c>
      <c r="F8" s="33">
        <f>$C$28*('E Balans VL '!L13+'E Balans VL '!N13)/100/3.6*1000000</f>
        <v>1483.8230179641216</v>
      </c>
      <c r="G8" s="34"/>
      <c r="H8" s="33"/>
      <c r="I8" s="33"/>
      <c r="J8" s="33">
        <f>$C$28*('E Balans VL '!D13+'E Balans VL '!E13)/100/3.6*1000000</f>
        <v>0</v>
      </c>
      <c r="K8" s="33"/>
      <c r="L8" s="33"/>
      <c r="M8" s="33"/>
      <c r="N8" s="33">
        <f>$C$28*'E Balans VL '!Y13/100/3.6*1000000</f>
        <v>25.590690716350242</v>
      </c>
      <c r="O8" s="33"/>
      <c r="P8" s="33"/>
      <c r="R8" s="32"/>
    </row>
    <row r="9" spans="1:18">
      <c r="A9" s="32" t="s">
        <v>51</v>
      </c>
      <c r="B9" s="37">
        <f t="shared" si="0"/>
        <v>940.89250658742594</v>
      </c>
      <c r="C9" s="33"/>
      <c r="D9" s="37">
        <f>IF(ISERROR(TER_gezond_gas_kWh/1000),0,TER_gezond_gas_kWh/1000)*0.902</f>
        <v>1064.7518516201851</v>
      </c>
      <c r="E9" s="33">
        <f>$C$29*'E Balans VL '!I10/100/3.6*1000000</f>
        <v>1.0051170674172225</v>
      </c>
      <c r="F9" s="33">
        <f>$C$29*('E Balans VL '!L10+'E Balans VL '!N10)/100/3.6*1000000</f>
        <v>153.48816262071094</v>
      </c>
      <c r="G9" s="34"/>
      <c r="H9" s="33"/>
      <c r="I9" s="33"/>
      <c r="J9" s="33">
        <f>$C$29*('E Balans VL '!D10+'E Balans VL '!E10)/100/3.6*1000000</f>
        <v>0</v>
      </c>
      <c r="K9" s="33"/>
      <c r="L9" s="33"/>
      <c r="M9" s="33"/>
      <c r="N9" s="33">
        <f>$C$29*'E Balans VL '!Y10/100/3.6*1000000</f>
        <v>9.6859514927638646</v>
      </c>
      <c r="O9" s="33"/>
      <c r="P9" s="33"/>
      <c r="R9" s="32"/>
    </row>
    <row r="10" spans="1:18">
      <c r="A10" s="32" t="s">
        <v>50</v>
      </c>
      <c r="B10" s="37">
        <f t="shared" si="0"/>
        <v>1108.6885478458801</v>
      </c>
      <c r="C10" s="33"/>
      <c r="D10" s="37">
        <f>IF(ISERROR(TER_ander_gas_kWh/1000),0,TER_ander_gas_kWh/1000)*0.902</f>
        <v>1751.291411256386</v>
      </c>
      <c r="E10" s="33">
        <f>$C$30*'E Balans VL '!I14/100/3.6*1000000</f>
        <v>5.098689987496015</v>
      </c>
      <c r="F10" s="33">
        <f>$C$30*('E Balans VL '!L14+'E Balans VL '!N14)/100/3.6*1000000</f>
        <v>332.30892896935944</v>
      </c>
      <c r="G10" s="34"/>
      <c r="H10" s="33"/>
      <c r="I10" s="33"/>
      <c r="J10" s="33">
        <f>$C$30*('E Balans VL '!D14+'E Balans VL '!E14)/100/3.6*1000000</f>
        <v>0</v>
      </c>
      <c r="K10" s="33"/>
      <c r="L10" s="33"/>
      <c r="M10" s="33"/>
      <c r="N10" s="33">
        <f>$C$30*'E Balans VL '!Y14/100/3.6*1000000</f>
        <v>771.7204146840088</v>
      </c>
      <c r="O10" s="33"/>
      <c r="P10" s="33"/>
      <c r="R10" s="32"/>
    </row>
    <row r="11" spans="1:18">
      <c r="A11" s="32" t="s">
        <v>55</v>
      </c>
      <c r="B11" s="37">
        <f t="shared" si="0"/>
        <v>673.97797819410494</v>
      </c>
      <c r="C11" s="33"/>
      <c r="D11" s="37">
        <f>IF(ISERROR(TER_onderwijs_gas_kWh/1000),0,TER_onderwijs_gas_kWh/1000)*0.902</f>
        <v>2034.7431794243419</v>
      </c>
      <c r="E11" s="33">
        <f>$C$31*'E Balans VL '!I11/100/3.6*1000000</f>
        <v>0.62520320879549418</v>
      </c>
      <c r="F11" s="33">
        <f>$C$31*('E Balans VL '!L11+'E Balans VL '!N11)/100/3.6*1000000</f>
        <v>236.75297346945203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6734.7376999581102</v>
      </c>
      <c r="C12" s="33"/>
      <c r="D12" s="37">
        <f>IF(ISERROR(TER_rest_gas_kWh/1000),0,TER_rest_gas_kWh/1000)*0.902</f>
        <v>11111.409564136044</v>
      </c>
      <c r="E12" s="33">
        <f>$C$32*'E Balans VL '!I8/100/3.6*1000000</f>
        <v>81.689020158039114</v>
      </c>
      <c r="F12" s="33">
        <f>$C$32*('E Balans VL '!L8+'E Balans VL '!N8)/100/3.6*1000000</f>
        <v>1332.6790103237099</v>
      </c>
      <c r="G12" s="34"/>
      <c r="H12" s="33"/>
      <c r="I12" s="33"/>
      <c r="J12" s="33">
        <f>$C$32*('E Balans VL '!D8+'E Balans VL '!E8)/100/3.6*1000000</f>
        <v>0</v>
      </c>
      <c r="K12" s="33"/>
      <c r="L12" s="33"/>
      <c r="M12" s="33"/>
      <c r="N12" s="33">
        <f>$C$32*'E Balans VL '!Y8/100/3.6*1000000</f>
        <v>534.60509229925356</v>
      </c>
      <c r="O12" s="33"/>
      <c r="P12" s="33"/>
      <c r="R12" s="32"/>
    </row>
    <row r="13" spans="1:18">
      <c r="A13" s="16" t="s">
        <v>497</v>
      </c>
      <c r="B13" s="249">
        <f ca="1">'lokale energieproductie'!N91+'lokale energieproductie'!N60</f>
        <v>1309.5</v>
      </c>
      <c r="C13" s="249">
        <f ca="1">'lokale energieproductie'!O91+'lokale energieproductie'!O60</f>
        <v>1870.7142857142858</v>
      </c>
      <c r="D13" s="312">
        <f ca="1">('lokale energieproductie'!P60+'lokale energieproductie'!P91)*(-1)</f>
        <v>-3741.4285714285716</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27088.132498345356</v>
      </c>
      <c r="C16" s="21">
        <f t="shared" ca="1" si="1"/>
        <v>1870.7142857142858</v>
      </c>
      <c r="D16" s="21">
        <f t="shared" ca="1" si="1"/>
        <v>31600.875267766583</v>
      </c>
      <c r="E16" s="21">
        <f t="shared" si="1"/>
        <v>368.81707411023865</v>
      </c>
      <c r="F16" s="21">
        <f t="shared" ca="1" si="1"/>
        <v>5052.2843885875445</v>
      </c>
      <c r="G16" s="21">
        <f t="shared" si="1"/>
        <v>0</v>
      </c>
      <c r="H16" s="21">
        <f t="shared" si="1"/>
        <v>0</v>
      </c>
      <c r="I16" s="21">
        <f t="shared" si="1"/>
        <v>0</v>
      </c>
      <c r="J16" s="21">
        <f t="shared" si="1"/>
        <v>0</v>
      </c>
      <c r="K16" s="21">
        <f t="shared" si="1"/>
        <v>0</v>
      </c>
      <c r="L16" s="21">
        <f t="shared" ca="1" si="1"/>
        <v>0</v>
      </c>
      <c r="M16" s="21">
        <f t="shared" si="1"/>
        <v>0</v>
      </c>
      <c r="N16" s="21">
        <f t="shared" ca="1" si="1"/>
        <v>1345.2229834576192</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0.20337996334378766</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5509.1833945651415</v>
      </c>
      <c r="C20" s="23">
        <f t="shared" ref="C20:P20" ca="1" si="2">C16*C18</f>
        <v>430.22878828950934</v>
      </c>
      <c r="D20" s="23">
        <f t="shared" ca="1" si="2"/>
        <v>6383.3768040888499</v>
      </c>
      <c r="E20" s="23">
        <f t="shared" si="2"/>
        <v>83.721475823024178</v>
      </c>
      <c r="F20" s="23">
        <f t="shared" ca="1" si="2"/>
        <v>1348.9599317528744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5356.1800441974201</v>
      </c>
      <c r="C26" s="39">
        <f>IF(ISERROR(B26*3.6/1000000/'E Balans VL '!Z12*100),0,B26*3.6/1000000/'E Balans VL '!Z12*100)</f>
        <v>0.11376791724544795</v>
      </c>
      <c r="D26" s="239" t="s">
        <v>692</v>
      </c>
      <c r="F26" s="6"/>
    </row>
    <row r="27" spans="1:18">
      <c r="A27" s="233" t="s">
        <v>53</v>
      </c>
      <c r="B27" s="33">
        <f>IF(ISERROR(TER_horeca_ele_kWh/1000),0,TER_horeca_ele_kWh/1000)</f>
        <v>2422.85402628267</v>
      </c>
      <c r="C27" s="39">
        <f>IF(ISERROR(B27*3.6/1000000/'E Balans VL '!Z9*100),0,B27*3.6/1000000/'E Balans VL '!Z9*100)</f>
        <v>0.18839165591419688</v>
      </c>
      <c r="D27" s="239" t="s">
        <v>692</v>
      </c>
      <c r="F27" s="6"/>
    </row>
    <row r="28" spans="1:18">
      <c r="A28" s="173" t="s">
        <v>52</v>
      </c>
      <c r="B28" s="33">
        <f>IF(ISERROR(TER_handel_ele_kWh/1000),0,TER_handel_ele_kWh/1000)</f>
        <v>8541.3016952797498</v>
      </c>
      <c r="C28" s="39">
        <f>IF(ISERROR(B28*3.6/1000000/'E Balans VL '!Z13*100),0,B28*3.6/1000000/'E Balans VL '!Z13*100)</f>
        <v>0.24437669360848571</v>
      </c>
      <c r="D28" s="239" t="s">
        <v>692</v>
      </c>
      <c r="F28" s="6"/>
    </row>
    <row r="29" spans="1:18">
      <c r="A29" s="233" t="s">
        <v>51</v>
      </c>
      <c r="B29" s="33">
        <f>IF(ISERROR(TER_gezond_ele_kWh/1000),0,TER_gezond_ele_kWh/1000)</f>
        <v>940.89250658742594</v>
      </c>
      <c r="C29" s="39">
        <f>IF(ISERROR(B29*3.6/1000000/'E Balans VL '!Z10*100),0,B29*3.6/1000000/'E Balans VL '!Z10*100)</f>
        <v>0.1025791469377267</v>
      </c>
      <c r="D29" s="239" t="s">
        <v>692</v>
      </c>
      <c r="F29" s="6"/>
    </row>
    <row r="30" spans="1:18">
      <c r="A30" s="233" t="s">
        <v>50</v>
      </c>
      <c r="B30" s="33">
        <f>IF(ISERROR(TER_ander_ele_kWh/1000),0,TER_ander_ele_kWh/1000)</f>
        <v>1108.6885478458801</v>
      </c>
      <c r="C30" s="39">
        <f>IF(ISERROR(B30*3.6/1000000/'E Balans VL '!Z14*100),0,B30*3.6/1000000/'E Balans VL '!Z14*100)</f>
        <v>8.1131312931009933E-2</v>
      </c>
      <c r="D30" s="239" t="s">
        <v>692</v>
      </c>
      <c r="F30" s="6"/>
    </row>
    <row r="31" spans="1:18">
      <c r="A31" s="233" t="s">
        <v>55</v>
      </c>
      <c r="B31" s="33">
        <f>IF(ISERROR(TER_onderwijs_ele_kWh/1000),0,TER_onderwijs_ele_kWh/1000)</f>
        <v>673.97797819410494</v>
      </c>
      <c r="C31" s="39">
        <f>IF(ISERROR(B31*3.6/1000000/'E Balans VL '!Z11*100),0,B31*3.6/1000000/'E Balans VL '!Z11*100)</f>
        <v>0.13536897740253184</v>
      </c>
      <c r="D31" s="239" t="s">
        <v>692</v>
      </c>
    </row>
    <row r="32" spans="1:18">
      <c r="A32" s="233" t="s">
        <v>260</v>
      </c>
      <c r="B32" s="33">
        <f>IF(ISERROR(TER_rest_ele_kWh/1000),0,TER_rest_ele_kWh/1000)</f>
        <v>6734.7376999581102</v>
      </c>
      <c r="C32" s="39">
        <f>IF(ISERROR(B32*3.6/1000000/'E Balans VL '!Z8*100),0,B32*3.6/1000000/'E Balans VL '!Z8*100)</f>
        <v>5.4884025150010993E-2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53494.229241792527</v>
      </c>
      <c r="C5" s="17">
        <f>IF(ISERROR('Eigen informatie GS &amp; warmtenet'!B59),0,'Eigen informatie GS &amp; warmtenet'!B59)</f>
        <v>0</v>
      </c>
      <c r="D5" s="30">
        <f>SUM(D6:D15)</f>
        <v>160843.67128031419</v>
      </c>
      <c r="E5" s="17">
        <f>SUM(E6:E15)</f>
        <v>5004.7590691439018</v>
      </c>
      <c r="F5" s="17">
        <f>SUM(F6:F15)</f>
        <v>42617.347773504858</v>
      </c>
      <c r="G5" s="18"/>
      <c r="H5" s="17"/>
      <c r="I5" s="17"/>
      <c r="J5" s="17">
        <f>SUM(J6:J15)</f>
        <v>62.10186986484478</v>
      </c>
      <c r="K5" s="17"/>
      <c r="L5" s="17"/>
      <c r="M5" s="17"/>
      <c r="N5" s="17">
        <f>SUM(N6:N15)</f>
        <v>13322.684518648013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984.21653613239789</v>
      </c>
      <c r="C8" s="33"/>
      <c r="D8" s="37">
        <f>IF( ISERROR(IND_metaal_Gas_kWH/1000),0,IND_metaal_Gas_kWH/1000)*0.902</f>
        <v>185.61609198494139</v>
      </c>
      <c r="E8" s="33">
        <f>C30*'E Balans VL '!I18/100/3.6*1000000</f>
        <v>28.270393213388243</v>
      </c>
      <c r="F8" s="33">
        <f>C30*'E Balans VL '!L18/100/3.6*1000000+C30*'E Balans VL '!N18/100/3.6*1000000</f>
        <v>252.43261231362999</v>
      </c>
      <c r="G8" s="34"/>
      <c r="H8" s="33"/>
      <c r="I8" s="33"/>
      <c r="J8" s="40">
        <f>C30*'E Balans VL '!D18/100/3.6*1000000+C30*'E Balans VL '!E18/100/3.6*1000000</f>
        <v>0</v>
      </c>
      <c r="K8" s="33"/>
      <c r="L8" s="33"/>
      <c r="M8" s="33"/>
      <c r="N8" s="33">
        <f>C30*'E Balans VL '!Y18/100/3.6*1000000</f>
        <v>26.723488026585393</v>
      </c>
      <c r="O8" s="33"/>
      <c r="P8" s="33"/>
      <c r="R8" s="32"/>
    </row>
    <row r="9" spans="1:18">
      <c r="A9" s="6" t="s">
        <v>33</v>
      </c>
      <c r="B9" s="37">
        <f t="shared" si="0"/>
        <v>6961.4453827399793</v>
      </c>
      <c r="C9" s="33"/>
      <c r="D9" s="37">
        <f>IF( ISERROR(IND_andere_gas_kWh/1000),0,IND_andere_gas_kWh/1000)*0.902</f>
        <v>1613.1666900570119</v>
      </c>
      <c r="E9" s="33">
        <f>C31*'E Balans VL '!I19/100/3.6*1000000</f>
        <v>1884.2921037685262</v>
      </c>
      <c r="F9" s="33">
        <f>C31*'E Balans VL '!L19/100/3.6*1000000+C31*'E Balans VL '!N19/100/3.6*1000000</f>
        <v>4637.0592997105059</v>
      </c>
      <c r="G9" s="34"/>
      <c r="H9" s="33"/>
      <c r="I9" s="33"/>
      <c r="J9" s="40">
        <f>C31*'E Balans VL '!D19/100/3.6*1000000+C31*'E Balans VL '!E19/100/3.6*1000000</f>
        <v>0</v>
      </c>
      <c r="K9" s="33"/>
      <c r="L9" s="33"/>
      <c r="M9" s="33"/>
      <c r="N9" s="33">
        <f>C31*'E Balans VL '!Y19/100/3.6*1000000</f>
        <v>2272.796277956782</v>
      </c>
      <c r="O9" s="33"/>
      <c r="P9" s="33"/>
      <c r="R9" s="32"/>
    </row>
    <row r="10" spans="1:18">
      <c r="A10" s="6" t="s">
        <v>41</v>
      </c>
      <c r="B10" s="37">
        <f t="shared" si="0"/>
        <v>21505.3621992972</v>
      </c>
      <c r="C10" s="33"/>
      <c r="D10" s="37">
        <f>IF( ISERROR(IND_voed_gas_kWh/1000),0,IND_voed_gas_kWh/1000)*0.902</f>
        <v>4524.1359973179506</v>
      </c>
      <c r="E10" s="33">
        <f>C32*'E Balans VL '!I20/100/3.6*1000000</f>
        <v>1754.0267482586883</v>
      </c>
      <c r="F10" s="33">
        <f>C32*'E Balans VL '!L20/100/3.6*1000000+C32*'E Balans VL '!N20/100/3.6*1000000</f>
        <v>32066.446176572023</v>
      </c>
      <c r="G10" s="34"/>
      <c r="H10" s="33"/>
      <c r="I10" s="33"/>
      <c r="J10" s="40">
        <f>C32*'E Balans VL '!D20/100/3.6*1000000+C32*'E Balans VL '!E20/100/3.6*1000000</f>
        <v>0.28448983788886067</v>
      </c>
      <c r="K10" s="33"/>
      <c r="L10" s="33"/>
      <c r="M10" s="33"/>
      <c r="N10" s="33">
        <f>C32*'E Balans VL '!Y20/100/3.6*1000000</f>
        <v>6317.5165717458576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65.762068069148498</v>
      </c>
      <c r="C12" s="33"/>
      <c r="D12" s="37">
        <f>IF( ISERROR(IND_min_gas_kWh/1000),0,IND_min_gas_kWh/1000)*0.902</f>
        <v>0</v>
      </c>
      <c r="E12" s="33">
        <f>C34*'E Balans VL '!I22/100/3.6*1000000</f>
        <v>0.51227218131395391</v>
      </c>
      <c r="F12" s="33">
        <f>C34*'E Balans VL '!L22/100/3.6*1000000+C34*'E Balans VL '!N22/100/3.6*1000000</f>
        <v>24.801410873172571</v>
      </c>
      <c r="G12" s="34"/>
      <c r="H12" s="33"/>
      <c r="I12" s="33"/>
      <c r="J12" s="40">
        <f>C34*'E Balans VL '!D22/100/3.6*1000000+C34*'E Balans VL '!E22/100/3.6*1000000</f>
        <v>0.36168562461019127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23977.443055553802</v>
      </c>
      <c r="C15" s="33"/>
      <c r="D15" s="37">
        <f>IF( ISERROR(IND_rest_gas_kWh/1000),0,IND_rest_gas_kWh/1000)*0.902</f>
        <v>154520.75250095429</v>
      </c>
      <c r="E15" s="33">
        <f>C37*'E Balans VL '!I15/100/3.6*1000000</f>
        <v>1337.6575517219856</v>
      </c>
      <c r="F15" s="33">
        <f>C37*'E Balans VL '!L15/100/3.6*1000000+C37*'E Balans VL '!N15/100/3.6*1000000</f>
        <v>5636.6082740355287</v>
      </c>
      <c r="G15" s="34"/>
      <c r="H15" s="33"/>
      <c r="I15" s="33"/>
      <c r="J15" s="40">
        <f>C37*'E Balans VL '!D15/100/3.6*1000000+C37*'E Balans VL '!E15/100/3.6*1000000</f>
        <v>61.455694402345728</v>
      </c>
      <c r="K15" s="33"/>
      <c r="L15" s="33"/>
      <c r="M15" s="33"/>
      <c r="N15" s="33">
        <f>C37*'E Balans VL '!Y15/100/3.6*1000000</f>
        <v>4705.6481809187881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53494.229241792527</v>
      </c>
      <c r="C18" s="21">
        <f>C5+C16</f>
        <v>0</v>
      </c>
      <c r="D18" s="21">
        <f>MAX((D5+D16),0)</f>
        <v>160843.67128031419</v>
      </c>
      <c r="E18" s="21">
        <f>MAX((E5+E16),0)</f>
        <v>5004.7590691439018</v>
      </c>
      <c r="F18" s="21">
        <f>MAX((F5+F16),0)</f>
        <v>42617.347773504858</v>
      </c>
      <c r="G18" s="21"/>
      <c r="H18" s="21"/>
      <c r="I18" s="21"/>
      <c r="J18" s="21">
        <f>MAX((J5+J16),0)</f>
        <v>62.10186986484478</v>
      </c>
      <c r="K18" s="21"/>
      <c r="L18" s="21">
        <f>MAX((L5+L16),0)</f>
        <v>0</v>
      </c>
      <c r="M18" s="21"/>
      <c r="N18" s="21">
        <f>MAX((N5+N16),0)</f>
        <v>13322.684518648013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0.20337996334378766</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10879.654382299937</v>
      </c>
      <c r="C22" s="23">
        <f ca="1">C18*C20</f>
        <v>0</v>
      </c>
      <c r="D22" s="23">
        <f>D18*D20</f>
        <v>32490.421598623467</v>
      </c>
      <c r="E22" s="23">
        <f>E18*E20</f>
        <v>1136.0803086956657</v>
      </c>
      <c r="F22" s="23">
        <f>F18*F20</f>
        <v>11378.831855525797</v>
      </c>
      <c r="G22" s="23"/>
      <c r="H22" s="23"/>
      <c r="I22" s="23"/>
      <c r="J22" s="23">
        <f>J18*J20</f>
        <v>21.984061932155051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984.21653613239789</v>
      </c>
      <c r="C30" s="39">
        <f>IF(ISERROR(B30*3.6/1000000/'E Balans VL '!Z18*100),0,B30*3.6/1000000/'E Balans VL '!Z18*100)</f>
        <v>9.6844394718248725E-2</v>
      </c>
      <c r="D30" s="239" t="s">
        <v>692</v>
      </c>
    </row>
    <row r="31" spans="1:18">
      <c r="A31" s="6" t="s">
        <v>33</v>
      </c>
      <c r="B31" s="37">
        <f>IF( ISERROR(IND_ander_ele_kWh/1000),0,IND_ander_ele_kWh/1000)</f>
        <v>6961.4453827399793</v>
      </c>
      <c r="C31" s="39">
        <f>IF(ISERROR(B31*3.6/1000000/'E Balans VL '!Z19*100),0,B31*3.6/1000000/'E Balans VL '!Z19*100)</f>
        <v>0.30316539332804587</v>
      </c>
      <c r="D31" s="239" t="s">
        <v>692</v>
      </c>
    </row>
    <row r="32" spans="1:18">
      <c r="A32" s="173" t="s">
        <v>41</v>
      </c>
      <c r="B32" s="37">
        <f>IF( ISERROR(IND_voed_ele_kWh/1000),0,IND_voed_ele_kWh/1000)</f>
        <v>21505.3621992972</v>
      </c>
      <c r="C32" s="39">
        <f>IF(ISERROR(B32*3.6/1000000/'E Balans VL '!Z20*100),0,B32*3.6/1000000/'E Balans VL '!Z20*100)</f>
        <v>4.0803323362544139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65.762068069148498</v>
      </c>
      <c r="C34" s="39">
        <f>IF(ISERROR(B34*3.6/1000000/'E Balans VL '!Z22*100),0,B34*3.6/1000000/'E Balans VL '!Z22*100)</f>
        <v>9.246807132626586E-3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23977.443055553802</v>
      </c>
      <c r="C37" s="39">
        <f>IF(ISERROR(B37*3.6/1000000/'E Balans VL '!Z15*100),0,B37*3.6/1000000/'E Balans VL '!Z15*100)</f>
        <v>0.18477564911367636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5345.492663298247</v>
      </c>
      <c r="C5" s="17">
        <f>'Eigen informatie GS &amp; warmtenet'!B60</f>
        <v>0</v>
      </c>
      <c r="D5" s="30">
        <f>IF(ISERROR(SUM(LB_lb_gas_kWh,LB_rest_gas_kWh)/1000),0,SUM(LB_lb_gas_kWh,LB_rest_gas_kWh)/1000)*0.902</f>
        <v>259.53875298498883</v>
      </c>
      <c r="E5" s="17">
        <f>B17*'E Balans VL '!I25/3.6*1000000/100</f>
        <v>67.360093952253976</v>
      </c>
      <c r="F5" s="17">
        <f>B17*('E Balans VL '!L25/3.6*1000000+'E Balans VL '!N25/3.6*1000000)/100</f>
        <v>18443.288814307165</v>
      </c>
      <c r="G5" s="18"/>
      <c r="H5" s="17"/>
      <c r="I5" s="17"/>
      <c r="J5" s="17">
        <f>('E Balans VL '!D25+'E Balans VL '!E25)/3.6*1000000*landbouw!B17/100</f>
        <v>803.90133114407115</v>
      </c>
      <c r="K5" s="17"/>
      <c r="L5" s="17">
        <f>L6*(-1)</f>
        <v>0</v>
      </c>
      <c r="M5" s="17"/>
      <c r="N5" s="17">
        <f>N6*(-1)</f>
        <v>124.71428571428569</v>
      </c>
      <c r="O5" s="17"/>
      <c r="P5" s="17"/>
      <c r="R5" s="32"/>
    </row>
    <row r="6" spans="1:18">
      <c r="A6" s="16" t="s">
        <v>497</v>
      </c>
      <c r="B6" s="17" t="s">
        <v>211</v>
      </c>
      <c r="C6" s="17">
        <f>'lokale energieproductie'!O92+'lokale energieproductie'!O61</f>
        <v>62.357142857142847</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5345.492663298247</v>
      </c>
      <c r="C8" s="21">
        <f>C5+C6</f>
        <v>62.357142857142847</v>
      </c>
      <c r="D8" s="21">
        <f>MAX((D5+D6),0)</f>
        <v>259.53875298498883</v>
      </c>
      <c r="E8" s="21">
        <f>MAX((E5+E6),0)</f>
        <v>67.360093952253976</v>
      </c>
      <c r="F8" s="21">
        <f>MAX((F5+F6),0)</f>
        <v>18443.288814307165</v>
      </c>
      <c r="G8" s="21"/>
      <c r="H8" s="21"/>
      <c r="I8" s="21"/>
      <c r="J8" s="21">
        <f>MAX((J5+J6),0)</f>
        <v>803.90133114407115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0.20337996334378766</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1087.1661019160833</v>
      </c>
      <c r="C12" s="23">
        <f ca="1">C8*C10</f>
        <v>14.340959609650309</v>
      </c>
      <c r="D12" s="23">
        <f>D8*D10</f>
        <v>52.426828102967747</v>
      </c>
      <c r="E12" s="23">
        <f>E8*E10</f>
        <v>15.290741327161653</v>
      </c>
      <c r="F12" s="23">
        <f>F8*F10</f>
        <v>4924.3581134200131</v>
      </c>
      <c r="G12" s="23"/>
      <c r="H12" s="23"/>
      <c r="I12" s="23"/>
      <c r="J12" s="23">
        <f>J8*J10</f>
        <v>284.58107122500115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0.74552774638100761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903.55547803903119</v>
      </c>
      <c r="C26" s="249">
        <f>B26*'GWP N2O_CH4'!B5</f>
        <v>18974.665038819654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480.16448157218446</v>
      </c>
      <c r="C27" s="249">
        <f>B27*'GWP N2O_CH4'!B5</f>
        <v>10083.454113015874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14.788473844585257</v>
      </c>
      <c r="C28" s="249">
        <f>B28*'GWP N2O_CH4'!B4</f>
        <v>4584.4268918214293</v>
      </c>
      <c r="D28" s="50"/>
    </row>
    <row r="29" spans="1:4">
      <c r="A29" s="41" t="s">
        <v>277</v>
      </c>
      <c r="B29" s="249">
        <f>B34*'ha_N2O bodem landbouw'!B4</f>
        <v>48.2367424126844</v>
      </c>
      <c r="C29" s="249">
        <f>B29*'GWP N2O_CH4'!B4</f>
        <v>14953.390147932165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1.2044232585464524E-2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2.9618126484088313E-5</v>
      </c>
      <c r="C5" s="448" t="s">
        <v>211</v>
      </c>
      <c r="D5" s="433">
        <f>SUM(D6:D11)</f>
        <v>4.6504005413515455E-5</v>
      </c>
      <c r="E5" s="433">
        <f>SUM(E6:E11)</f>
        <v>1.57771971028041E-3</v>
      </c>
      <c r="F5" s="446" t="s">
        <v>211</v>
      </c>
      <c r="G5" s="433">
        <f>SUM(G6:G11)</f>
        <v>0.5715851479987375</v>
      </c>
      <c r="H5" s="433">
        <f>SUM(H6:H11)</f>
        <v>7.1126465599588309E-2</v>
      </c>
      <c r="I5" s="448" t="s">
        <v>211</v>
      </c>
      <c r="J5" s="448" t="s">
        <v>211</v>
      </c>
      <c r="K5" s="448" t="s">
        <v>211</v>
      </c>
      <c r="L5" s="448" t="s">
        <v>211</v>
      </c>
      <c r="M5" s="433">
        <f>SUM(M6:M11)</f>
        <v>2.9037728874325729E-2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1.4179827440824809E-5</v>
      </c>
      <c r="C6" s="887"/>
      <c r="D6" s="887">
        <f>vkm_2011_GW_PW*SUMIFS(TableVerdeelsleutelVkm[CNG],TableVerdeelsleutelVkm[Voertuigtype],"Lichte voertuigen")*SUMIFS(TableECFTransport[EnergieConsumptieFactor (PJ per km)],TableECFTransport[Index],CONCATENATE($A6,"_CNG_CNG"))</f>
        <v>2.0081408955571545E-5</v>
      </c>
      <c r="E6" s="887">
        <f>vkm_2011_GW_PW*SUMIFS(TableVerdeelsleutelVkm[LPG],TableVerdeelsleutelVkm[Voertuigtype],"Lichte voertuigen")*SUMIFS(TableECFTransport[EnergieConsumptieFactor (PJ per km)],TableECFTransport[Index],CONCATENATE($A6,"_LPG_LPG"))</f>
        <v>6.3069094555090965E-4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0.11335243251971548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3.0373696395626489E-2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6.5026293165857708E-3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6.6056836006714026E-2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2.3469309037655501E-5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2.9809359535164707E-3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3.441523690433532E-6</v>
      </c>
      <c r="C8" s="887"/>
      <c r="D8" s="436">
        <f>vkm_2011_NGW_PW*SUMIFS(TableVerdeelsleutelVkm[CNG],TableVerdeelsleutelVkm[Voertuigtype],"Lichte voertuigen")*SUMIFS(TableECFTransport[EnergieConsumptieFactor (PJ per km)],TableECFTransport[Index],CONCATENATE($A8,"_CNG_CNG"))</f>
        <v>8.6828836518388629E-6</v>
      </c>
      <c r="E8" s="436">
        <f>vkm_2011_NGW_PW*SUMIFS(TableVerdeelsleutelVkm[LPG],TableVerdeelsleutelVkm[Voertuigtype],"Lichte voertuigen")*SUMIFS(TableECFTransport[EnergieConsumptieFactor (PJ per km)],TableECFTransport[Index],CONCATENATE($A8,"_LPG_LPG"))</f>
        <v>2.5117630067518878E-4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4.2576818620177349E-2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1.2672155411825653E-2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2.5002653449184937E-3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2.5443649119528969E-2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8.5543425116849144E-6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1.1481691543097257E-3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1.1996775352829973E-5</v>
      </c>
      <c r="C10" s="887"/>
      <c r="D10" s="436">
        <f>vkm_2011_SW_PW*SUMIFS(TableVerdeelsleutelVkm[CNG],TableVerdeelsleutelVkm[Voertuigtype],"Lichte voertuigen")*SUMIFS(TableECFTransport[EnergieConsumptieFactor (PJ per km)],TableECFTransport[Index],CONCATENATE($A10,"_CNG_CNG"))</f>
        <v>1.7739712806105049E-5</v>
      </c>
      <c r="E10" s="436">
        <f>vkm_2011_SW_PW*SUMIFS(TableVerdeelsleutelVkm[LPG],TableVerdeelsleutelVkm[Voertuigtype],"Lichte voertuigen")*SUMIFS(TableECFTransport[EnergieConsumptieFactor (PJ per km)],TableECFTransport[Index],CONCATENATE($A10,"_LPG_LPG"))</f>
        <v>6.9585246405431142E-4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0.11326432433932346</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2.7967788498252266E-2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6.3886130793657341E-3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0.21089108739327819</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8.0801642334548047E-5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9.5171160256295306E-3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8.2272573566911973</v>
      </c>
      <c r="C14" s="21"/>
      <c r="D14" s="21">
        <f t="shared" ref="D14:M14" si="0">((D5)*10^9/3600)+D12</f>
        <v>12.917779281532072</v>
      </c>
      <c r="E14" s="21">
        <f t="shared" si="0"/>
        <v>438.25547507789167</v>
      </c>
      <c r="F14" s="21"/>
      <c r="G14" s="21">
        <f t="shared" si="0"/>
        <v>158773.65222187151</v>
      </c>
      <c r="H14" s="21">
        <f t="shared" si="0"/>
        <v>19757.351555441197</v>
      </c>
      <c r="I14" s="21"/>
      <c r="J14" s="21"/>
      <c r="K14" s="21"/>
      <c r="L14" s="21"/>
      <c r="M14" s="21">
        <f t="shared" si="0"/>
        <v>8066.0357984238135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0.20337996334378766</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1.6732592996237632</v>
      </c>
      <c r="C18" s="23"/>
      <c r="D18" s="23">
        <f t="shared" ref="D18:M18" si="1">D14*D16</f>
        <v>2.6093914148694788</v>
      </c>
      <c r="E18" s="23">
        <f t="shared" si="1"/>
        <v>99.483992842681417</v>
      </c>
      <c r="F18" s="23"/>
      <c r="G18" s="23">
        <f t="shared" si="1"/>
        <v>42392.565143239699</v>
      </c>
      <c r="H18" s="23">
        <f t="shared" si="1"/>
        <v>4919.5805373048579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4.1476298459592218E-3</v>
      </c>
      <c r="H50" s="323">
        <f t="shared" si="2"/>
        <v>0</v>
      </c>
      <c r="I50" s="323">
        <f t="shared" si="2"/>
        <v>0</v>
      </c>
      <c r="J50" s="323">
        <f t="shared" si="2"/>
        <v>0</v>
      </c>
      <c r="K50" s="323">
        <f t="shared" si="2"/>
        <v>0</v>
      </c>
      <c r="L50" s="323">
        <f t="shared" si="2"/>
        <v>0</v>
      </c>
      <c r="M50" s="323">
        <f t="shared" si="2"/>
        <v>1.8445524400557834E-4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4.1476298459592218E-3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1.8445524400557834E-4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1152.1194016553395</v>
      </c>
      <c r="H54" s="21">
        <f t="shared" si="3"/>
        <v>0</v>
      </c>
      <c r="I54" s="21">
        <f t="shared" si="3"/>
        <v>0</v>
      </c>
      <c r="J54" s="21">
        <f t="shared" si="3"/>
        <v>0</v>
      </c>
      <c r="K54" s="21">
        <f t="shared" si="3"/>
        <v>0</v>
      </c>
      <c r="L54" s="21">
        <f t="shared" si="3"/>
        <v>0</v>
      </c>
      <c r="M54" s="21">
        <f t="shared" si="3"/>
        <v>51.237567779327314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0.20337996334378766</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307.61588024197567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28024.178498345354</v>
      </c>
      <c r="D10" s="690">
        <f ca="1">tertiair!C16</f>
        <v>1870.7142857142858</v>
      </c>
      <c r="E10" s="690">
        <f ca="1">tertiair!D16</f>
        <v>31600.875267766583</v>
      </c>
      <c r="F10" s="690">
        <f>tertiair!E16</f>
        <v>368.81707411023865</v>
      </c>
      <c r="G10" s="690">
        <f ca="1">tertiair!F16</f>
        <v>5052.2843885875445</v>
      </c>
      <c r="H10" s="690">
        <f>tertiair!G16</f>
        <v>0</v>
      </c>
      <c r="I10" s="690">
        <f>tertiair!H16</f>
        <v>0</v>
      </c>
      <c r="J10" s="690">
        <f>tertiair!I16</f>
        <v>0</v>
      </c>
      <c r="K10" s="690">
        <f>tertiair!J16</f>
        <v>0</v>
      </c>
      <c r="L10" s="690">
        <f>tertiair!K16</f>
        <v>0</v>
      </c>
      <c r="M10" s="690">
        <f ca="1">tertiair!L16</f>
        <v>0</v>
      </c>
      <c r="N10" s="690">
        <f>tertiair!M16</f>
        <v>0</v>
      </c>
      <c r="O10" s="690">
        <f ca="1">tertiair!N16</f>
        <v>1345.2229834576192</v>
      </c>
      <c r="P10" s="690">
        <f>tertiair!O16</f>
        <v>7.8166666666666664</v>
      </c>
      <c r="Q10" s="691">
        <f>tertiair!P16</f>
        <v>19.066666666666666</v>
      </c>
      <c r="R10" s="693">
        <f ca="1">SUM(C10:Q10)</f>
        <v>68288.97583131495</v>
      </c>
      <c r="S10" s="67"/>
    </row>
    <row r="11" spans="1:19" s="458" customFormat="1">
      <c r="A11" s="805" t="s">
        <v>225</v>
      </c>
      <c r="B11" s="810"/>
      <c r="C11" s="690">
        <f>huishoudens!B8</f>
        <v>19891.805526676202</v>
      </c>
      <c r="D11" s="690">
        <f>huishoudens!C8</f>
        <v>0</v>
      </c>
      <c r="E11" s="690">
        <f>huishoudens!D8</f>
        <v>51281.533518949676</v>
      </c>
      <c r="F11" s="690">
        <f>huishoudens!E8</f>
        <v>5121.8511257371356</v>
      </c>
      <c r="G11" s="690">
        <f>huishoudens!F8</f>
        <v>8208.1210247525942</v>
      </c>
      <c r="H11" s="690">
        <f>huishoudens!G8</f>
        <v>0</v>
      </c>
      <c r="I11" s="690">
        <f>huishoudens!H8</f>
        <v>0</v>
      </c>
      <c r="J11" s="690">
        <f>huishoudens!I8</f>
        <v>0</v>
      </c>
      <c r="K11" s="690">
        <f>huishoudens!J8</f>
        <v>911.30086989731603</v>
      </c>
      <c r="L11" s="690">
        <f>huishoudens!K8</f>
        <v>0</v>
      </c>
      <c r="M11" s="690">
        <f>huishoudens!L8</f>
        <v>0</v>
      </c>
      <c r="N11" s="690">
        <f>huishoudens!M8</f>
        <v>0</v>
      </c>
      <c r="O11" s="690">
        <f>huishoudens!N8</f>
        <v>11575.340924226775</v>
      </c>
      <c r="P11" s="690">
        <f>huishoudens!O8</f>
        <v>237.62666666666667</v>
      </c>
      <c r="Q11" s="691">
        <f>huishoudens!P8</f>
        <v>305.06666666666666</v>
      </c>
      <c r="R11" s="693">
        <f>SUM(C11:Q11)</f>
        <v>97532.646323573019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53494.229241792527</v>
      </c>
      <c r="D13" s="690">
        <f>industrie!C18</f>
        <v>0</v>
      </c>
      <c r="E13" s="690">
        <f>industrie!D18</f>
        <v>160843.67128031419</v>
      </c>
      <c r="F13" s="690">
        <f>industrie!E18</f>
        <v>5004.7590691439018</v>
      </c>
      <c r="G13" s="690">
        <f>industrie!F18</f>
        <v>42617.347773504858</v>
      </c>
      <c r="H13" s="690">
        <f>industrie!G18</f>
        <v>0</v>
      </c>
      <c r="I13" s="690">
        <f>industrie!H18</f>
        <v>0</v>
      </c>
      <c r="J13" s="690">
        <f>industrie!I18</f>
        <v>0</v>
      </c>
      <c r="K13" s="690">
        <f>industrie!J18</f>
        <v>62.10186986484478</v>
      </c>
      <c r="L13" s="690">
        <f>industrie!K18</f>
        <v>0</v>
      </c>
      <c r="M13" s="690">
        <f>industrie!L18</f>
        <v>0</v>
      </c>
      <c r="N13" s="690">
        <f>industrie!M18</f>
        <v>0</v>
      </c>
      <c r="O13" s="690">
        <f>industrie!N18</f>
        <v>13322.684518648013</v>
      </c>
      <c r="P13" s="690">
        <f>industrie!O18</f>
        <v>0</v>
      </c>
      <c r="Q13" s="691">
        <f>industrie!P18</f>
        <v>0</v>
      </c>
      <c r="R13" s="693">
        <f>SUM(C13:Q13)</f>
        <v>275344.79375326831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101410.21326681408</v>
      </c>
      <c r="D16" s="725">
        <f t="shared" ref="D16:R16" ca="1" si="0">SUM(D9:D15)</f>
        <v>1870.7142857142858</v>
      </c>
      <c r="E16" s="725">
        <f t="shared" ca="1" si="0"/>
        <v>243726.08006703045</v>
      </c>
      <c r="F16" s="725">
        <f t="shared" si="0"/>
        <v>10495.427268991276</v>
      </c>
      <c r="G16" s="725">
        <f t="shared" ca="1" si="0"/>
        <v>55877.753186844995</v>
      </c>
      <c r="H16" s="725">
        <f t="shared" si="0"/>
        <v>0</v>
      </c>
      <c r="I16" s="725">
        <f t="shared" si="0"/>
        <v>0</v>
      </c>
      <c r="J16" s="725">
        <f t="shared" si="0"/>
        <v>0</v>
      </c>
      <c r="K16" s="725">
        <f t="shared" si="0"/>
        <v>973.40273976216076</v>
      </c>
      <c r="L16" s="725">
        <f t="shared" si="0"/>
        <v>0</v>
      </c>
      <c r="M16" s="725">
        <f t="shared" ca="1" si="0"/>
        <v>0</v>
      </c>
      <c r="N16" s="725">
        <f t="shared" si="0"/>
        <v>0</v>
      </c>
      <c r="O16" s="725">
        <f t="shared" ca="1" si="0"/>
        <v>26243.248426332408</v>
      </c>
      <c r="P16" s="725">
        <f t="shared" si="0"/>
        <v>245.44333333333333</v>
      </c>
      <c r="Q16" s="725">
        <f t="shared" si="0"/>
        <v>324.13333333333333</v>
      </c>
      <c r="R16" s="725">
        <f t="shared" ca="1" si="0"/>
        <v>441166.41590815631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1152.1194016553395</v>
      </c>
      <c r="I19" s="690">
        <f>transport!H54</f>
        <v>0</v>
      </c>
      <c r="J19" s="690">
        <f>transport!I54</f>
        <v>0</v>
      </c>
      <c r="K19" s="690">
        <f>transport!J54</f>
        <v>0</v>
      </c>
      <c r="L19" s="690">
        <f>transport!K54</f>
        <v>0</v>
      </c>
      <c r="M19" s="690">
        <f>transport!L54</f>
        <v>0</v>
      </c>
      <c r="N19" s="690">
        <f>transport!M54</f>
        <v>51.237567779327314</v>
      </c>
      <c r="O19" s="690">
        <f>transport!N54</f>
        <v>0</v>
      </c>
      <c r="P19" s="690">
        <f>transport!O54</f>
        <v>0</v>
      </c>
      <c r="Q19" s="691">
        <f>transport!P54</f>
        <v>0</v>
      </c>
      <c r="R19" s="693">
        <f>SUM(C19:Q19)</f>
        <v>1203.3569694346668</v>
      </c>
      <c r="S19" s="67"/>
    </row>
    <row r="20" spans="1:19" s="458" customFormat="1">
      <c r="A20" s="805" t="s">
        <v>307</v>
      </c>
      <c r="B20" s="810"/>
      <c r="C20" s="690">
        <f>transport!B14</f>
        <v>8.2272573566911973</v>
      </c>
      <c r="D20" s="690">
        <f>transport!C14</f>
        <v>0</v>
      </c>
      <c r="E20" s="690">
        <f>transport!D14</f>
        <v>12.917779281532072</v>
      </c>
      <c r="F20" s="690">
        <f>transport!E14</f>
        <v>438.25547507789167</v>
      </c>
      <c r="G20" s="690">
        <f>transport!F14</f>
        <v>0</v>
      </c>
      <c r="H20" s="690">
        <f>transport!G14</f>
        <v>158773.65222187151</v>
      </c>
      <c r="I20" s="690">
        <f>transport!H14</f>
        <v>19757.351555441197</v>
      </c>
      <c r="J20" s="690">
        <f>transport!I14</f>
        <v>0</v>
      </c>
      <c r="K20" s="690">
        <f>transport!J14</f>
        <v>0</v>
      </c>
      <c r="L20" s="690">
        <f>transport!K14</f>
        <v>0</v>
      </c>
      <c r="M20" s="690">
        <f>transport!L14</f>
        <v>0</v>
      </c>
      <c r="N20" s="690">
        <f>transport!M14</f>
        <v>8066.0357984238135</v>
      </c>
      <c r="O20" s="690">
        <f>transport!N14</f>
        <v>0</v>
      </c>
      <c r="P20" s="690">
        <f>transport!O14</f>
        <v>0</v>
      </c>
      <c r="Q20" s="691">
        <f>transport!P14</f>
        <v>0</v>
      </c>
      <c r="R20" s="693">
        <f>SUM(C20:Q20)</f>
        <v>187056.44008745262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8.2272573566911973</v>
      </c>
      <c r="D22" s="808">
        <f t="shared" ref="D22:R22" si="1">SUM(D18:D21)</f>
        <v>0</v>
      </c>
      <c r="E22" s="808">
        <f t="shared" si="1"/>
        <v>12.917779281532072</v>
      </c>
      <c r="F22" s="808">
        <f t="shared" si="1"/>
        <v>438.25547507789167</v>
      </c>
      <c r="G22" s="808">
        <f t="shared" si="1"/>
        <v>0</v>
      </c>
      <c r="H22" s="808">
        <f t="shared" si="1"/>
        <v>159925.77162352685</v>
      </c>
      <c r="I22" s="808">
        <f t="shared" si="1"/>
        <v>19757.351555441197</v>
      </c>
      <c r="J22" s="808">
        <f t="shared" si="1"/>
        <v>0</v>
      </c>
      <c r="K22" s="808">
        <f t="shared" si="1"/>
        <v>0</v>
      </c>
      <c r="L22" s="808">
        <f t="shared" si="1"/>
        <v>0</v>
      </c>
      <c r="M22" s="808">
        <f t="shared" si="1"/>
        <v>0</v>
      </c>
      <c r="N22" s="808">
        <f t="shared" si="1"/>
        <v>8117.2733662031405</v>
      </c>
      <c r="O22" s="808">
        <f t="shared" si="1"/>
        <v>0</v>
      </c>
      <c r="P22" s="808">
        <f t="shared" si="1"/>
        <v>0</v>
      </c>
      <c r="Q22" s="808">
        <f t="shared" si="1"/>
        <v>0</v>
      </c>
      <c r="R22" s="808">
        <f t="shared" si="1"/>
        <v>188259.7970568873</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5345.492663298247</v>
      </c>
      <c r="D24" s="690">
        <f>+landbouw!C8</f>
        <v>62.357142857142847</v>
      </c>
      <c r="E24" s="690">
        <f>+landbouw!D8</f>
        <v>259.53875298498883</v>
      </c>
      <c r="F24" s="690">
        <f>+landbouw!E8</f>
        <v>67.360093952253976</v>
      </c>
      <c r="G24" s="690">
        <f>+landbouw!F8</f>
        <v>18443.288814307165</v>
      </c>
      <c r="H24" s="690">
        <f>+landbouw!G8</f>
        <v>0</v>
      </c>
      <c r="I24" s="690">
        <f>+landbouw!H8</f>
        <v>0</v>
      </c>
      <c r="J24" s="690">
        <f>+landbouw!I8</f>
        <v>0</v>
      </c>
      <c r="K24" s="690">
        <f>+landbouw!J8</f>
        <v>803.90133114407115</v>
      </c>
      <c r="L24" s="690">
        <f>+landbouw!K8</f>
        <v>0</v>
      </c>
      <c r="M24" s="690">
        <f>+landbouw!L8</f>
        <v>0</v>
      </c>
      <c r="N24" s="690">
        <f>+landbouw!M8</f>
        <v>0</v>
      </c>
      <c r="O24" s="690">
        <f>+landbouw!N8</f>
        <v>0</v>
      </c>
      <c r="P24" s="690">
        <f>+landbouw!O8</f>
        <v>0</v>
      </c>
      <c r="Q24" s="691">
        <f>+landbouw!P8</f>
        <v>0</v>
      </c>
      <c r="R24" s="693">
        <f>SUM(C24:Q24)</f>
        <v>24981.93879854387</v>
      </c>
      <c r="S24" s="67"/>
    </row>
    <row r="25" spans="1:19" s="458" customFormat="1" ht="15" thickBot="1">
      <c r="A25" s="827" t="s">
        <v>872</v>
      </c>
      <c r="B25" s="1004"/>
      <c r="C25" s="1005">
        <f>IF(Onbekend_ele_kWh="---",0,Onbekend_ele_kWh)/1000+IF(REST_rest_ele_kWh="---",0,REST_rest_ele_kWh)/1000</f>
        <v>896.57640640646605</v>
      </c>
      <c r="D25" s="1005"/>
      <c r="E25" s="1005">
        <f>IF(onbekend_gas_kWh="---",0,onbekend_gas_kWh)/1000+IF(REST_rest_gas_kWh="---",0,REST_rest_gas_kWh)/1000</f>
        <v>3013.0101791675197</v>
      </c>
      <c r="F25" s="1005"/>
      <c r="G25" s="1005"/>
      <c r="H25" s="1005"/>
      <c r="I25" s="1005"/>
      <c r="J25" s="1005"/>
      <c r="K25" s="1005"/>
      <c r="L25" s="1005"/>
      <c r="M25" s="1005"/>
      <c r="N25" s="1005"/>
      <c r="O25" s="1005"/>
      <c r="P25" s="1005"/>
      <c r="Q25" s="1006"/>
      <c r="R25" s="693">
        <f>SUM(C25:Q25)</f>
        <v>3909.5865855739858</v>
      </c>
      <c r="S25" s="67"/>
    </row>
    <row r="26" spans="1:19" s="458" customFormat="1" ht="15.75" thickBot="1">
      <c r="A26" s="698" t="s">
        <v>873</v>
      </c>
      <c r="B26" s="813"/>
      <c r="C26" s="808">
        <f>SUM(C24:C25)</f>
        <v>6242.069069704713</v>
      </c>
      <c r="D26" s="808">
        <f t="shared" ref="D26:R26" si="2">SUM(D24:D25)</f>
        <v>62.357142857142847</v>
      </c>
      <c r="E26" s="808">
        <f t="shared" si="2"/>
        <v>3272.5489321525083</v>
      </c>
      <c r="F26" s="808">
        <f t="shared" si="2"/>
        <v>67.360093952253976</v>
      </c>
      <c r="G26" s="808">
        <f t="shared" si="2"/>
        <v>18443.288814307165</v>
      </c>
      <c r="H26" s="808">
        <f t="shared" si="2"/>
        <v>0</v>
      </c>
      <c r="I26" s="808">
        <f t="shared" si="2"/>
        <v>0</v>
      </c>
      <c r="J26" s="808">
        <f t="shared" si="2"/>
        <v>0</v>
      </c>
      <c r="K26" s="808">
        <f t="shared" si="2"/>
        <v>803.90133114407115</v>
      </c>
      <c r="L26" s="808">
        <f t="shared" si="2"/>
        <v>0</v>
      </c>
      <c r="M26" s="808">
        <f t="shared" si="2"/>
        <v>0</v>
      </c>
      <c r="N26" s="808">
        <f t="shared" si="2"/>
        <v>0</v>
      </c>
      <c r="O26" s="808">
        <f t="shared" si="2"/>
        <v>0</v>
      </c>
      <c r="P26" s="808">
        <f t="shared" si="2"/>
        <v>0</v>
      </c>
      <c r="Q26" s="808">
        <f t="shared" si="2"/>
        <v>0</v>
      </c>
      <c r="R26" s="808">
        <f t="shared" si="2"/>
        <v>28891.525384117856</v>
      </c>
      <c r="S26" s="67"/>
    </row>
    <row r="27" spans="1:19" s="458" customFormat="1" ht="17.25" thickTop="1" thickBot="1">
      <c r="A27" s="699" t="s">
        <v>116</v>
      </c>
      <c r="B27" s="800"/>
      <c r="C27" s="700">
        <f ca="1">C22+C16+C26</f>
        <v>107660.50959387548</v>
      </c>
      <c r="D27" s="700">
        <f t="shared" ref="D27:R27" ca="1" si="3">D22+D16+D26</f>
        <v>1933.0714285714287</v>
      </c>
      <c r="E27" s="700">
        <f t="shared" ca="1" si="3"/>
        <v>247011.54677846449</v>
      </c>
      <c r="F27" s="700">
        <f t="shared" si="3"/>
        <v>11001.042838021422</v>
      </c>
      <c r="G27" s="700">
        <f t="shared" ca="1" si="3"/>
        <v>74321.042001152164</v>
      </c>
      <c r="H27" s="700">
        <f t="shared" si="3"/>
        <v>159925.77162352685</v>
      </c>
      <c r="I27" s="700">
        <f t="shared" si="3"/>
        <v>19757.351555441197</v>
      </c>
      <c r="J27" s="700">
        <f t="shared" si="3"/>
        <v>0</v>
      </c>
      <c r="K27" s="700">
        <f t="shared" si="3"/>
        <v>1777.304070906232</v>
      </c>
      <c r="L27" s="700">
        <f t="shared" si="3"/>
        <v>0</v>
      </c>
      <c r="M27" s="700">
        <f t="shared" ca="1" si="3"/>
        <v>0</v>
      </c>
      <c r="N27" s="700">
        <f t="shared" si="3"/>
        <v>8117.2733662031405</v>
      </c>
      <c r="O27" s="700">
        <f t="shared" ca="1" si="3"/>
        <v>26243.248426332408</v>
      </c>
      <c r="P27" s="700">
        <f t="shared" si="3"/>
        <v>245.44333333333333</v>
      </c>
      <c r="Q27" s="700">
        <f t="shared" si="3"/>
        <v>324.13333333333333</v>
      </c>
      <c r="R27" s="700">
        <f t="shared" ca="1" si="3"/>
        <v>658317.73834916146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5699.5563957332406</v>
      </c>
      <c r="D40" s="690">
        <f ca="1">tertiair!C20</f>
        <v>430.22878828950934</v>
      </c>
      <c r="E40" s="690">
        <f ca="1">tertiair!D20</f>
        <v>6383.3768040888499</v>
      </c>
      <c r="F40" s="690">
        <f>tertiair!E20</f>
        <v>83.721475823024178</v>
      </c>
      <c r="G40" s="690">
        <f ca="1">tertiair!F20</f>
        <v>1348.9599317528744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13945.843395687498</v>
      </c>
    </row>
    <row r="41" spans="1:18">
      <c r="A41" s="818" t="s">
        <v>225</v>
      </c>
      <c r="B41" s="825"/>
      <c r="C41" s="690">
        <f ca="1">huishoudens!B12</f>
        <v>4045.5946788571587</v>
      </c>
      <c r="D41" s="690">
        <f ca="1">huishoudens!C12</f>
        <v>0</v>
      </c>
      <c r="E41" s="690">
        <f>huishoudens!D12</f>
        <v>10358.869770827836</v>
      </c>
      <c r="F41" s="690">
        <f>huishoudens!E12</f>
        <v>1162.6602055423298</v>
      </c>
      <c r="G41" s="690">
        <f>huishoudens!F12</f>
        <v>2191.5683136089428</v>
      </c>
      <c r="H41" s="690">
        <f>huishoudens!G12</f>
        <v>0</v>
      </c>
      <c r="I41" s="690">
        <f>huishoudens!H12</f>
        <v>0</v>
      </c>
      <c r="J41" s="690">
        <f>huishoudens!I12</f>
        <v>0</v>
      </c>
      <c r="K41" s="690">
        <f>huishoudens!J12</f>
        <v>322.60050794364986</v>
      </c>
      <c r="L41" s="690">
        <f>huishoudens!K12</f>
        <v>0</v>
      </c>
      <c r="M41" s="690">
        <f>huishoudens!L12</f>
        <v>0</v>
      </c>
      <c r="N41" s="690">
        <f>huishoudens!M12</f>
        <v>0</v>
      </c>
      <c r="O41" s="690">
        <f>huishoudens!N12</f>
        <v>0</v>
      </c>
      <c r="P41" s="690">
        <f>huishoudens!O12</f>
        <v>0</v>
      </c>
      <c r="Q41" s="767">
        <f>huishoudens!P12</f>
        <v>0</v>
      </c>
      <c r="R41" s="846">
        <f t="shared" ca="1" si="4"/>
        <v>18081.293476779916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10879.654382299937</v>
      </c>
      <c r="D43" s="690">
        <f ca="1">industrie!C22</f>
        <v>0</v>
      </c>
      <c r="E43" s="690">
        <f>industrie!D22</f>
        <v>32490.421598623467</v>
      </c>
      <c r="F43" s="690">
        <f>industrie!E22</f>
        <v>1136.0803086956657</v>
      </c>
      <c r="G43" s="690">
        <f>industrie!F22</f>
        <v>11378.831855525797</v>
      </c>
      <c r="H43" s="690">
        <f>industrie!G22</f>
        <v>0</v>
      </c>
      <c r="I43" s="690">
        <f>industrie!H22</f>
        <v>0</v>
      </c>
      <c r="J43" s="690">
        <f>industrie!I22</f>
        <v>0</v>
      </c>
      <c r="K43" s="690">
        <f>industrie!J22</f>
        <v>21.984061932155051</v>
      </c>
      <c r="L43" s="690">
        <f>industrie!K22</f>
        <v>0</v>
      </c>
      <c r="M43" s="690">
        <f>industrie!L22</f>
        <v>0</v>
      </c>
      <c r="N43" s="690">
        <f>industrie!M22</f>
        <v>0</v>
      </c>
      <c r="O43" s="690">
        <f>industrie!N22</f>
        <v>0</v>
      </c>
      <c r="P43" s="690">
        <f>industrie!O22</f>
        <v>0</v>
      </c>
      <c r="Q43" s="767">
        <f>industrie!P22</f>
        <v>0</v>
      </c>
      <c r="R43" s="845">
        <f t="shared" ca="1" si="4"/>
        <v>55906.972207077015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20624.805456890339</v>
      </c>
      <c r="D46" s="725">
        <f t="shared" ref="D46:Q46" ca="1" si="5">SUM(D39:D45)</f>
        <v>430.22878828950934</v>
      </c>
      <c r="E46" s="725">
        <f t="shared" ca="1" si="5"/>
        <v>49232.668173540151</v>
      </c>
      <c r="F46" s="725">
        <f t="shared" si="5"/>
        <v>2382.4619900610196</v>
      </c>
      <c r="G46" s="725">
        <f t="shared" ca="1" si="5"/>
        <v>14919.360100887614</v>
      </c>
      <c r="H46" s="725">
        <f t="shared" si="5"/>
        <v>0</v>
      </c>
      <c r="I46" s="725">
        <f t="shared" si="5"/>
        <v>0</v>
      </c>
      <c r="J46" s="725">
        <f t="shared" si="5"/>
        <v>0</v>
      </c>
      <c r="K46" s="725">
        <f t="shared" si="5"/>
        <v>344.5845698758049</v>
      </c>
      <c r="L46" s="725">
        <f t="shared" si="5"/>
        <v>0</v>
      </c>
      <c r="M46" s="725">
        <f t="shared" ca="1" si="5"/>
        <v>0</v>
      </c>
      <c r="N46" s="725">
        <f t="shared" si="5"/>
        <v>0</v>
      </c>
      <c r="O46" s="725">
        <f t="shared" ca="1" si="5"/>
        <v>0</v>
      </c>
      <c r="P46" s="725">
        <f t="shared" si="5"/>
        <v>0</v>
      </c>
      <c r="Q46" s="725">
        <f t="shared" si="5"/>
        <v>0</v>
      </c>
      <c r="R46" s="725">
        <f ca="1">SUM(R39:R45)</f>
        <v>87934.109079544432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307.61588024197567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307.61588024197567</v>
      </c>
    </row>
    <row r="50" spans="1:18">
      <c r="A50" s="821" t="s">
        <v>307</v>
      </c>
      <c r="B50" s="831"/>
      <c r="C50" s="696">
        <f ca="1">transport!B18</f>
        <v>1.6732592996237632</v>
      </c>
      <c r="D50" s="696">
        <f>transport!C18</f>
        <v>0</v>
      </c>
      <c r="E50" s="696">
        <f>transport!D18</f>
        <v>2.6093914148694788</v>
      </c>
      <c r="F50" s="696">
        <f>transport!E18</f>
        <v>99.483992842681417</v>
      </c>
      <c r="G50" s="696">
        <f>transport!F18</f>
        <v>0</v>
      </c>
      <c r="H50" s="696">
        <f>transport!G18</f>
        <v>42392.565143239699</v>
      </c>
      <c r="I50" s="696">
        <f>transport!H18</f>
        <v>4919.5805373048579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47415.91232410173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1.6732592996237632</v>
      </c>
      <c r="D52" s="725">
        <f t="shared" ref="D52:Q52" ca="1" si="6">SUM(D48:D51)</f>
        <v>0</v>
      </c>
      <c r="E52" s="725">
        <f t="shared" si="6"/>
        <v>2.6093914148694788</v>
      </c>
      <c r="F52" s="725">
        <f t="shared" si="6"/>
        <v>99.483992842681417</v>
      </c>
      <c r="G52" s="725">
        <f t="shared" si="6"/>
        <v>0</v>
      </c>
      <c r="H52" s="725">
        <f t="shared" si="6"/>
        <v>42700.181023481673</v>
      </c>
      <c r="I52" s="725">
        <f t="shared" si="6"/>
        <v>4919.5805373048579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47723.528204343704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1087.1661019160833</v>
      </c>
      <c r="D54" s="696">
        <f ca="1">+landbouw!C12</f>
        <v>14.340959609650309</v>
      </c>
      <c r="E54" s="696">
        <f>+landbouw!D12</f>
        <v>52.426828102967747</v>
      </c>
      <c r="F54" s="696">
        <f>+landbouw!E12</f>
        <v>15.290741327161653</v>
      </c>
      <c r="G54" s="696">
        <f>+landbouw!F12</f>
        <v>4924.3581134200131</v>
      </c>
      <c r="H54" s="696">
        <f>+landbouw!G12</f>
        <v>0</v>
      </c>
      <c r="I54" s="696">
        <f>+landbouw!H12</f>
        <v>0</v>
      </c>
      <c r="J54" s="696">
        <f>+landbouw!I12</f>
        <v>0</v>
      </c>
      <c r="K54" s="696">
        <f>+landbouw!J12</f>
        <v>284.58107122500115</v>
      </c>
      <c r="L54" s="696">
        <f>+landbouw!K12</f>
        <v>0</v>
      </c>
      <c r="M54" s="696">
        <f>+landbouw!L12</f>
        <v>0</v>
      </c>
      <c r="N54" s="696">
        <f>+landbouw!M12</f>
        <v>0</v>
      </c>
      <c r="O54" s="696">
        <f>+landbouw!N12</f>
        <v>0</v>
      </c>
      <c r="P54" s="696">
        <f>+landbouw!O12</f>
        <v>0</v>
      </c>
      <c r="Q54" s="697">
        <f>+landbouw!P12</f>
        <v>0</v>
      </c>
      <c r="R54" s="724">
        <f ca="1">SUM(C54:Q54)</f>
        <v>6378.1638156008776</v>
      </c>
    </row>
    <row r="55" spans="1:18" ht="15" thickBot="1">
      <c r="A55" s="821" t="s">
        <v>872</v>
      </c>
      <c r="B55" s="831"/>
      <c r="C55" s="696">
        <f ca="1">C25*'EF ele_warmte'!B12</f>
        <v>182.34567666985194</v>
      </c>
      <c r="D55" s="696"/>
      <c r="E55" s="696">
        <f>E25*EF_CO2_aardgas</f>
        <v>608.62805619183905</v>
      </c>
      <c r="F55" s="696"/>
      <c r="G55" s="696"/>
      <c r="H55" s="696"/>
      <c r="I55" s="696"/>
      <c r="J55" s="696"/>
      <c r="K55" s="696"/>
      <c r="L55" s="696"/>
      <c r="M55" s="696"/>
      <c r="N55" s="696"/>
      <c r="O55" s="696"/>
      <c r="P55" s="696"/>
      <c r="Q55" s="697"/>
      <c r="R55" s="724">
        <f ca="1">SUM(C55:Q55)</f>
        <v>790.97373286169102</v>
      </c>
    </row>
    <row r="56" spans="1:18" ht="15.75" thickBot="1">
      <c r="A56" s="819" t="s">
        <v>873</v>
      </c>
      <c r="B56" s="832"/>
      <c r="C56" s="725">
        <f ca="1">SUM(C54:C55)</f>
        <v>1269.5117785859352</v>
      </c>
      <c r="D56" s="725">
        <f t="shared" ref="D56:Q56" ca="1" si="7">SUM(D54:D55)</f>
        <v>14.340959609650309</v>
      </c>
      <c r="E56" s="725">
        <f t="shared" si="7"/>
        <v>661.05488429480681</v>
      </c>
      <c r="F56" s="725">
        <f t="shared" si="7"/>
        <v>15.290741327161653</v>
      </c>
      <c r="G56" s="725">
        <f t="shared" si="7"/>
        <v>4924.3581134200131</v>
      </c>
      <c r="H56" s="725">
        <f t="shared" si="7"/>
        <v>0</v>
      </c>
      <c r="I56" s="725">
        <f t="shared" si="7"/>
        <v>0</v>
      </c>
      <c r="J56" s="725">
        <f t="shared" si="7"/>
        <v>0</v>
      </c>
      <c r="K56" s="725">
        <f t="shared" si="7"/>
        <v>284.58107122500115</v>
      </c>
      <c r="L56" s="725">
        <f t="shared" si="7"/>
        <v>0</v>
      </c>
      <c r="M56" s="725">
        <f t="shared" si="7"/>
        <v>0</v>
      </c>
      <c r="N56" s="725">
        <f t="shared" si="7"/>
        <v>0</v>
      </c>
      <c r="O56" s="725">
        <f t="shared" si="7"/>
        <v>0</v>
      </c>
      <c r="P56" s="725">
        <f t="shared" si="7"/>
        <v>0</v>
      </c>
      <c r="Q56" s="726">
        <f t="shared" si="7"/>
        <v>0</v>
      </c>
      <c r="R56" s="727">
        <f ca="1">SUM(R54:R55)</f>
        <v>7169.1375484625687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21895.990494775899</v>
      </c>
      <c r="D61" s="733">
        <f t="shared" ref="D61:Q61" ca="1" si="8">D46+D52+D56</f>
        <v>444.56974789915967</v>
      </c>
      <c r="E61" s="733">
        <f t="shared" ca="1" si="8"/>
        <v>49896.332449249821</v>
      </c>
      <c r="F61" s="733">
        <f t="shared" si="8"/>
        <v>2497.2367242308628</v>
      </c>
      <c r="G61" s="733">
        <f t="shared" ca="1" si="8"/>
        <v>19843.718214307628</v>
      </c>
      <c r="H61" s="733">
        <f t="shared" si="8"/>
        <v>42700.181023481673</v>
      </c>
      <c r="I61" s="733">
        <f t="shared" si="8"/>
        <v>4919.5805373048579</v>
      </c>
      <c r="J61" s="733">
        <f t="shared" si="8"/>
        <v>0</v>
      </c>
      <c r="K61" s="733">
        <f t="shared" si="8"/>
        <v>629.16564110080606</v>
      </c>
      <c r="L61" s="733">
        <f t="shared" si="8"/>
        <v>0</v>
      </c>
      <c r="M61" s="733">
        <f t="shared" ca="1" si="8"/>
        <v>0</v>
      </c>
      <c r="N61" s="733">
        <f t="shared" si="8"/>
        <v>0</v>
      </c>
      <c r="O61" s="733">
        <f t="shared" ca="1" si="8"/>
        <v>0</v>
      </c>
      <c r="P61" s="733">
        <f t="shared" si="8"/>
        <v>0</v>
      </c>
      <c r="Q61" s="733">
        <f t="shared" si="8"/>
        <v>0</v>
      </c>
      <c r="R61" s="733">
        <f ca="1">R46+R52+R56</f>
        <v>142826.7748323507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0.20337996334378769</v>
      </c>
      <c r="D63" s="776">
        <f t="shared" ca="1" si="9"/>
        <v>0.22998102466793169</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9948.1190000000006</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43.65</v>
      </c>
      <c r="C76" s="743">
        <f>'lokale energieproductie'!B8*IFERROR(SUM(D76:H76)/SUM(D76:O76),0)</f>
        <v>1309.5000000000002</v>
      </c>
      <c r="D76" s="1021">
        <f>'lokale energieproductie'!C8</f>
        <v>1540.5882352941176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51.35294117647058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311.19882352941175</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9991.7690000000002</v>
      </c>
      <c r="C78" s="748">
        <f>SUM(C72:C77)</f>
        <v>1309.5000000000002</v>
      </c>
      <c r="D78" s="749">
        <f t="shared" ref="D78:H78" si="10">SUM(D76:D77)</f>
        <v>1540.5882352941176</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6">
        <f>SUM(O76:O77)</f>
        <v>0</v>
      </c>
      <c r="P78" s="750">
        <v>0</v>
      </c>
      <c r="Q78" s="750">
        <f>SUM(Q76:Q77)</f>
        <v>311.19882352941175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62.357142857142847</v>
      </c>
      <c r="C87" s="759">
        <f>'lokale energieproductie'!B17*IFERROR(SUM(D87:H87)/SUM(D87:O87),0)</f>
        <v>1870.7142857142858</v>
      </c>
      <c r="D87" s="770">
        <f>'lokale energieproductie'!C17</f>
        <v>2200.8403361344535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73.3613445378151</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444.56974789915967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62.357142857142847</v>
      </c>
      <c r="C90" s="748">
        <f>SUM(C87:C89)</f>
        <v>1870.7142857142858</v>
      </c>
      <c r="D90" s="748">
        <f t="shared" ref="D90:H90" si="12">SUM(D87:D89)</f>
        <v>2200.8403361344535</v>
      </c>
      <c r="E90" s="748">
        <f t="shared" si="12"/>
        <v>0</v>
      </c>
      <c r="F90" s="748">
        <f t="shared" si="12"/>
        <v>0</v>
      </c>
      <c r="G90" s="748">
        <f t="shared" si="12"/>
        <v>0</v>
      </c>
      <c r="H90" s="748">
        <f t="shared" si="12"/>
        <v>0</v>
      </c>
      <c r="I90" s="748">
        <f>SUM(I87:I89)</f>
        <v>0</v>
      </c>
      <c r="J90" s="748">
        <f>SUM(J87:J89)</f>
        <v>73.3613445378151</v>
      </c>
      <c r="K90" s="748">
        <f t="shared" ref="K90:L90" si="13">SUM(K87:K89)</f>
        <v>0</v>
      </c>
      <c r="L90" s="748">
        <f t="shared" si="13"/>
        <v>0</v>
      </c>
      <c r="M90" s="748">
        <f>SUM(M87:M89)</f>
        <v>0</v>
      </c>
      <c r="N90" s="748">
        <f>SUM(N87:N89)</f>
        <v>0</v>
      </c>
      <c r="O90" s="748">
        <f>SUM(O87:O89)</f>
        <v>0</v>
      </c>
      <c r="P90" s="748">
        <v>0</v>
      </c>
      <c r="Q90" s="748">
        <f>SUM(Q87:Q89)</f>
        <v>444.56974789915967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9948.1190000000006</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1353.15</v>
      </c>
      <c r="C8" s="560">
        <f>B101</f>
        <v>1540.5882352941176</v>
      </c>
      <c r="D8" s="1028"/>
      <c r="E8" s="1028">
        <f>E101</f>
        <v>0</v>
      </c>
      <c r="F8" s="1029"/>
      <c r="G8" s="561"/>
      <c r="H8" s="1028">
        <f>I101</f>
        <v>0</v>
      </c>
      <c r="I8" s="1028">
        <f>G101+F101</f>
        <v>0</v>
      </c>
      <c r="J8" s="1028">
        <f>H101+D101+C101</f>
        <v>51.35294117647058</v>
      </c>
      <c r="K8" s="1028"/>
      <c r="L8" s="1028"/>
      <c r="M8" s="1028"/>
      <c r="N8" s="562"/>
      <c r="O8" s="563">
        <f>C8*$C$12+D8*$D$12+E8*$E$12+F8*$F$12+G8*$G$12+H8*$H$12+I8*$I$12+J8*$J$12</f>
        <v>311.19882352941175</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11301.269</v>
      </c>
      <c r="C10" s="573">
        <f t="shared" ref="C10:L10" si="0">SUM(C8:C9)</f>
        <v>1540.5882352941176</v>
      </c>
      <c r="D10" s="573">
        <f t="shared" si="0"/>
        <v>0</v>
      </c>
      <c r="E10" s="573">
        <f t="shared" si="0"/>
        <v>0</v>
      </c>
      <c r="F10" s="573">
        <f t="shared" si="0"/>
        <v>0</v>
      </c>
      <c r="G10" s="573">
        <f t="shared" si="0"/>
        <v>0</v>
      </c>
      <c r="H10" s="573">
        <f t="shared" si="0"/>
        <v>0</v>
      </c>
      <c r="I10" s="573">
        <f t="shared" si="0"/>
        <v>0</v>
      </c>
      <c r="J10" s="573">
        <f t="shared" si="0"/>
        <v>51.35294117647058</v>
      </c>
      <c r="K10" s="573">
        <f t="shared" si="0"/>
        <v>0</v>
      </c>
      <c r="L10" s="573">
        <f t="shared" si="0"/>
        <v>0</v>
      </c>
      <c r="M10" s="1031"/>
      <c r="N10" s="1031"/>
      <c r="O10" s="574">
        <f>SUM(O4:O9)</f>
        <v>311.19882352941175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1933.0714285714287</v>
      </c>
      <c r="C17" s="585">
        <f>B102</f>
        <v>2200.8403361344535</v>
      </c>
      <c r="D17" s="586"/>
      <c r="E17" s="586">
        <f>E102</f>
        <v>0</v>
      </c>
      <c r="F17" s="1034"/>
      <c r="G17" s="587"/>
      <c r="H17" s="585">
        <f>I102</f>
        <v>0</v>
      </c>
      <c r="I17" s="586">
        <f>G102+F102</f>
        <v>0</v>
      </c>
      <c r="J17" s="586">
        <f>H102+D102+C102</f>
        <v>73.3613445378151</v>
      </c>
      <c r="K17" s="586"/>
      <c r="L17" s="586"/>
      <c r="M17" s="586"/>
      <c r="N17" s="1035"/>
      <c r="O17" s="588">
        <f>C17*$C$22+E17*$E$22+H17*$H$22+I17*$I$22+J17*$J$22+D17*$D$22+F17*$F$22+G17*$G$22+K17*$K$22+L17*$L$22</f>
        <v>444.56974789915967</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1933.0714285714287</v>
      </c>
      <c r="C20" s="572">
        <f>SUM(C17:C19)</f>
        <v>2200.8403361344535</v>
      </c>
      <c r="D20" s="572">
        <f t="shared" ref="D20:L20" si="1">SUM(D17:D19)</f>
        <v>0</v>
      </c>
      <c r="E20" s="572">
        <f t="shared" si="1"/>
        <v>0</v>
      </c>
      <c r="F20" s="572">
        <f t="shared" si="1"/>
        <v>0</v>
      </c>
      <c r="G20" s="572">
        <f t="shared" si="1"/>
        <v>0</v>
      </c>
      <c r="H20" s="572">
        <f t="shared" si="1"/>
        <v>0</v>
      </c>
      <c r="I20" s="572">
        <f t="shared" si="1"/>
        <v>0</v>
      </c>
      <c r="J20" s="572">
        <f t="shared" si="1"/>
        <v>73.3613445378151</v>
      </c>
      <c r="K20" s="572">
        <f t="shared" si="1"/>
        <v>0</v>
      </c>
      <c r="L20" s="572">
        <f t="shared" si="1"/>
        <v>0</v>
      </c>
      <c r="M20" s="572"/>
      <c r="N20" s="572"/>
      <c r="O20" s="592">
        <f>SUM(O17:O19)</f>
        <v>444.56974789915967</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51">
      <c r="A28" s="596"/>
      <c r="B28" s="791">
        <v>38025</v>
      </c>
      <c r="C28" s="791">
        <v>8630</v>
      </c>
      <c r="D28" s="644" t="s">
        <v>910</v>
      </c>
      <c r="E28" s="643" t="s">
        <v>911</v>
      </c>
      <c r="F28" s="643" t="s">
        <v>912</v>
      </c>
      <c r="G28" s="643" t="s">
        <v>913</v>
      </c>
      <c r="H28" s="643" t="s">
        <v>914</v>
      </c>
      <c r="I28" s="643" t="s">
        <v>911</v>
      </c>
      <c r="J28" s="790">
        <v>40345</v>
      </c>
      <c r="K28" s="790">
        <v>40452</v>
      </c>
      <c r="L28" s="643" t="s">
        <v>915</v>
      </c>
      <c r="M28" s="643">
        <v>291</v>
      </c>
      <c r="N28" s="643">
        <v>1309.5</v>
      </c>
      <c r="O28" s="643">
        <v>1870.7142857142858</v>
      </c>
      <c r="P28" s="643">
        <v>3741.4285714285716</v>
      </c>
      <c r="Q28" s="643">
        <v>0</v>
      </c>
      <c r="R28" s="643">
        <v>0</v>
      </c>
      <c r="S28" s="643">
        <v>0</v>
      </c>
      <c r="T28" s="643">
        <v>0</v>
      </c>
      <c r="U28" s="643">
        <v>0</v>
      </c>
      <c r="V28" s="643">
        <v>0</v>
      </c>
      <c r="W28" s="643">
        <v>0</v>
      </c>
      <c r="X28" s="643">
        <v>1500</v>
      </c>
      <c r="Y28" s="643" t="s">
        <v>51</v>
      </c>
      <c r="Z28" s="645" t="s">
        <v>156</v>
      </c>
    </row>
    <row r="29" spans="1:26" s="597" customFormat="1" ht="25.5">
      <c r="A29" s="596"/>
      <c r="B29" s="791">
        <v>38025</v>
      </c>
      <c r="C29" s="791">
        <v>8630</v>
      </c>
      <c r="D29" s="644" t="s">
        <v>916</v>
      </c>
      <c r="E29" s="643" t="s">
        <v>917</v>
      </c>
      <c r="F29" s="643" t="s">
        <v>918</v>
      </c>
      <c r="G29" s="643" t="s">
        <v>913</v>
      </c>
      <c r="H29" s="643" t="s">
        <v>914</v>
      </c>
      <c r="I29" s="643" t="s">
        <v>919</v>
      </c>
      <c r="J29" s="790">
        <v>41117</v>
      </c>
      <c r="K29" s="790">
        <v>41244</v>
      </c>
      <c r="L29" s="643" t="s">
        <v>915</v>
      </c>
      <c r="M29" s="643">
        <v>9.6999999999999993</v>
      </c>
      <c r="N29" s="643">
        <v>43.649999999999991</v>
      </c>
      <c r="O29" s="643">
        <v>62.357142857142847</v>
      </c>
      <c r="P29" s="643">
        <v>0</v>
      </c>
      <c r="Q29" s="643">
        <v>124.71428571428569</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300.7</v>
      </c>
      <c r="N58" s="601">
        <f>SUM(N28:N57)</f>
        <v>1353.15</v>
      </c>
      <c r="O58" s="601">
        <f t="shared" ref="O58:W58" si="2">SUM(O28:O57)</f>
        <v>1933.0714285714287</v>
      </c>
      <c r="P58" s="601">
        <f t="shared" si="2"/>
        <v>3741.4285714285716</v>
      </c>
      <c r="Q58" s="601">
        <f t="shared" si="2"/>
        <v>124.71428571428569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291</v>
      </c>
      <c r="N60" s="601">
        <f ca="1">SUMIF($Z$28:AD57,"tertiair",N28:N57)</f>
        <v>1309.5</v>
      </c>
      <c r="O60" s="601">
        <f ca="1">SUMIF($Z$28:AE57,"tertiair",O28:O57)</f>
        <v>1870.7142857142858</v>
      </c>
      <c r="P60" s="601">
        <f ca="1">SUMIF($Z$28:AF57,"tertiair",P28:P57)</f>
        <v>3741.4285714285716</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43.649999999999991</v>
      </c>
      <c r="O61" s="606">
        <f t="shared" si="4"/>
        <v>62.357142857142847</v>
      </c>
      <c r="P61" s="606">
        <f t="shared" si="4"/>
        <v>0</v>
      </c>
      <c r="Q61" s="606">
        <f t="shared" si="4"/>
        <v>124.71428571428569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1540.5882352941176</v>
      </c>
      <c r="C101" s="635">
        <f t="shared" si="9"/>
        <v>51.35294117647058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2200.8403361344535</v>
      </c>
      <c r="C102" s="638">
        <f t="shared" si="10"/>
        <v>73.3613445378151</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19891.805526676202</v>
      </c>
      <c r="C4" s="462">
        <f>huishoudens!C8</f>
        <v>0</v>
      </c>
      <c r="D4" s="462">
        <f>huishoudens!D8</f>
        <v>51281.533518949676</v>
      </c>
      <c r="E4" s="462">
        <f>huishoudens!E8</f>
        <v>5121.8511257371356</v>
      </c>
      <c r="F4" s="462">
        <f>huishoudens!F8</f>
        <v>8208.1210247525942</v>
      </c>
      <c r="G4" s="462">
        <f>huishoudens!G8</f>
        <v>0</v>
      </c>
      <c r="H4" s="462">
        <f>huishoudens!H8</f>
        <v>0</v>
      </c>
      <c r="I4" s="462">
        <f>huishoudens!I8</f>
        <v>0</v>
      </c>
      <c r="J4" s="462">
        <f>huishoudens!J8</f>
        <v>911.30086989731603</v>
      </c>
      <c r="K4" s="462">
        <f>huishoudens!K8</f>
        <v>0</v>
      </c>
      <c r="L4" s="462">
        <f>huishoudens!L8</f>
        <v>0</v>
      </c>
      <c r="M4" s="462">
        <f>huishoudens!M8</f>
        <v>0</v>
      </c>
      <c r="N4" s="462">
        <f>huishoudens!N8</f>
        <v>11575.340924226775</v>
      </c>
      <c r="O4" s="462">
        <f>huishoudens!O8</f>
        <v>237.62666666666667</v>
      </c>
      <c r="P4" s="463">
        <f>huishoudens!P8</f>
        <v>305.06666666666666</v>
      </c>
      <c r="Q4" s="464">
        <f>SUM(B4:P4)</f>
        <v>97532.646323573019</v>
      </c>
    </row>
    <row r="5" spans="1:17">
      <c r="A5" s="461" t="s">
        <v>156</v>
      </c>
      <c r="B5" s="462">
        <f ca="1">tertiair!B16</f>
        <v>27088.132498345356</v>
      </c>
      <c r="C5" s="462">
        <f ca="1">tertiair!C16</f>
        <v>1870.7142857142858</v>
      </c>
      <c r="D5" s="462">
        <f ca="1">tertiair!D16</f>
        <v>31600.875267766583</v>
      </c>
      <c r="E5" s="462">
        <f>tertiair!E16</f>
        <v>368.81707411023865</v>
      </c>
      <c r="F5" s="462">
        <f ca="1">tertiair!F16</f>
        <v>5052.2843885875445</v>
      </c>
      <c r="G5" s="462">
        <f>tertiair!G16</f>
        <v>0</v>
      </c>
      <c r="H5" s="462">
        <f>tertiair!H16</f>
        <v>0</v>
      </c>
      <c r="I5" s="462">
        <f>tertiair!I16</f>
        <v>0</v>
      </c>
      <c r="J5" s="462">
        <f>tertiair!J16</f>
        <v>0</v>
      </c>
      <c r="K5" s="462">
        <f>tertiair!K16</f>
        <v>0</v>
      </c>
      <c r="L5" s="462">
        <f ca="1">tertiair!L16</f>
        <v>0</v>
      </c>
      <c r="M5" s="462">
        <f>tertiair!M16</f>
        <v>0</v>
      </c>
      <c r="N5" s="462">
        <f ca="1">tertiair!N16</f>
        <v>1345.2229834576192</v>
      </c>
      <c r="O5" s="462">
        <f>tertiair!O16</f>
        <v>7.8166666666666664</v>
      </c>
      <c r="P5" s="463">
        <f>tertiair!P16</f>
        <v>19.066666666666666</v>
      </c>
      <c r="Q5" s="461">
        <f t="shared" ref="Q5:Q14" ca="1" si="0">SUM(B5:P5)</f>
        <v>67352.929831314948</v>
      </c>
    </row>
    <row r="6" spans="1:17">
      <c r="A6" s="461" t="s">
        <v>194</v>
      </c>
      <c r="B6" s="462">
        <f>'openbare verlichting'!B8</f>
        <v>936.04600000000005</v>
      </c>
      <c r="C6" s="462"/>
      <c r="D6" s="462"/>
      <c r="E6" s="462"/>
      <c r="F6" s="462"/>
      <c r="G6" s="462"/>
      <c r="H6" s="462"/>
      <c r="I6" s="462"/>
      <c r="J6" s="462"/>
      <c r="K6" s="462"/>
      <c r="L6" s="462"/>
      <c r="M6" s="462"/>
      <c r="N6" s="462"/>
      <c r="O6" s="462"/>
      <c r="P6" s="463"/>
      <c r="Q6" s="461">
        <f t="shared" si="0"/>
        <v>936.04600000000005</v>
      </c>
    </row>
    <row r="7" spans="1:17">
      <c r="A7" s="461" t="s">
        <v>112</v>
      </c>
      <c r="B7" s="462">
        <f>landbouw!B8</f>
        <v>5345.492663298247</v>
      </c>
      <c r="C7" s="462">
        <f>landbouw!C8</f>
        <v>62.357142857142847</v>
      </c>
      <c r="D7" s="462">
        <f>landbouw!D8</f>
        <v>259.53875298498883</v>
      </c>
      <c r="E7" s="462">
        <f>landbouw!E8</f>
        <v>67.360093952253976</v>
      </c>
      <c r="F7" s="462">
        <f>landbouw!F8</f>
        <v>18443.288814307165</v>
      </c>
      <c r="G7" s="462">
        <f>landbouw!G8</f>
        <v>0</v>
      </c>
      <c r="H7" s="462">
        <f>landbouw!H8</f>
        <v>0</v>
      </c>
      <c r="I7" s="462">
        <f>landbouw!I8</f>
        <v>0</v>
      </c>
      <c r="J7" s="462">
        <f>landbouw!J8</f>
        <v>803.90133114407115</v>
      </c>
      <c r="K7" s="462">
        <f>landbouw!K8</f>
        <v>0</v>
      </c>
      <c r="L7" s="462">
        <f>landbouw!L8</f>
        <v>0</v>
      </c>
      <c r="M7" s="462">
        <f>landbouw!M8</f>
        <v>0</v>
      </c>
      <c r="N7" s="462">
        <f>landbouw!N8</f>
        <v>0</v>
      </c>
      <c r="O7" s="462">
        <f>landbouw!O8</f>
        <v>0</v>
      </c>
      <c r="P7" s="463">
        <f>landbouw!P8</f>
        <v>0</v>
      </c>
      <c r="Q7" s="461">
        <f t="shared" si="0"/>
        <v>24981.93879854387</v>
      </c>
    </row>
    <row r="8" spans="1:17">
      <c r="A8" s="461" t="s">
        <v>657</v>
      </c>
      <c r="B8" s="462">
        <f>industrie!B18</f>
        <v>53494.229241792527</v>
      </c>
      <c r="C8" s="462">
        <f>industrie!C18</f>
        <v>0</v>
      </c>
      <c r="D8" s="462">
        <f>industrie!D18</f>
        <v>160843.67128031419</v>
      </c>
      <c r="E8" s="462">
        <f>industrie!E18</f>
        <v>5004.7590691439018</v>
      </c>
      <c r="F8" s="462">
        <f>industrie!F18</f>
        <v>42617.347773504858</v>
      </c>
      <c r="G8" s="462">
        <f>industrie!G18</f>
        <v>0</v>
      </c>
      <c r="H8" s="462">
        <f>industrie!H18</f>
        <v>0</v>
      </c>
      <c r="I8" s="462">
        <f>industrie!I18</f>
        <v>0</v>
      </c>
      <c r="J8" s="462">
        <f>industrie!J18</f>
        <v>62.10186986484478</v>
      </c>
      <c r="K8" s="462">
        <f>industrie!K18</f>
        <v>0</v>
      </c>
      <c r="L8" s="462">
        <f>industrie!L18</f>
        <v>0</v>
      </c>
      <c r="M8" s="462">
        <f>industrie!M18</f>
        <v>0</v>
      </c>
      <c r="N8" s="462">
        <f>industrie!N18</f>
        <v>13322.684518648013</v>
      </c>
      <c r="O8" s="462">
        <f>industrie!O18</f>
        <v>0</v>
      </c>
      <c r="P8" s="463">
        <f>industrie!P18</f>
        <v>0</v>
      </c>
      <c r="Q8" s="461">
        <f t="shared" si="0"/>
        <v>275344.79375326831</v>
      </c>
    </row>
    <row r="9" spans="1:17" s="467" customFormat="1">
      <c r="A9" s="465" t="s">
        <v>574</v>
      </c>
      <c r="B9" s="466">
        <f>transport!B14</f>
        <v>8.2272573566911973</v>
      </c>
      <c r="C9" s="466">
        <f>transport!C14</f>
        <v>0</v>
      </c>
      <c r="D9" s="466">
        <f>transport!D14</f>
        <v>12.917779281532072</v>
      </c>
      <c r="E9" s="466">
        <f>transport!E14</f>
        <v>438.25547507789167</v>
      </c>
      <c r="F9" s="466">
        <f>transport!F14</f>
        <v>0</v>
      </c>
      <c r="G9" s="466">
        <f>transport!G14</f>
        <v>158773.65222187151</v>
      </c>
      <c r="H9" s="466">
        <f>transport!H14</f>
        <v>19757.351555441197</v>
      </c>
      <c r="I9" s="466">
        <f>transport!I14</f>
        <v>0</v>
      </c>
      <c r="J9" s="466">
        <f>transport!J14</f>
        <v>0</v>
      </c>
      <c r="K9" s="466">
        <f>transport!K14</f>
        <v>0</v>
      </c>
      <c r="L9" s="466">
        <f>transport!L14</f>
        <v>0</v>
      </c>
      <c r="M9" s="466">
        <f>transport!M14</f>
        <v>8066.0357984238135</v>
      </c>
      <c r="N9" s="466">
        <f>transport!N14</f>
        <v>0</v>
      </c>
      <c r="O9" s="466">
        <f>transport!O14</f>
        <v>0</v>
      </c>
      <c r="P9" s="466">
        <f>transport!P14</f>
        <v>0</v>
      </c>
      <c r="Q9" s="465">
        <f>SUM(B9:P9)</f>
        <v>187056.44008745262</v>
      </c>
    </row>
    <row r="10" spans="1:17">
      <c r="A10" s="461" t="s">
        <v>564</v>
      </c>
      <c r="B10" s="462">
        <f>transport!B54</f>
        <v>0</v>
      </c>
      <c r="C10" s="462">
        <f>transport!C54</f>
        <v>0</v>
      </c>
      <c r="D10" s="462">
        <f>transport!D54</f>
        <v>0</v>
      </c>
      <c r="E10" s="462">
        <f>transport!E54</f>
        <v>0</v>
      </c>
      <c r="F10" s="462">
        <f>transport!F54</f>
        <v>0</v>
      </c>
      <c r="G10" s="462">
        <f>transport!G54</f>
        <v>1152.1194016553395</v>
      </c>
      <c r="H10" s="462">
        <f>transport!H54</f>
        <v>0</v>
      </c>
      <c r="I10" s="462">
        <f>transport!I54</f>
        <v>0</v>
      </c>
      <c r="J10" s="462">
        <f>transport!J54</f>
        <v>0</v>
      </c>
      <c r="K10" s="462">
        <f>transport!K54</f>
        <v>0</v>
      </c>
      <c r="L10" s="462">
        <f>transport!L54</f>
        <v>0</v>
      </c>
      <c r="M10" s="462">
        <f>transport!M54</f>
        <v>51.237567779327314</v>
      </c>
      <c r="N10" s="462">
        <f>transport!N54</f>
        <v>0</v>
      </c>
      <c r="O10" s="462">
        <f>transport!O54</f>
        <v>0</v>
      </c>
      <c r="P10" s="463">
        <f>transport!P54</f>
        <v>0</v>
      </c>
      <c r="Q10" s="461">
        <f t="shared" si="0"/>
        <v>1203.3569694346668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896.57640640646605</v>
      </c>
      <c r="C14" s="469"/>
      <c r="D14" s="469">
        <f>'SEAP template'!E25</f>
        <v>3013.0101791675197</v>
      </c>
      <c r="E14" s="469"/>
      <c r="F14" s="469"/>
      <c r="G14" s="469"/>
      <c r="H14" s="469"/>
      <c r="I14" s="469"/>
      <c r="J14" s="469"/>
      <c r="K14" s="469"/>
      <c r="L14" s="469"/>
      <c r="M14" s="469"/>
      <c r="N14" s="469"/>
      <c r="O14" s="469"/>
      <c r="P14" s="470"/>
      <c r="Q14" s="461">
        <f t="shared" si="0"/>
        <v>3909.5865855739858</v>
      </c>
    </row>
    <row r="15" spans="1:17" s="474" customFormat="1">
      <c r="A15" s="471" t="s">
        <v>568</v>
      </c>
      <c r="B15" s="472">
        <f ca="1">SUM(B4:B14)</f>
        <v>107660.5095938755</v>
      </c>
      <c r="C15" s="472">
        <f t="shared" ref="C15:Q15" ca="1" si="1">SUM(C4:C14)</f>
        <v>1933.0714285714287</v>
      </c>
      <c r="D15" s="472">
        <f t="shared" ca="1" si="1"/>
        <v>247011.54677846449</v>
      </c>
      <c r="E15" s="472">
        <f t="shared" si="1"/>
        <v>11001.042838021422</v>
      </c>
      <c r="F15" s="472">
        <f t="shared" ca="1" si="1"/>
        <v>74321.042001152164</v>
      </c>
      <c r="G15" s="472">
        <f t="shared" si="1"/>
        <v>159925.77162352685</v>
      </c>
      <c r="H15" s="472">
        <f t="shared" si="1"/>
        <v>19757.351555441197</v>
      </c>
      <c r="I15" s="472">
        <f t="shared" si="1"/>
        <v>0</v>
      </c>
      <c r="J15" s="472">
        <f t="shared" si="1"/>
        <v>1777.3040709062318</v>
      </c>
      <c r="K15" s="472">
        <f t="shared" si="1"/>
        <v>0</v>
      </c>
      <c r="L15" s="472">
        <f t="shared" ca="1" si="1"/>
        <v>0</v>
      </c>
      <c r="M15" s="472">
        <f t="shared" si="1"/>
        <v>8117.2733662031405</v>
      </c>
      <c r="N15" s="472">
        <f t="shared" ca="1" si="1"/>
        <v>26243.248426332408</v>
      </c>
      <c r="O15" s="472">
        <f t="shared" si="1"/>
        <v>245.44333333333333</v>
      </c>
      <c r="P15" s="472">
        <f t="shared" si="1"/>
        <v>324.13333333333333</v>
      </c>
      <c r="Q15" s="472">
        <f t="shared" ca="1" si="1"/>
        <v>658317.73834916146</v>
      </c>
    </row>
    <row r="17" spans="1:17">
      <c r="A17" s="475" t="s">
        <v>569</v>
      </c>
      <c r="B17" s="781">
        <f ca="1">huishoudens!B10</f>
        <v>0.20337996334378766</v>
      </c>
      <c r="C17" s="781">
        <f ca="1">huishoudens!C10</f>
        <v>0.22998102466793169</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4045.5946788571587</v>
      </c>
      <c r="C22" s="462">
        <f t="shared" ref="C22:C32" ca="1" si="3">C4*$C$17</f>
        <v>0</v>
      </c>
      <c r="D22" s="462">
        <f t="shared" ref="D22:D32" si="4">D4*$D$17</f>
        <v>10358.869770827836</v>
      </c>
      <c r="E22" s="462">
        <f t="shared" ref="E22:E32" si="5">E4*$E$17</f>
        <v>1162.6602055423298</v>
      </c>
      <c r="F22" s="462">
        <f t="shared" ref="F22:F32" si="6">F4*$F$17</f>
        <v>2191.5683136089428</v>
      </c>
      <c r="G22" s="462">
        <f t="shared" ref="G22:G32" si="7">G4*$G$17</f>
        <v>0</v>
      </c>
      <c r="H22" s="462">
        <f t="shared" ref="H22:H32" si="8">H4*$H$17</f>
        <v>0</v>
      </c>
      <c r="I22" s="462">
        <f t="shared" ref="I22:I32" si="9">I4*$I$17</f>
        <v>0</v>
      </c>
      <c r="J22" s="462">
        <f t="shared" ref="J22:J32" si="10">J4*$J$17</f>
        <v>322.60050794364986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18081.293476779916</v>
      </c>
    </row>
    <row r="23" spans="1:17">
      <c r="A23" s="461" t="s">
        <v>156</v>
      </c>
      <c r="B23" s="462">
        <f t="shared" ca="1" si="2"/>
        <v>5509.1833945651415</v>
      </c>
      <c r="C23" s="462">
        <f t="shared" ca="1" si="3"/>
        <v>430.22878828950934</v>
      </c>
      <c r="D23" s="462">
        <f t="shared" ca="1" si="4"/>
        <v>6383.3768040888499</v>
      </c>
      <c r="E23" s="462">
        <f t="shared" si="5"/>
        <v>83.721475823024178</v>
      </c>
      <c r="F23" s="462">
        <f t="shared" ca="1" si="6"/>
        <v>1348.9599317528744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13755.470394519398</v>
      </c>
    </row>
    <row r="24" spans="1:17">
      <c r="A24" s="461" t="s">
        <v>194</v>
      </c>
      <c r="B24" s="462">
        <f t="shared" ca="1" si="2"/>
        <v>190.37300116809908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190.37300116809908</v>
      </c>
    </row>
    <row r="25" spans="1:17">
      <c r="A25" s="461" t="s">
        <v>112</v>
      </c>
      <c r="B25" s="462">
        <f t="shared" ca="1" si="2"/>
        <v>1087.1661019160833</v>
      </c>
      <c r="C25" s="462">
        <f t="shared" ca="1" si="3"/>
        <v>14.340959609650309</v>
      </c>
      <c r="D25" s="462">
        <f t="shared" si="4"/>
        <v>52.426828102967747</v>
      </c>
      <c r="E25" s="462">
        <f t="shared" si="5"/>
        <v>15.290741327161653</v>
      </c>
      <c r="F25" s="462">
        <f t="shared" si="6"/>
        <v>4924.3581134200131</v>
      </c>
      <c r="G25" s="462">
        <f t="shared" si="7"/>
        <v>0</v>
      </c>
      <c r="H25" s="462">
        <f t="shared" si="8"/>
        <v>0</v>
      </c>
      <c r="I25" s="462">
        <f t="shared" si="9"/>
        <v>0</v>
      </c>
      <c r="J25" s="462">
        <f t="shared" si="10"/>
        <v>284.58107122500115</v>
      </c>
      <c r="K25" s="462">
        <f t="shared" si="11"/>
        <v>0</v>
      </c>
      <c r="L25" s="462">
        <f t="shared" si="12"/>
        <v>0</v>
      </c>
      <c r="M25" s="462">
        <f t="shared" si="13"/>
        <v>0</v>
      </c>
      <c r="N25" s="462">
        <f t="shared" si="14"/>
        <v>0</v>
      </c>
      <c r="O25" s="462">
        <f t="shared" si="15"/>
        <v>0</v>
      </c>
      <c r="P25" s="463">
        <f t="shared" si="16"/>
        <v>0</v>
      </c>
      <c r="Q25" s="461">
        <f t="shared" ca="1" si="17"/>
        <v>6378.1638156008776</v>
      </c>
    </row>
    <row r="26" spans="1:17">
      <c r="A26" s="461" t="s">
        <v>657</v>
      </c>
      <c r="B26" s="462">
        <f t="shared" ca="1" si="2"/>
        <v>10879.654382299937</v>
      </c>
      <c r="C26" s="462">
        <f t="shared" ca="1" si="3"/>
        <v>0</v>
      </c>
      <c r="D26" s="462">
        <f t="shared" si="4"/>
        <v>32490.421598623467</v>
      </c>
      <c r="E26" s="462">
        <f t="shared" si="5"/>
        <v>1136.0803086956657</v>
      </c>
      <c r="F26" s="462">
        <f t="shared" si="6"/>
        <v>11378.831855525797</v>
      </c>
      <c r="G26" s="462">
        <f t="shared" si="7"/>
        <v>0</v>
      </c>
      <c r="H26" s="462">
        <f t="shared" si="8"/>
        <v>0</v>
      </c>
      <c r="I26" s="462">
        <f t="shared" si="9"/>
        <v>0</v>
      </c>
      <c r="J26" s="462">
        <f t="shared" si="10"/>
        <v>21.984061932155051</v>
      </c>
      <c r="K26" s="462">
        <f t="shared" si="11"/>
        <v>0</v>
      </c>
      <c r="L26" s="462">
        <f t="shared" si="12"/>
        <v>0</v>
      </c>
      <c r="M26" s="462">
        <f t="shared" si="13"/>
        <v>0</v>
      </c>
      <c r="N26" s="462">
        <f t="shared" si="14"/>
        <v>0</v>
      </c>
      <c r="O26" s="462">
        <f t="shared" si="15"/>
        <v>0</v>
      </c>
      <c r="P26" s="463">
        <f t="shared" si="16"/>
        <v>0</v>
      </c>
      <c r="Q26" s="461">
        <f t="shared" ca="1" si="17"/>
        <v>55906.972207077015</v>
      </c>
    </row>
    <row r="27" spans="1:17" s="467" customFormat="1">
      <c r="A27" s="465" t="s">
        <v>574</v>
      </c>
      <c r="B27" s="775">
        <f t="shared" ca="1" si="2"/>
        <v>1.6732592996237632</v>
      </c>
      <c r="C27" s="466">
        <f t="shared" ca="1" si="3"/>
        <v>0</v>
      </c>
      <c r="D27" s="466">
        <f t="shared" si="4"/>
        <v>2.6093914148694788</v>
      </c>
      <c r="E27" s="466">
        <f t="shared" si="5"/>
        <v>99.483992842681417</v>
      </c>
      <c r="F27" s="466">
        <f t="shared" si="6"/>
        <v>0</v>
      </c>
      <c r="G27" s="466">
        <f t="shared" si="7"/>
        <v>42392.565143239699</v>
      </c>
      <c r="H27" s="466">
        <f t="shared" si="8"/>
        <v>4919.5805373048579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47415.91232410173</v>
      </c>
    </row>
    <row r="28" spans="1:17">
      <c r="A28" s="461" t="s">
        <v>564</v>
      </c>
      <c r="B28" s="462">
        <f t="shared" ca="1" si="2"/>
        <v>0</v>
      </c>
      <c r="C28" s="462">
        <f t="shared" ca="1" si="3"/>
        <v>0</v>
      </c>
      <c r="D28" s="462">
        <f t="shared" si="4"/>
        <v>0</v>
      </c>
      <c r="E28" s="462">
        <f t="shared" si="5"/>
        <v>0</v>
      </c>
      <c r="F28" s="462">
        <f t="shared" si="6"/>
        <v>0</v>
      </c>
      <c r="G28" s="462">
        <f t="shared" si="7"/>
        <v>307.61588024197567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307.61588024197567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182.34567666985194</v>
      </c>
      <c r="C32" s="462">
        <f t="shared" ca="1" si="3"/>
        <v>0</v>
      </c>
      <c r="D32" s="462">
        <f t="shared" si="4"/>
        <v>608.62805619183905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790.97373286169102</v>
      </c>
    </row>
    <row r="33" spans="1:17" s="474" customFormat="1">
      <c r="A33" s="471" t="s">
        <v>568</v>
      </c>
      <c r="B33" s="472">
        <f ca="1">SUM(B22:B32)</f>
        <v>21895.990494775895</v>
      </c>
      <c r="C33" s="472">
        <f t="shared" ref="C33:Q33" ca="1" si="18">SUM(C22:C32)</f>
        <v>444.56974789915967</v>
      </c>
      <c r="D33" s="472">
        <f t="shared" ca="1" si="18"/>
        <v>49896.332449249829</v>
      </c>
      <c r="E33" s="472">
        <f t="shared" si="18"/>
        <v>2497.2367242308624</v>
      </c>
      <c r="F33" s="472">
        <f t="shared" ca="1" si="18"/>
        <v>19843.718214307628</v>
      </c>
      <c r="G33" s="472">
        <f t="shared" si="18"/>
        <v>42700.181023481673</v>
      </c>
      <c r="H33" s="472">
        <f t="shared" si="18"/>
        <v>4919.5805373048579</v>
      </c>
      <c r="I33" s="472">
        <f t="shared" si="18"/>
        <v>0</v>
      </c>
      <c r="J33" s="472">
        <f t="shared" si="18"/>
        <v>629.16564110080617</v>
      </c>
      <c r="K33" s="472">
        <f t="shared" si="18"/>
        <v>0</v>
      </c>
      <c r="L33" s="472">
        <f t="shared" ca="1" si="18"/>
        <v>0</v>
      </c>
      <c r="M33" s="472">
        <f t="shared" si="18"/>
        <v>0</v>
      </c>
      <c r="N33" s="472">
        <f t="shared" ca="1" si="18"/>
        <v>0</v>
      </c>
      <c r="O33" s="472">
        <f t="shared" si="18"/>
        <v>0</v>
      </c>
      <c r="P33" s="472">
        <f t="shared" si="18"/>
        <v>0</v>
      </c>
      <c r="Q33" s="472">
        <f t="shared" ca="1" si="18"/>
        <v>142826.7748323507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9948.1190000000006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43.65</v>
      </c>
      <c r="C8" s="1047">
        <f>'SEAP template'!C76</f>
        <v>1309.5000000000002</v>
      </c>
      <c r="D8" s="1047">
        <f>'SEAP template'!D76</f>
        <v>1540.5882352941176</v>
      </c>
      <c r="E8" s="1047">
        <f>'SEAP template'!E76</f>
        <v>0</v>
      </c>
      <c r="F8" s="1047">
        <f>'SEAP template'!F76</f>
        <v>0</v>
      </c>
      <c r="G8" s="1047">
        <f>'SEAP template'!G76</f>
        <v>0</v>
      </c>
      <c r="H8" s="1047">
        <f>'SEAP template'!H76</f>
        <v>0</v>
      </c>
      <c r="I8" s="1047">
        <f>'SEAP template'!I76</f>
        <v>0</v>
      </c>
      <c r="J8" s="1047">
        <f>'SEAP template'!J76</f>
        <v>51.35294117647058</v>
      </c>
      <c r="K8" s="1047">
        <f>'SEAP template'!K76</f>
        <v>0</v>
      </c>
      <c r="L8" s="1047">
        <f>'SEAP template'!L76</f>
        <v>0</v>
      </c>
      <c r="M8" s="1047">
        <f>'SEAP template'!M76</f>
        <v>0</v>
      </c>
      <c r="N8" s="1047">
        <f>'SEAP template'!N76</f>
        <v>0</v>
      </c>
      <c r="O8" s="1047">
        <f>'SEAP template'!O76</f>
        <v>0</v>
      </c>
      <c r="P8" s="1048">
        <f>'SEAP template'!Q76</f>
        <v>311.19882352941175</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9991.7690000000002</v>
      </c>
      <c r="C10" s="1051">
        <f>SUM(C4:C9)</f>
        <v>1309.5000000000002</v>
      </c>
      <c r="D10" s="1051">
        <f t="shared" ref="D10:H10" si="0">SUM(D8:D9)</f>
        <v>1540.5882352941176</v>
      </c>
      <c r="E10" s="1051">
        <f t="shared" si="0"/>
        <v>0</v>
      </c>
      <c r="F10" s="1051">
        <f t="shared" si="0"/>
        <v>0</v>
      </c>
      <c r="G10" s="1051">
        <f t="shared" si="0"/>
        <v>0</v>
      </c>
      <c r="H10" s="1051">
        <f t="shared" si="0"/>
        <v>0</v>
      </c>
      <c r="I10" s="1051">
        <f>SUM(I8:I9)</f>
        <v>0</v>
      </c>
      <c r="J10" s="1051">
        <f>SUM(J8:J9)</f>
        <v>51.35294117647058</v>
      </c>
      <c r="K10" s="1051">
        <f t="shared" ref="K10:L10" si="1">SUM(K8:K9)</f>
        <v>0</v>
      </c>
      <c r="L10" s="1051">
        <f t="shared" si="1"/>
        <v>0</v>
      </c>
      <c r="M10" s="1051">
        <f>SUM(M8:M9)</f>
        <v>0</v>
      </c>
      <c r="N10" s="1051">
        <f>SUM(N8:N9)</f>
        <v>0</v>
      </c>
      <c r="O10" s="1051">
        <f>SUM(O8:O9)</f>
        <v>0</v>
      </c>
      <c r="P10" s="1051">
        <f>SUM(P8:P9)</f>
        <v>311.19882352941175</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0.20337996334378766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62.357142857142847</v>
      </c>
      <c r="C17" s="1053">
        <f>'SEAP template'!C87</f>
        <v>1870.7142857142858</v>
      </c>
      <c r="D17" s="1048">
        <f>'SEAP template'!D87</f>
        <v>2200.8403361344535</v>
      </c>
      <c r="E17" s="1048">
        <f>'SEAP template'!E87</f>
        <v>0</v>
      </c>
      <c r="F17" s="1048">
        <f>'SEAP template'!F87</f>
        <v>0</v>
      </c>
      <c r="G17" s="1048">
        <f>'SEAP template'!G87</f>
        <v>0</v>
      </c>
      <c r="H17" s="1048">
        <f>'SEAP template'!H87</f>
        <v>0</v>
      </c>
      <c r="I17" s="1048">
        <f>'SEAP template'!I87</f>
        <v>0</v>
      </c>
      <c r="J17" s="1048">
        <f>'SEAP template'!J87</f>
        <v>73.3613445378151</v>
      </c>
      <c r="K17" s="1048">
        <f>'SEAP template'!K87</f>
        <v>0</v>
      </c>
      <c r="L17" s="1048">
        <f>'SEAP template'!L87</f>
        <v>0</v>
      </c>
      <c r="M17" s="1048">
        <f>'SEAP template'!M87</f>
        <v>0</v>
      </c>
      <c r="N17" s="1048">
        <f>'SEAP template'!N87</f>
        <v>0</v>
      </c>
      <c r="O17" s="1048">
        <f>'SEAP template'!O87</f>
        <v>0</v>
      </c>
      <c r="P17" s="1048">
        <f>'SEAP template'!Q87</f>
        <v>444.56974789915967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62.357142857142847</v>
      </c>
      <c r="C20" s="1051">
        <f>SUM(C17:C19)</f>
        <v>1870.7142857142858</v>
      </c>
      <c r="D20" s="1051">
        <f t="shared" ref="D20:H20" si="2">SUM(D17:D19)</f>
        <v>2200.8403361344535</v>
      </c>
      <c r="E20" s="1051">
        <f t="shared" si="2"/>
        <v>0</v>
      </c>
      <c r="F20" s="1051">
        <f t="shared" si="2"/>
        <v>0</v>
      </c>
      <c r="G20" s="1051">
        <f t="shared" si="2"/>
        <v>0</v>
      </c>
      <c r="H20" s="1051">
        <f t="shared" si="2"/>
        <v>0</v>
      </c>
      <c r="I20" s="1051">
        <f>SUM(I17:I19)</f>
        <v>0</v>
      </c>
      <c r="J20" s="1051">
        <f>SUM(J17:J19)</f>
        <v>73.3613445378151</v>
      </c>
      <c r="K20" s="1051">
        <f t="shared" ref="K20:L20" si="3">SUM(K17:K19)</f>
        <v>0</v>
      </c>
      <c r="L20" s="1051">
        <f t="shared" si="3"/>
        <v>0</v>
      </c>
      <c r="M20" s="1051">
        <f>SUM(M17:M19)</f>
        <v>0</v>
      </c>
      <c r="N20" s="1051">
        <f>SUM(N17:N19)</f>
        <v>0</v>
      </c>
      <c r="O20" s="1051">
        <f>SUM(O17:O19)</f>
        <v>0</v>
      </c>
      <c r="P20" s="1051">
        <f>SUM(P17:P19)</f>
        <v>444.56974789915967</v>
      </c>
    </row>
    <row r="22" spans="1:16">
      <c r="A22" s="475" t="s">
        <v>896</v>
      </c>
      <c r="B22" s="781" t="s">
        <v>890</v>
      </c>
      <c r="C22" s="781">
        <f ca="1">'EF ele_warmte'!B22</f>
        <v>0.22998102466793169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0.20337996334378766</v>
      </c>
      <c r="C17" s="512">
        <f ca="1">'EF ele_warmte'!B22</f>
        <v>0.22998102466793169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2019-07-04T14:27:05Z</dcterms:modified>
</cp:coreProperties>
</file>