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L20" s="1"/>
  <c r="K18"/>
  <c r="J18"/>
  <c r="I18"/>
  <c r="O18" s="1"/>
  <c r="H18"/>
  <c r="G18"/>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K20"/>
  <c r="D20"/>
  <c r="B17"/>
  <c r="G12"/>
  <c r="F12"/>
  <c r="E12"/>
  <c r="D12"/>
  <c r="C12"/>
  <c r="G10"/>
  <c r="F10"/>
  <c r="B8"/>
  <c r="B6"/>
  <c r="B5"/>
  <c r="B4"/>
  <c r="B10" s="1"/>
  <c r="I102" l="1"/>
  <c r="H17" s="1"/>
  <c r="H20" s="1"/>
  <c r="C102"/>
  <c r="B102"/>
  <c r="C17" s="1"/>
  <c r="F102"/>
  <c r="G102"/>
  <c r="I101"/>
  <c r="H8" s="1"/>
  <c r="H10" s="1"/>
  <c r="H101"/>
  <c r="B101"/>
  <c r="C8" s="1"/>
  <c r="C101"/>
  <c r="G101"/>
  <c r="I8" s="1"/>
  <c r="I10" s="1"/>
  <c r="D101"/>
  <c r="F101"/>
  <c r="O9"/>
  <c r="B20"/>
  <c r="O19"/>
  <c r="C20"/>
  <c r="C10"/>
  <c r="D102"/>
  <c r="H102"/>
  <c r="E101"/>
  <c r="E8" s="1"/>
  <c r="E10" s="1"/>
  <c r="E102"/>
  <c r="E17" s="1"/>
  <c r="E20" s="1"/>
  <c r="N6" i="17"/>
  <c r="I17" i="18" l="1"/>
  <c r="I20" s="1"/>
  <c r="J8"/>
  <c r="J1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2" i="14"/>
  <c r="K20" i="59"/>
  <c r="L20"/>
  <c r="N10"/>
  <c r="P32" i="48"/>
  <c r="L10" i="59"/>
  <c r="E10"/>
  <c r="K78" i="14"/>
  <c r="K8" i="59"/>
  <c r="K10" s="1"/>
  <c r="E90" i="14"/>
  <c r="E18" i="59"/>
  <c r="E20" s="1"/>
  <c r="D14" i="48"/>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F90" i="14" l="1"/>
  <c r="F17" i="59"/>
  <c r="F20" s="1"/>
  <c r="F78" i="14"/>
  <c r="F8" i="59"/>
  <c r="F10" s="1"/>
  <c r="M90" i="14"/>
  <c r="M17" i="59"/>
  <c r="M20" s="1"/>
  <c r="M78" i="14"/>
  <c r="M8" i="59"/>
  <c r="M10" s="1"/>
  <c r="I78" i="14"/>
  <c r="J76"/>
  <c r="J87"/>
  <c r="Q87"/>
  <c r="D90"/>
  <c r="Q76"/>
  <c r="D78"/>
  <c r="I90"/>
  <c r="J78" l="1"/>
  <c r="J8" i="59"/>
  <c r="J10" s="1"/>
  <c r="J90" i="14"/>
  <c r="J17" i="59"/>
  <c r="J20" s="1"/>
  <c r="Q90" i="14"/>
  <c r="B17" i="6" s="1"/>
  <c r="P17" i="59"/>
  <c r="P20" s="1"/>
  <c r="Q78" i="14"/>
  <c r="B9" i="6" s="1"/>
  <c r="P8" i="59"/>
  <c r="P10" s="1"/>
  <c r="B87" i="14"/>
  <c r="C76"/>
  <c r="B76"/>
  <c r="C87"/>
  <c r="B90" l="1"/>
  <c r="B17" i="59"/>
  <c r="B20" s="1"/>
  <c r="C78" i="14"/>
  <c r="C8" i="59"/>
  <c r="C10" s="1"/>
  <c r="B78" i="14"/>
  <c r="B4" i="6" s="1"/>
  <c r="B8" i="59"/>
  <c r="B10" s="1"/>
  <c r="C90" i="14"/>
  <c r="C17" i="59"/>
  <c r="C2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32" i="48" l="1"/>
  <c r="K28"/>
  <c r="K26"/>
  <c r="K31"/>
  <c r="K30"/>
  <c r="K29"/>
  <c r="K25"/>
  <c r="K24"/>
  <c r="K27"/>
  <c r="K22"/>
  <c r="C24" i="14"/>
  <c r="C26" s="1"/>
  <c r="B7" i="48"/>
  <c r="E32"/>
  <c r="E31"/>
  <c r="E28"/>
  <c r="E30"/>
  <c r="E24"/>
  <c r="E29"/>
  <c r="D29"/>
  <c r="D30"/>
  <c r="D24"/>
  <c r="D28"/>
  <c r="D31"/>
  <c r="D32"/>
  <c r="J29"/>
  <c r="J32"/>
  <c r="J27"/>
  <c r="J30"/>
  <c r="J28"/>
  <c r="J31"/>
  <c r="J24"/>
  <c r="O4"/>
  <c r="P11" i="14"/>
  <c r="I22" i="48"/>
  <c r="I31"/>
  <c r="I26"/>
  <c r="I32"/>
  <c r="I25"/>
  <c r="I27"/>
  <c r="I24"/>
  <c r="I28"/>
  <c r="I29"/>
  <c r="I30"/>
  <c r="M32"/>
  <c r="M26"/>
  <c r="M29"/>
  <c r="M25"/>
  <c r="M24"/>
  <c r="M22"/>
  <c r="M30"/>
  <c r="M23"/>
  <c r="L27"/>
  <c r="L32"/>
  <c r="L29"/>
  <c r="L24"/>
  <c r="L28"/>
  <c r="L22"/>
  <c r="L30"/>
  <c r="L31"/>
  <c r="P4"/>
  <c r="Q11" i="14"/>
  <c r="H29" i="48"/>
  <c r="H26"/>
  <c r="H32"/>
  <c r="H25"/>
  <c r="H28"/>
  <c r="H24"/>
  <c r="H22"/>
  <c r="H30"/>
  <c r="H23"/>
  <c r="D11" i="14"/>
  <c r="C4" i="48"/>
  <c r="G32"/>
  <c r="G26"/>
  <c r="G30"/>
  <c r="G29"/>
  <c r="G25"/>
  <c r="G24"/>
  <c r="G22"/>
  <c r="G23"/>
  <c r="K5"/>
  <c r="L10" i="14"/>
  <c r="L16" s="1"/>
  <c r="L27" s="1"/>
  <c r="P5" i="48"/>
  <c r="P23" s="1"/>
  <c r="Q10" i="14"/>
  <c r="E11"/>
  <c r="D4" i="48"/>
  <c r="D22" s="1"/>
  <c r="C11" i="14"/>
  <c r="B4" i="48"/>
  <c r="F32"/>
  <c r="F27"/>
  <c r="F30"/>
  <c r="F28"/>
  <c r="F31"/>
  <c r="F24"/>
  <c r="F29"/>
  <c r="N27"/>
  <c r="N32"/>
  <c r="N31"/>
  <c r="N29"/>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R18" s="1"/>
  <c r="G13" i="48"/>
  <c r="H13"/>
  <c r="H31" s="1"/>
  <c r="I18" i="14"/>
  <c r="P22" i="16"/>
  <c r="Q43" i="14" s="1"/>
  <c r="P8" i="48"/>
  <c r="P26" s="1"/>
  <c r="Q13" i="14"/>
  <c r="K15" i="48"/>
  <c r="K23"/>
  <c r="K33" s="1"/>
  <c r="P22"/>
  <c r="P33" s="1"/>
  <c r="P15"/>
  <c r="B9"/>
  <c r="C20" i="14"/>
  <c r="O5" i="48"/>
  <c r="O23" s="1"/>
  <c r="P10" i="14"/>
  <c r="L63"/>
  <c r="K24"/>
  <c r="K26" s="1"/>
  <c r="J7" i="48"/>
  <c r="J25" s="1"/>
  <c r="J10" i="14"/>
  <c r="J16" s="1"/>
  <c r="J27" s="1"/>
  <c r="I5" i="48"/>
  <c r="L46" i="14"/>
  <c r="L61" s="1"/>
  <c r="Q16"/>
  <c r="Q27" s="1"/>
  <c r="C22"/>
  <c r="E9" i="48"/>
  <c r="F20" i="14"/>
  <c r="F22" s="1"/>
  <c r="D9" i="48"/>
  <c r="D27" s="1"/>
  <c r="E20" i="14"/>
  <c r="E22" s="1"/>
  <c r="F4" i="48"/>
  <c r="F22" s="1"/>
  <c r="G11" i="14"/>
  <c r="M12" i="22"/>
  <c r="N18" i="14"/>
  <c r="M13" i="48"/>
  <c r="M31" s="1"/>
  <c r="O22"/>
  <c r="D24" i="1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M14" s="1"/>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R11" s="1"/>
  <c r="E4" i="48"/>
  <c r="N4"/>
  <c r="N22" s="1"/>
  <c r="O11" i="14"/>
  <c r="K11"/>
  <c r="J4" i="48"/>
  <c r="M9"/>
  <c r="N20" i="14"/>
  <c r="H20"/>
  <c r="H22" s="1"/>
  <c r="H27" s="1"/>
  <c r="G9" i="48"/>
  <c r="O8"/>
  <c r="P13" i="14"/>
  <c r="G31" i="48"/>
  <c r="Q13"/>
  <c r="N19" i="14"/>
  <c r="N22" s="1"/>
  <c r="N27" s="1"/>
  <c r="M10" i="48"/>
  <c r="M28" s="1"/>
  <c r="E7"/>
  <c r="E25" s="1"/>
  <c r="F24" i="14"/>
  <c r="F26" s="1"/>
  <c r="E27" i="48"/>
  <c r="H19" i="14"/>
  <c r="G10" i="48"/>
  <c r="I23"/>
  <c r="I33" s="1"/>
  <c r="I15"/>
  <c r="Q46" i="14"/>
  <c r="Q61" s="1"/>
  <c r="Q63" s="1"/>
  <c r="P16"/>
  <c r="P27" s="1"/>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M46" s="1"/>
  <c r="H52" l="1"/>
  <c r="H61" s="1"/>
  <c r="H63" s="1"/>
  <c r="N63"/>
  <c r="M27" i="48"/>
  <c r="M33" s="1"/>
  <c r="M15"/>
  <c r="I20" i="14"/>
  <c r="H9" i="48"/>
  <c r="E20" i="15"/>
  <c r="F40" i="14" s="1"/>
  <c r="E5" i="48"/>
  <c r="E23" s="1"/>
  <c r="F10" i="14"/>
  <c r="E22" i="48"/>
  <c r="Q4"/>
  <c r="G27"/>
  <c r="G15"/>
  <c r="K10" i="14"/>
  <c r="J5" i="48"/>
  <c r="J23" s="1"/>
  <c r="O26"/>
  <c r="O33" s="1"/>
  <c r="O15"/>
  <c r="G28"/>
  <c r="Q10"/>
  <c r="J22"/>
  <c r="Q9"/>
  <c r="R19" i="14"/>
  <c r="E46"/>
  <c r="E61" s="1"/>
  <c r="M61"/>
  <c r="M27"/>
  <c r="E16"/>
  <c r="E27" s="1"/>
  <c r="L15" i="48"/>
  <c r="R24" i="14"/>
  <c r="R26" s="1"/>
  <c r="L33" i="48"/>
  <c r="Q7"/>
  <c r="D23"/>
  <c r="D33" s="1"/>
  <c r="D15"/>
  <c r="C16" i="14"/>
  <c r="C27" s="1"/>
  <c r="B3" i="6" s="1"/>
  <c r="B12" s="1"/>
  <c r="F23" i="48"/>
  <c r="N23"/>
  <c r="Q5"/>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F13" i="14"/>
  <c r="F16" s="1"/>
  <c r="F27" s="1"/>
  <c r="F63" s="1"/>
  <c r="I22"/>
  <c r="I27" s="1"/>
  <c r="R20"/>
  <c r="R22" s="1"/>
  <c r="J22" i="16"/>
  <c r="K43" i="14" s="1"/>
  <c r="K46" s="1"/>
  <c r="K61" s="1"/>
  <c r="K13"/>
  <c r="J8" i="48"/>
  <c r="H27"/>
  <c r="H33" s="1"/>
  <c r="H15"/>
  <c r="I63" i="14"/>
  <c r="R10"/>
  <c r="G33" i="48"/>
  <c r="E63" i="14"/>
  <c r="K16"/>
  <c r="K27" s="1"/>
  <c r="E22" i="16"/>
  <c r="F43" i="14" s="1"/>
  <c r="F46" s="1"/>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26" i="48" l="1"/>
  <c r="E33" s="1"/>
  <c r="E15"/>
  <c r="K63" i="14"/>
  <c r="J26" i="48"/>
  <c r="J33" s="1"/>
  <c r="J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<sst xmlns="http://schemas.openxmlformats.org/spreadsheetml/2006/main" count="2438" uniqueCount="915">
  <si>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</si>
  <si>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</si>
  <si>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</si>
  <si>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</si>
  <si>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</si>
  <si>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</si>
  <si>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</si>
  <si>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</si>
  <si>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</si>
  <si>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</si>
  <si>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</si>
  <si>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</si>
  <si>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</si>
  <si>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</si>
  <si>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</si>
  <si>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</si>
  <si>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</si>
  <si>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</si>
  <si>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</si>
  <si>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</si>
  <si>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</si>
  <si>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</si>
  <si>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</si>
  <si>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</si>
  <si>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</si>
  <si>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</si>
  <si>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</si>
  <si>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</si>
  <si>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</si>
  <si>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</si>
  <si>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</si>
  <si>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</si>
  <si>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</si>
  <si>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</si>
  <si>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</si>
  <si>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</si>
  <si>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</si>
  <si>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</si>
  <si>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</si>
  <si>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</si>
  <si>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</si>
  <si>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</si>
  <si>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</si>
  <si>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</si>
  <si>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</si>
  <si>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</si>
  <si>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</si>
  <si>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</si>
  <si>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</si>
  <si>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</si>
  <si>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</si>
  <si>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</si>
  <si>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</si>
  <si>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</si>
  <si>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</si>
  <si>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</si>
  <si>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</si>
  <si>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</si>
  <si>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</si>
  <si>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</si>
  <si>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</si>
  <si>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</si>
  <si>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</si>
  <si>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</si>
  <si>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</si>
  <si>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</si>
  <si>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</si>
  <si>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</si>
  <si>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</si>
  <si>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</si>
  <si>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</si>
  <si>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</si>
  <si>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</si>
  <si>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</si>
  <si>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</si>
  <si>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</si>
  <si>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</si>
  <si>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</si>
  <si>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</si>
  <si>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</si>
  <si>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</si>
  <si>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</si>
  <si>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</si>
  <si>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</si>
  <si>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</si>
  <si>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</si>
  <si>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</si>
  <si>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</si>
  <si>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</si>
  <si>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</si>
  <si>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</si>
  <si>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</si>
  <si>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</si>
  <si>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</si>
  <si>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</si>
  <si>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</si>
  <si>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</si>
  <si>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</si>
  <si>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</si>
  <si>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</si>
  <si>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</si>
  <si>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</si>
  <si>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</si>
  <si>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</si>
  <si>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</si>
  <si>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</si>
  <si>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</si>
  <si>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</si>
  <si>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</si>
  <si>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</si>
  <si>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</si>
  <si>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</si>
  <si>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</si>
  <si>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</si>
  <si>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</si>
  <si>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</si>
  <si>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</si>
  <si>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</si>
  <si>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</si>
  <si>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</si>
  <si>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</si>
  <si>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</si>
  <si>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</si>
  <si>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</si>
  <si>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</si>
  <si>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</si>
  <si>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</si>
  <si>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</si>
  <si>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</si>
  <si>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</si>
  <si>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</si>
  <si>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</si>
  <si>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</si>
  <si>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</si>
  <si>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</si>
  <si>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</si>
  <si>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</si>
  <si>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</si>
  <si>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</si>
  <si>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</si>
  <si>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</si>
  <si>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</si>
  <si>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</si>
  <si>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</si>
  <si>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</si>
  <si>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</si>
  <si>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</si>
  <si>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</si>
  <si>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</si>
  <si>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</si>
  <si>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</si>
  <si>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</si>
  <si>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</si>
  <si>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</si>
  <si>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</si>
  <si>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</si>
  <si>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</si>
  <si>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</si>
  <si>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</si>
  <si>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</si>
  <si>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</si>
  <si>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</si>
  <si>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</si>
  <si>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</si>
  <si>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</si>
  <si>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</si>
  <si>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</si>
  <si>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</si>
  <si>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</si>
  <si>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</si>
  <si>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</si>
  <si>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</si>
  <si>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</si>
  <si>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</si>
  <si>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</si>
  <si>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</si>
  <si>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</si>
  <si>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</si>
  <si>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</si>
  <si>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</si>
  <si>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</si>
  <si>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</si>
  <si>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</si>
  <si>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</si>
  <si>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</si>
  <si>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</si>
  <si>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</si>
  <si>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</si>
  <si>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</si>
  <si>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</si>
  <si>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</si>
  <si>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</si>
  <si>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</si>
  <si>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</si>
  <si>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</si>
  <si>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</si>
  <si>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</si>
  <si>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</si>
  <si>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</si>
  <si>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</si>
  <si>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</si>
  <si>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</si>
  <si>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</si>
  <si>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</si>
  <si>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</si>
  <si>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</si>
  <si>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</si>
  <si>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</si>
  <si>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</si>
  <si>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</si>
  <si>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</si>
  <si>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</si>
  <si>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</si>
  <si>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</si>
  <si>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</si>
  <si>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</si>
  <si>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</si>
  <si>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</si>
  <si>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</si>
  <si>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</si>
  <si>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</si>
  <si>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</si>
  <si>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</si>
  <si>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</si>
  <si>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</si>
  <si>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</si>
  <si>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</si>
  <si>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</si>
  <si>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</si>
  <si>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</si>
  <si>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</si>
  <si>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</si>
  <si>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</si>
  <si>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</si>
  <si>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</si>
  <si>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</si>
  <si>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</si>
  <si>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</si>
  <si>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</si>
  <si>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</si>
  <si>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</si>
  <si>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</si>
  <si>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</si>
  <si>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</si>
  <si>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</si>
  <si>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</si>
  <si>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</si>
  <si>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</si>
  <si>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</si>
  <si>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</si>
  <si>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</si>
  <si>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</si>
  <si>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</si>
  <si>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</si>
  <si>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</si>
  <si>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</si>
  <si>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</si>
  <si>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</si>
  <si>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</si>
  <si>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</si>
  <si>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</si>
  <si>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</si>
  <si>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</si>
  <si>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</si>
  <si>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</si>
  <si>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</si>
  <si>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</si>
  <si>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</si>
  <si>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</si>
  <si>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</si>
  <si>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</si>
  <si>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</si>
  <si>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</si>
  <si>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</si>
  <si>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</si>
  <si>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</si>
  <si>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</si>
  <si>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</si>
  <si>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</si>
  <si>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</si>
  <si>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</si>
  <si>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</si>
  <si>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</si>
  <si>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</si>
  <si>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</si>
  <si>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</si>
  <si>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</si>
  <si>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</si>
  <si>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</si>
  <si>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</si>
  <si>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</si>
  <si>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</si>
  <si>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</si>
  <si>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</si>
  <si>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</si>
  <si>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</si>
  <si>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</si>
  <si>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</si>
  <si>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</si>
  <si>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</si>
  <si>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</si>
  <si>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</si>
  <si>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</si>
  <si>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</si>
  <si>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</si>
  <si>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</si>
  <si>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</si>
  <si>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</si>
  <si>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</si>
  <si>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</si>
  <si>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</si>
  <si>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</si>
  <si>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</si>
  <si>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</si>
  <si>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</si>
  <si>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</si>
  <si>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</si>
  <si>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</si>
  <si>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</si>
  <si>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</si>
  <si>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</si>
  <si>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</si>
  <si>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</si>
  <si>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</si>
  <si>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</si>
  <si>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</si>
  <si>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</si>
  <si>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</si>
  <si>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</si>
  <si>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</si>
  <si>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</si>
  <si>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</si>
  <si>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</si>
  <si>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</si>
  <si>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</si>
  <si>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</si>
  <si>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</si>
  <si>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</si>
  <si>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</si>
  <si>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</si>
  <si>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</si>
  <si>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</si>
  <si>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</si>
  <si>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</si>
  <si>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</si>
  <si>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</si>
  <si>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</si>
  <si>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</si>
  <si>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</si>
  <si>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</si>
  <si>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</si>
  <si>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</si>
  <si>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</si>
  <si>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</si>
  <si>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</si>
  <si>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</si>
  <si>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</si>
  <si>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</si>
  <si>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</si>
  <si>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</si>
  <si>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</si>
  <si>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</si>
  <si>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</si>
  <si>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</si>
  <si>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</si>
  <si>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</si>
  <si>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</si>
  <si>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</si>
  <si>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</si>
  <si>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</si>
  <si>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</si>
  <si>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</si>
  <si>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</si>
  <si>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</si>
  <si>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</si>
  <si>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</si>
  <si>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</si>
  <si>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</si>
  <si>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</si>
  <si>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</si>
  <si>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</si>
  <si>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</si>
  <si>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</si>
  <si>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</si>
  <si>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</si>
  <si>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</si>
  <si>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</si>
  <si>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</si>
  <si>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</si>
  <si>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</si>
  <si>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</si>
  <si>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</si>
  <si>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</si>
  <si>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</si>
  <si>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</si>
  <si>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</si>
  <si>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</si>
  <si>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</si>
  <si>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</si>
  <si>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</si>
  <si>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</si>
  <si>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</si>
  <si>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</si>
  <si>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</si>
  <si>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</si>
  <si>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</si>
  <si>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</si>
  <si>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</si>
  <si>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</si>
  <si>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</si>
  <si>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</si>
  <si>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</si>
  <si>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</si>
  <si>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</si>
  <si>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</si>
  <si>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</si>
  <si>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</si>
  <si>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</si>
  <si>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</si>
  <si>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</si>
  <si>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</si>
  <si>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</si>
  <si>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</si>
  <si>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</si>
  <si>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</si>
  <si>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</si>
  <si>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</si>
  <si>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</si>
  <si>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</si>
  <si>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</si>
  <si>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</si>
  <si>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</si>
  <si>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</si>
  <si>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</si>
  <si>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</si>
  <si>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</si>
  <si>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</si>
  <si>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</si>
  <si>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</si>
  <si>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</si>
  <si>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</si>
  <si>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</si>
  <si>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</si>
  <si>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</si>
  <si>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</si>
  <si>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</si>
  <si>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</si>
  <si>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</si>
  <si>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</si>
  <si>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</si>
  <si>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</si>
  <si>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</si>
  <si>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</si>
  <si>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</si>
  <si>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</si>
  <si>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</si>
  <si>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</si>
  <si>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</si>
  <si>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</si>
  <si>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</si>
  <si>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</si>
  <si>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</si>
  <si>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</si>
  <si>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</si>
  <si>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</si>
  <si>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</si>
  <si>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</si>
  <si>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</si>
  <si>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</si>
  <si>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</si>
  <si>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</si>
  <si>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</si>
  <si>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</si>
  <si>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</si>
  <si>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</si>
  <si>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</si>
  <si>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</si>
  <si>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</si>
  <si>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</si>
  <si>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</si>
  <si>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</si>
  <si>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</si>
  <si>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</si>
  <si>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</si>
  <si>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</si>
  <si>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</si>
  <si>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</si>
  <si>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</si>
  <si>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</si>
  <si>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</si>
  <si>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</si>
  <si>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</si>
  <si>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</si>
  <si>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</si>
  <si>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</si>
  <si>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</si>
  <si>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</si>
  <si>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</si>
  <si>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</si>
  <si>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</si>
  <si>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</si>
  <si>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</si>
  <si>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</si>
  <si>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</si>
  <si>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</si>
  <si>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</si>
  <si>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</si>
  <si>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</si>
  <si>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</si>
  <si>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</si>
  <si>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</si>
  <si>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</si>
  <si>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</si>
  <si>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</si>
  <si>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</si>
  <si>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</si>
  <si>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</si>
  <si>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</si>
  <si>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</si>
  <si>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</si>
  <si>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</si>
  <si>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</si>
  <si>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</si>
  <si>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</si>
  <si>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</si>
  <si>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</si>
  <si>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</si>
  <si>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</si>
  <si>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</si>
  <si>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</si>
  <si>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</si>
  <si>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</si>
  <si>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</si>
  <si>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</si>
  <si>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</si>
  <si>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</si>
  <si>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</si>
  <si>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</si>
  <si>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</si>
  <si>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</si>
  <si>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</si>
  <si>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</si>
  <si>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</si>
  <si>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</si>
  <si>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</si>
  <si>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</si>
  <si>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</si>
  <si>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</si>
  <si>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</si>
  <si>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</si>
  <si>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</si>
  <si>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</si>
  <si>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</si>
  <si>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</si>
  <si>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</si>
  <si>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</si>
  <si>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</si>
  <si>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</si>
  <si>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</si>
  <si>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</si>
  <si>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</si>
  <si>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</si>
  <si>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</si>
  <si>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</si>
  <si>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</si>
  <si>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</si>
  <si>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</si>
  <si>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</si>
  <si>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</si>
  <si>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</si>
  <si>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</si>
  <si>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</si>
  <si>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</si>
  <si>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</si>
  <si>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</si>
  <si>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</si>
  <si>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</si>
  <si>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</si>
  <si>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</si>
  <si>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</si>
  <si>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</si>
  <si>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</si>
  <si>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</si>
  <si>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</si>
  <si>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</si>
  <si>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</si>
  <si>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</si>
  <si>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</si>
  <si>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</si>
  <si>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</si>
  <si>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</si>
  <si>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</si>
  <si>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</si>
  <si>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</si>
  <si>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</si>
  <si>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</si>
  <si>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</si>
  <si>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</si>
  <si>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</si>
  <si>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</si>
  <si>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</si>
  <si>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</si>
  <si>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</si>
  <si>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</si>
  <si>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</si>
  <si>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</si>
  <si>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</si>
  <si>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</si>
  <si>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</si>
  <si>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</si>
  <si>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</si>
  <si>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</si>
  <si>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</si>
  <si>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</si>
  <si>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</si>
  <si>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</si>
  <si>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</si>
  <si>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</si>
  <si>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</si>
  <si>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</si>
  <si>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</si>
  <si>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</si>
  <si>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</si>
  <si>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</si>
  <si>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</si>
  <si>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</si>
  <si>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</si>
  <si>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</si>
  <si>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</si>
  <si>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</si>
  <si>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</si>
  <si>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</si>
  <si>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</si>
  <si>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</si>
  <si>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</si>
  <si>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</si>
  <si>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</si>
  <si>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</si>
  <si>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</si>
  <si>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</si>
  <si>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</si>
  <si>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</si>
  <si>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</si>
  <si>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</si>
  <si>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</si>
  <si>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</si>
  <si>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</si>
  <si>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</si>
  <si>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</si>
  <si>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</si>
  <si>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</si>
  <si>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</si>
  <si>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</si>
  <si>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</si>
  <si>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</si>
  <si>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</si>
  <si>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</si>
  <si>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</si>
  <si>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</si>
  <si>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</si>
  <si>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</si>
  <si>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</si>
  <si>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</si>
  <si>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</si>
  <si>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</si>
  <si>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</si>
  <si>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</si>
  <si>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</si>
  <si>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</si>
  <si>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</si>
  <si>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</si>
  <si>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</si>
  <si>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</si>
  <si>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</si>
  <si>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</si>
  <si>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</si>
  <si>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</si>
  <si>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</si>
  <si>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</si>
  <si>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</si>
  <si>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</si>
  <si>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</si>
  <si>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</si>
  <si>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</si>
  <si>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</si>
  <si>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</si>
  <si>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</si>
  <si>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</si>
  <si>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</si>
  <si>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</si>
  <si>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</si>
  <si>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</si>
  <si>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</si>
  <si>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</si>
  <si>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</si>
  <si>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</si>
  <si>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</si>
  <si>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</si>
  <si>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</si>
  <si>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</si>
  <si>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</si>
  <si>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</si>
  <si>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</si>
  <si>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</si>
  <si>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</si>
  <si>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</si>
  <si>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</si>
  <si>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</si>
  <si>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</si>
  <si>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</si>
  <si>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</si>
  <si>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</si>
  <si>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</si>
  <si>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</si>
  <si>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</si>
  <si>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</si>
  <si>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</si>
  <si>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</si>
  <si>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</si>
  <si>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</si>
  <si>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</si>
  <si>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</si>
  <si>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</si>
  <si>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</si>
  <si>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</si>
  <si>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</si>
  <si>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</si>
  <si>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</si>
  <si>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</si>
  <si>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</si>
  <si>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</si>
  <si>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</si>
  <si>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</si>
  <si>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</si>
  <si>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</si>
  <si>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</si>
  <si>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</si>
  <si>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</si>
  <si>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</si>
  <si>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</si>
  <si>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</si>
  <si>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</si>
  <si>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</si>
  <si>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</si>
  <si>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</si>
  <si>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</si>
  <si>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</si>
  <si>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</si>
  <si>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</si>
  <si>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</si>
  <si>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</si>
  <si>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</si>
  <si>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</si>
  <si>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</si>
  <si>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</si>
  <si>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</si>
  <si>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</si>
  <si>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</si>
  <si>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</si>
  <si>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</si>
  <si>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</si>
  <si>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</si>
  <si>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</si>
  <si>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</si>
  <si>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</si>
  <si>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</si>
  <si>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</si>
  <si>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</si>
  <si>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</si>
  <si>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</si>
  <si>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</si>
  <si>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</si>
  <si>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</si>
  <si>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</si>
  <si>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</si>
  <si>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</si>
  <si>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</si>
  <si>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</si>
  <si>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</si>
  <si>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</si>
  <si>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</si>
  <si>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</si>
  <si>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</si>
  <si>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</si>
  <si>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</si>
  <si>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</si>
  <si>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</si>
  <si>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</si>
  <si>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</si>
  <si>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</si>
  <si>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</si>
  <si>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</si>
  <si>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</si>
  <si>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</si>
  <si>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</si>
  <si>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</si>
  <si>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</si>
  <si>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</si>
  <si>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</si>
  <si>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</si>
  <si>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</si>
  <si>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</si>
  <si>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</si>
  <si>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</si>
  <si>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</si>
  <si>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</si>
  <si>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</si>
  <si>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</si>
  <si>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</si>
  <si>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</si>
  <si>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</si>
  <si>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</si>
  <si>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</si>
  <si>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</si>
  <si>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</si>
  <si>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</si>
  <si>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</si>
  <si>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</si>
  <si>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</si>
  <si>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</si>
  <si>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</si>
  <si>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</si>
  <si>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</si>
  <si>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</si>
  <si>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</si>
  <si>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</si>
  <si>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</si>
  <si>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</si>
  <si>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</si>
  <si>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</si>
  <si>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</si>
  <si>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</si>
  <si>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</si>
  <si>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</si>
  <si>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</si>
  <si>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</si>
  <si>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</si>
  <si>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</si>
  <si>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</si>
  <si>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</si>
  <si>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</si>
  <si>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</si>
  <si>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</si>
  <si>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</si>
  <si>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</si>
  <si>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</si>
  <si>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</si>
  <si>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</si>
  <si>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</si>
  <si>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</si>
  <si>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</si>
  <si>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</si>
  <si>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</si>
  <si>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</si>
  <si>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</si>
  <si>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</si>
  <si>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</si>
  <si>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</si>
  <si>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</si>
  <si>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</si>
  <si>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</si>
  <si>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</si>
  <si>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</si>
  <si>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</si>
  <si>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</si>
  <si>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</si>
  <si>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</si>
  <si>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</si>
  <si>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</si>
  <si>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</si>
  <si>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</si>
  <si>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</si>
  <si>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</si>
  <si>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</si>
  <si>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</si>
  <si>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</si>
  <si>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</si>
  <si>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</si>
  <si>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</si>
  <si>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</si>
  <si>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</si>
  <si>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</si>
  <si>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</si>
  <si>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</si>
  <si>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</si>
  <si>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</si>
  <si>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</si>
  <si>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</si>
  <si>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</si>
  <si>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</si>
  <si>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</si>
  <si>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</si>
  <si>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</si>
  <si>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</si>
  <si>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</si>
  <si>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</si>
  <si>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</si>
  <si>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</si>
  <si>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</si>
  <si>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</si>
  <si>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</si>
  <si>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</si>
  <si>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</si>
  <si>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35002</t>
  </si>
  <si>
    <t>BREDENE</t>
  </si>
  <si>
    <t>Cultuurgrond (ha)</t>
  </si>
  <si>
    <t>Paarden&amp;pony's 200 - 600 kg</t>
  </si>
  <si>
    <t>Paarden&amp;pony's &lt; 200 kg</t>
  </si>
  <si>
    <t>op basis van VEA (maart 2018) en Inventaris Hernieuwbare Energiebronnen (juni 2018)</t>
  </si>
  <si>
    <t>VEA (juni 2018)</t>
  </si>
  <si>
    <t>Michel Despagne</t>
  </si>
  <si>
    <t>Benedictijnenstraat 37 , 8450 Bredene</t>
  </si>
  <si>
    <t>WKK-0424 Michel Despagne</t>
  </si>
  <si>
    <t>stirlingmotor</t>
  </si>
  <si>
    <t>IMEWO</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</si>
</sst>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116441.61259710781</c:v>
                </c:pt>
                <c:pt idx="1">
                  <c:v>39451.202158733802</c:v>
                </c:pt>
                <c:pt idx="2">
                  <c:v>1687.829</c:v>
                </c:pt>
                <c:pt idx="3">
                  <c:v>658.65154558049585</c:v>
                </c:pt>
                <c:pt idx="4">
                  <c:v>17664.573209044458</c:v>
                </c:pt>
                <c:pt idx="5">
                  <c:v>28102.610553444338</c:v>
                </c:pt>
                <c:pt idx="6">
                  <c:v>1808.3714278946163</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383552"/>
        <c:axId val="181385088"/>
      </c:barChart>
      <c:catAx>
        <c:axId val="181383552"/>
        <c:scaling>
          <c:orientation val="minMax"/>
        </c:scaling>
        <c:axPos val="b"/>
        <c:numFmt formatCode="General" sourceLinked="0"/>
        <c:tickLblPos val="nextTo"/>
        <c:crossAx val="181385088"/>
        <c:crosses val="autoZero"/>
        <c:auto val="1"/>
        <c:lblAlgn val="ctr"/>
        <c:lblOffset val="100"/>
      </c:catAx>
      <c:valAx>
        <c:axId val="181385088"/>
        <c:scaling>
          <c:orientation val="minMax"/>
        </c:scaling>
        <c:axPos val="l"/>
        <c:majorGridlines/>
        <c:numFmt formatCode="#,##0" sourceLinked="1"/>
        <c:tickLblPos val="nextTo"/>
        <c:crossAx val="1813835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116441.61259710781</c:v>
                </c:pt>
                <c:pt idx="1">
                  <c:v>39451.202158733802</c:v>
                </c:pt>
                <c:pt idx="2">
                  <c:v>1687.829</c:v>
                </c:pt>
                <c:pt idx="3">
                  <c:v>658.65154558049585</c:v>
                </c:pt>
                <c:pt idx="4">
                  <c:v>17664.573209044458</c:v>
                </c:pt>
                <c:pt idx="5">
                  <c:v>28102.610553444338</c:v>
                </c:pt>
                <c:pt idx="6">
                  <c:v>1808.3714278946163</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22611.478739148548</c:v>
                </c:pt>
                <c:pt idx="2">
                  <c:v>8297.5107185207798</c:v>
                </c:pt>
                <c:pt idx="3">
                  <c:v>356.86789248323345</c:v>
                </c:pt>
                <c:pt idx="4">
                  <c:v>166.61638726915805</c:v>
                </c:pt>
                <c:pt idx="5">
                  <c:v>3528.0974947927489</c:v>
                </c:pt>
                <c:pt idx="6">
                  <c:v>7099.1449241717337</c:v>
                </c:pt>
                <c:pt idx="7">
                  <c:v>447.26724662294612</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484544"/>
        <c:axId val="181494528"/>
      </c:barChart>
      <c:catAx>
        <c:axId val="181484544"/>
        <c:scaling>
          <c:orientation val="minMax"/>
        </c:scaling>
        <c:axPos val="b"/>
        <c:numFmt formatCode="General" sourceLinked="0"/>
        <c:tickLblPos val="nextTo"/>
        <c:crossAx val="181494528"/>
        <c:crosses val="autoZero"/>
        <c:auto val="1"/>
        <c:lblAlgn val="ctr"/>
        <c:lblOffset val="100"/>
      </c:catAx>
      <c:valAx>
        <c:axId val="181494528"/>
        <c:scaling>
          <c:orientation val="minMax"/>
        </c:scaling>
        <c:axPos val="l"/>
        <c:majorGridlines/>
        <c:numFmt formatCode="#,##0" sourceLinked="1"/>
        <c:tickLblPos val="nextTo"/>
        <c:crossAx val="1814845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22611.478739148548</c:v>
                </c:pt>
                <c:pt idx="2">
                  <c:v>8297.5107185207798</c:v>
                </c:pt>
                <c:pt idx="3">
                  <c:v>356.86789248323345</c:v>
                </c:pt>
                <c:pt idx="4">
                  <c:v>166.61638726915805</c:v>
                </c:pt>
                <c:pt idx="5">
                  <c:v>3528.0974947927489</c:v>
                </c:pt>
                <c:pt idx="6">
                  <c:v>7099.1449241717337</c:v>
                </c:pt>
                <c:pt idx="7">
                  <c:v>447.26724662294612</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35002</v>
      </c>
      <c r="B6" s="398"/>
      <c r="C6" s="399"/>
    </row>
    <row r="7" spans="1:7" s="396" customFormat="1" ht="15.75" customHeight="1">
      <c r="A7" s="400" t="str">
        <f>txtMunicipality</f>
        <v>BREDENE</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0.21143604742141145</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0.21143604742141145</v>
      </c>
      <c r="C29" s="513">
        <f ca="1">'EF ele_warmte'!B22</f>
        <v>0.22444444444444447</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35002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7314</v>
      </c>
      <c r="C9" s="338">
        <v>7638</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513</v>
      </c>
    </row>
    <row r="15" spans="1:6">
      <c r="A15" s="1295" t="s">
        <v>184</v>
      </c>
      <c r="B15" s="335">
        <v>2</v>
      </c>
    </row>
    <row r="16" spans="1:6">
      <c r="A16" s="1295" t="s">
        <v>6</v>
      </c>
      <c r="B16" s="335">
        <v>77</v>
      </c>
    </row>
    <row r="17" spans="1:6">
      <c r="A17" s="1295" t="s">
        <v>7</v>
      </c>
      <c r="B17" s="335">
        <v>36</v>
      </c>
    </row>
    <row r="18" spans="1:6">
      <c r="A18" s="1295" t="s">
        <v>8</v>
      </c>
      <c r="B18" s="335">
        <v>90</v>
      </c>
    </row>
    <row r="19" spans="1:6">
      <c r="A19" s="1295" t="s">
        <v>9</v>
      </c>
      <c r="B19" s="335">
        <v>74</v>
      </c>
    </row>
    <row r="20" spans="1:6">
      <c r="A20" s="1295" t="s">
        <v>10</v>
      </c>
      <c r="B20" s="335">
        <v>51</v>
      </c>
    </row>
    <row r="21" spans="1:6">
      <c r="A21" s="1295" t="s">
        <v>11</v>
      </c>
      <c r="B21" s="335">
        <v>0</v>
      </c>
    </row>
    <row r="22" spans="1:6">
      <c r="A22" s="1295" t="s">
        <v>12</v>
      </c>
      <c r="B22" s="335">
        <v>1</v>
      </c>
    </row>
    <row r="23" spans="1:6">
      <c r="A23" s="1295" t="s">
        <v>13</v>
      </c>
      <c r="B23" s="335">
        <v>0</v>
      </c>
    </row>
    <row r="24" spans="1:6">
      <c r="A24" s="1295" t="s">
        <v>14</v>
      </c>
      <c r="B24" s="335">
        <v>0</v>
      </c>
    </row>
    <row r="25" spans="1:6">
      <c r="A25" s="1295" t="s">
        <v>15</v>
      </c>
      <c r="B25" s="335">
        <v>0</v>
      </c>
    </row>
    <row r="26" spans="1:6">
      <c r="A26" s="1295" t="s">
        <v>16</v>
      </c>
      <c r="B26" s="335">
        <v>14</v>
      </c>
    </row>
    <row r="27" spans="1:6">
      <c r="A27" s="1295" t="s">
        <v>17</v>
      </c>
      <c r="B27" s="335">
        <v>0</v>
      </c>
    </row>
    <row r="28" spans="1:6" s="341" customFormat="1">
      <c r="A28" s="1296" t="s">
        <v>18</v>
      </c>
      <c r="B28" s="1296">
        <v>0</v>
      </c>
    </row>
    <row r="29" spans="1:6">
      <c r="A29" s="1296" t="s">
        <v>906</v>
      </c>
      <c r="B29" s="1296">
        <v>107</v>
      </c>
      <c r="C29" s="341"/>
      <c r="D29" s="341"/>
      <c r="E29" s="341"/>
      <c r="F29" s="341"/>
    </row>
    <row r="30" spans="1:6">
      <c r="A30" s="1291" t="s">
        <v>907</v>
      </c>
      <c r="B30" s="1291">
        <v>13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1</v>
      </c>
      <c r="D38" s="335">
        <v>10709.3794485621</v>
      </c>
      <c r="E38" s="335">
        <v>6</v>
      </c>
      <c r="F38" s="335">
        <v>78223.341822558607</v>
      </c>
    </row>
    <row r="39" spans="1:6">
      <c r="A39" s="1295" t="s">
        <v>30</v>
      </c>
      <c r="B39" s="1295" t="s">
        <v>31</v>
      </c>
      <c r="C39" s="335">
        <v>4997</v>
      </c>
      <c r="D39" s="335">
        <v>77092086.798043206</v>
      </c>
      <c r="E39" s="335">
        <v>8637</v>
      </c>
      <c r="F39" s="335">
        <v>36660603.613404699</v>
      </c>
    </row>
    <row r="40" spans="1:6">
      <c r="A40" s="1295" t="s">
        <v>30</v>
      </c>
      <c r="B40" s="1295" t="s">
        <v>29</v>
      </c>
      <c r="C40" s="335">
        <v>0</v>
      </c>
      <c r="D40" s="335">
        <v>0</v>
      </c>
      <c r="E40" s="335">
        <v>0</v>
      </c>
      <c r="F40" s="335">
        <v>0</v>
      </c>
    </row>
    <row r="41" spans="1:6">
      <c r="A41" s="1295" t="s">
        <v>32</v>
      </c>
      <c r="B41" s="1295" t="s">
        <v>33</v>
      </c>
      <c r="C41" s="335">
        <v>53</v>
      </c>
      <c r="D41" s="335">
        <v>1084357.4080443699</v>
      </c>
      <c r="E41" s="335">
        <v>173</v>
      </c>
      <c r="F41" s="335">
        <v>1821670.1354890901</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4</v>
      </c>
      <c r="F44" s="335">
        <v>59303</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18</v>
      </c>
      <c r="D48" s="335">
        <v>2601850.2501240401</v>
      </c>
      <c r="E48" s="335">
        <v>27</v>
      </c>
      <c r="F48" s="335">
        <v>4761828.4288207795</v>
      </c>
    </row>
    <row r="49" spans="1:6">
      <c r="A49" s="1295" t="s">
        <v>32</v>
      </c>
      <c r="B49" s="1295" t="s">
        <v>40</v>
      </c>
      <c r="C49" s="335">
        <v>0</v>
      </c>
      <c r="D49" s="335">
        <v>0</v>
      </c>
      <c r="E49" s="335">
        <v>0</v>
      </c>
      <c r="F49" s="335">
        <v>0</v>
      </c>
    </row>
    <row r="50" spans="1:6">
      <c r="A50" s="1295" t="s">
        <v>32</v>
      </c>
      <c r="B50" s="1295" t="s">
        <v>41</v>
      </c>
      <c r="C50" s="335">
        <v>8</v>
      </c>
      <c r="D50" s="335">
        <v>1243571.74809802</v>
      </c>
      <c r="E50" s="335">
        <v>16</v>
      </c>
      <c r="F50" s="335">
        <v>671059.03969505394</v>
      </c>
    </row>
    <row r="51" spans="1:6">
      <c r="A51" s="1295" t="s">
        <v>42</v>
      </c>
      <c r="B51" s="1295" t="s">
        <v>43</v>
      </c>
      <c r="C51" s="335">
        <v>0</v>
      </c>
      <c r="D51" s="335">
        <v>0</v>
      </c>
      <c r="E51" s="335">
        <v>4</v>
      </c>
      <c r="F51" s="335">
        <v>86637.523398202204</v>
      </c>
    </row>
    <row r="52" spans="1:6">
      <c r="A52" s="1295" t="s">
        <v>42</v>
      </c>
      <c r="B52" s="1295" t="s">
        <v>29</v>
      </c>
      <c r="C52" s="335">
        <v>3</v>
      </c>
      <c r="D52" s="335">
        <v>80221.347214627196</v>
      </c>
      <c r="E52" s="335">
        <v>5</v>
      </c>
      <c r="F52" s="335">
        <v>42077.183471732002</v>
      </c>
    </row>
    <row r="53" spans="1:6">
      <c r="A53" s="1295" t="s">
        <v>44</v>
      </c>
      <c r="B53" s="1295" t="s">
        <v>45</v>
      </c>
      <c r="C53" s="335">
        <v>157</v>
      </c>
      <c r="D53" s="335">
        <v>2431652.2103650002</v>
      </c>
      <c r="E53" s="335">
        <v>394</v>
      </c>
      <c r="F53" s="335">
        <v>1469917.7190229499</v>
      </c>
    </row>
    <row r="54" spans="1:6">
      <c r="A54" s="1295" t="s">
        <v>46</v>
      </c>
      <c r="B54" s="1295" t="s">
        <v>47</v>
      </c>
      <c r="C54" s="335">
        <v>0</v>
      </c>
      <c r="D54" s="335">
        <v>0</v>
      </c>
      <c r="E54" s="335">
        <v>1</v>
      </c>
      <c r="F54" s="335">
        <v>1687829</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19</v>
      </c>
      <c r="D57" s="335">
        <v>569471.44964333798</v>
      </c>
      <c r="E57" s="335">
        <v>45</v>
      </c>
      <c r="F57" s="335">
        <v>417836.30529849802</v>
      </c>
    </row>
    <row r="58" spans="1:6">
      <c r="A58" s="1295" t="s">
        <v>49</v>
      </c>
      <c r="B58" s="1295" t="s">
        <v>51</v>
      </c>
      <c r="C58" s="335">
        <v>7</v>
      </c>
      <c r="D58" s="335">
        <v>192885.94576365699</v>
      </c>
      <c r="E58" s="335">
        <v>15</v>
      </c>
      <c r="F58" s="335">
        <v>241392.84762677099</v>
      </c>
    </row>
    <row r="59" spans="1:6">
      <c r="A59" s="1295" t="s">
        <v>49</v>
      </c>
      <c r="B59" s="1295" t="s">
        <v>52</v>
      </c>
      <c r="C59" s="335">
        <v>40</v>
      </c>
      <c r="D59" s="335">
        <v>1536164.9308305799</v>
      </c>
      <c r="E59" s="335">
        <v>126</v>
      </c>
      <c r="F59" s="335">
        <v>4008931.0612002602</v>
      </c>
    </row>
    <row r="60" spans="1:6">
      <c r="A60" s="1295" t="s">
        <v>49</v>
      </c>
      <c r="B60" s="1295" t="s">
        <v>53</v>
      </c>
      <c r="C60" s="335">
        <v>55</v>
      </c>
      <c r="D60" s="335">
        <v>3403577.75077648</v>
      </c>
      <c r="E60" s="335">
        <v>127</v>
      </c>
      <c r="F60" s="335">
        <v>6859992.8914988898</v>
      </c>
    </row>
    <row r="61" spans="1:6">
      <c r="A61" s="1295" t="s">
        <v>49</v>
      </c>
      <c r="B61" s="1295" t="s">
        <v>54</v>
      </c>
      <c r="C61" s="335">
        <v>126</v>
      </c>
      <c r="D61" s="335">
        <v>7379717.9534736499</v>
      </c>
      <c r="E61" s="335">
        <v>365</v>
      </c>
      <c r="F61" s="335">
        <v>3512188.4444632102</v>
      </c>
    </row>
    <row r="62" spans="1:6">
      <c r="A62" s="1295" t="s">
        <v>49</v>
      </c>
      <c r="B62" s="1295" t="s">
        <v>55</v>
      </c>
      <c r="C62" s="335">
        <v>8</v>
      </c>
      <c r="D62" s="335">
        <v>590088.60136575298</v>
      </c>
      <c r="E62" s="335">
        <v>12</v>
      </c>
      <c r="F62" s="335">
        <v>215847.00929349201</v>
      </c>
    </row>
    <row r="63" spans="1:6">
      <c r="A63" s="1295" t="s">
        <v>49</v>
      </c>
      <c r="B63" s="1295" t="s">
        <v>29</v>
      </c>
      <c r="C63" s="335">
        <v>82</v>
      </c>
      <c r="D63" s="335">
        <v>5043795.8490319801</v>
      </c>
      <c r="E63" s="335">
        <v>106</v>
      </c>
      <c r="F63" s="335">
        <v>2383131.99427759</v>
      </c>
    </row>
    <row r="64" spans="1:6">
      <c r="A64" s="1295" t="s">
        <v>56</v>
      </c>
      <c r="B64" s="1295" t="s">
        <v>57</v>
      </c>
      <c r="C64" s="335">
        <v>0</v>
      </c>
      <c r="D64" s="335">
        <v>0</v>
      </c>
      <c r="E64" s="335">
        <v>0</v>
      </c>
      <c r="F64" s="335">
        <v>0</v>
      </c>
    </row>
    <row r="65" spans="1:6">
      <c r="A65" s="1295" t="s">
        <v>56</v>
      </c>
      <c r="B65" s="1295" t="s">
        <v>29</v>
      </c>
      <c r="C65" s="335">
        <v>4</v>
      </c>
      <c r="D65" s="335">
        <v>81112.349822083401</v>
      </c>
      <c r="E65" s="335">
        <v>2</v>
      </c>
      <c r="F65" s="335">
        <v>13173.5797746107</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7</v>
      </c>
      <c r="F68" s="335">
        <v>66210.241728634894</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26180127</v>
      </c>
      <c r="E73" s="335">
        <v>28130945.729021013</v>
      </c>
    </row>
    <row r="74" spans="1:6">
      <c r="A74" s="1295" t="s">
        <v>64</v>
      </c>
      <c r="B74" s="1295" t="s">
        <v>727</v>
      </c>
      <c r="C74" s="1295" t="s">
        <v>728</v>
      </c>
      <c r="D74" s="335">
        <v>2652531.8353156471</v>
      </c>
      <c r="E74" s="335">
        <v>2823174.9053531233</v>
      </c>
    </row>
    <row r="75" spans="1:6">
      <c r="A75" s="1295" t="s">
        <v>65</v>
      </c>
      <c r="B75" s="1295" t="s">
        <v>725</v>
      </c>
      <c r="C75" s="1295" t="s">
        <v>729</v>
      </c>
      <c r="D75" s="335">
        <v>6025460</v>
      </c>
      <c r="E75" s="335">
        <v>6463695.5311647803</v>
      </c>
    </row>
    <row r="76" spans="1:6">
      <c r="A76" s="1295" t="s">
        <v>65</v>
      </c>
      <c r="B76" s="1295" t="s">
        <v>727</v>
      </c>
      <c r="C76" s="1295" t="s">
        <v>730</v>
      </c>
      <c r="D76" s="335">
        <v>20736.800000000003</v>
      </c>
      <c r="E76" s="335">
        <v>23088.01706818497</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388028.32936870586</v>
      </c>
      <c r="C83" s="335">
        <v>390343.3116736479</v>
      </c>
    </row>
    <row r="84" spans="1:6">
      <c r="A84" s="1291" t="s">
        <v>337</v>
      </c>
      <c r="B84" s="338">
        <v>96344.255767835115</v>
      </c>
      <c r="C84" s="338">
        <v>99015.990452934144</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2324.6849999999999</v>
      </c>
    </row>
    <row r="92" spans="1:6">
      <c r="A92" s="1291" t="s">
        <v>69</v>
      </c>
      <c r="B92" s="338">
        <v>603.87120000000004</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2961</v>
      </c>
    </row>
    <row r="98" spans="1:6">
      <c r="A98" s="1295" t="s">
        <v>72</v>
      </c>
      <c r="B98" s="335">
        <v>1</v>
      </c>
    </row>
    <row r="99" spans="1:6">
      <c r="A99" s="1295" t="s">
        <v>73</v>
      </c>
      <c r="B99" s="335">
        <v>39</v>
      </c>
    </row>
    <row r="100" spans="1:6">
      <c r="A100" s="1295" t="s">
        <v>74</v>
      </c>
      <c r="B100" s="335">
        <v>1232</v>
      </c>
    </row>
    <row r="101" spans="1:6">
      <c r="A101" s="1295" t="s">
        <v>75</v>
      </c>
      <c r="B101" s="335">
        <v>44</v>
      </c>
    </row>
    <row r="102" spans="1:6">
      <c r="A102" s="1295" t="s">
        <v>76</v>
      </c>
      <c r="B102" s="335">
        <v>123</v>
      </c>
    </row>
    <row r="103" spans="1:6">
      <c r="A103" s="1295" t="s">
        <v>77</v>
      </c>
      <c r="B103" s="335">
        <v>123</v>
      </c>
    </row>
    <row r="104" spans="1:6">
      <c r="A104" s="1295" t="s">
        <v>78</v>
      </c>
      <c r="B104" s="335">
        <v>1184</v>
      </c>
    </row>
    <row r="105" spans="1:6">
      <c r="A105" s="1291" t="s">
        <v>79</v>
      </c>
      <c r="B105" s="1291">
        <v>4</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18</v>
      </c>
      <c r="C123" s="335">
        <v>8</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54</v>
      </c>
    </row>
    <row r="130" spans="1:6">
      <c r="A130" s="1295" t="s">
        <v>295</v>
      </c>
      <c r="B130" s="335">
        <v>2</v>
      </c>
    </row>
    <row r="131" spans="1:6">
      <c r="A131" s="1295" t="s">
        <v>296</v>
      </c>
      <c r="B131" s="335">
        <v>1</v>
      </c>
    </row>
    <row r="132" spans="1:6">
      <c r="A132" s="1291" t="s">
        <v>297</v>
      </c>
      <c r="B132" s="338">
        <v>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67566.303250676065</v>
      </c>
      <c r="C3" s="43" t="s">
        <v>170</v>
      </c>
      <c r="D3" s="43"/>
      <c r="E3" s="156"/>
      <c r="F3" s="43"/>
      <c r="G3" s="43"/>
      <c r="H3" s="43"/>
      <c r="I3" s="43"/>
      <c r="J3" s="43"/>
      <c r="K3" s="96"/>
    </row>
    <row r="4" spans="1:11">
      <c r="A4" s="366" t="s">
        <v>171</v>
      </c>
      <c r="B4" s="49">
        <f>IF(ISERROR('SEAP template'!B78),0,'SEAP template'!B78)</f>
        <v>2928.5562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0.21143604742141145</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5.0500000000000007</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1687.829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1687.829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0.21143604742141145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356.86789248323345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36660.603613404695</v>
      </c>
      <c r="C5" s="17">
        <f>IF(ISERROR('Eigen informatie GS &amp; warmtenet'!B57),0,'Eigen informatie GS &amp; warmtenet'!B57)</f>
        <v>0</v>
      </c>
      <c r="D5" s="30">
        <f>(SUM(HH_hh_gas_kWh,HH_rest_gas_kWh)/1000)*0.902</f>
        <v>69537.062291834969</v>
      </c>
      <c r="E5" s="17">
        <f>B46*B57</f>
        <v>1418.9287409543456</v>
      </c>
      <c r="F5" s="17">
        <f>B51*B62</f>
        <v>0</v>
      </c>
      <c r="G5" s="18"/>
      <c r="H5" s="17"/>
      <c r="I5" s="17"/>
      <c r="J5" s="17">
        <f>B50*B61+C50*C61</f>
        <v>0</v>
      </c>
      <c r="K5" s="17"/>
      <c r="L5" s="17"/>
      <c r="M5" s="17"/>
      <c r="N5" s="17">
        <f>B48*B59+C48*C59</f>
        <v>6001.4429509138026</v>
      </c>
      <c r="O5" s="17">
        <f>B69*B70*B71</f>
        <v>98.490000000000009</v>
      </c>
      <c r="P5" s="17">
        <f>B77*B78*B79/1000-B77*B78*B79/1000/B80</f>
        <v>400.4</v>
      </c>
    </row>
    <row r="6" spans="1:16">
      <c r="A6" s="16" t="s">
        <v>634</v>
      </c>
      <c r="B6" s="783">
        <f>kWh_PV_kleiner_dan_10kW</f>
        <v>2324.6849999999999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38985.288613404693</v>
      </c>
      <c r="C8" s="21">
        <f>C5</f>
        <v>0</v>
      </c>
      <c r="D8" s="21">
        <f>D5</f>
        <v>69537.062291834969</v>
      </c>
      <c r="E8" s="21">
        <f>E5</f>
        <v>1418.9287409543456</v>
      </c>
      <c r="F8" s="21">
        <f>F5</f>
        <v>0</v>
      </c>
      <c r="G8" s="21"/>
      <c r="H8" s="21"/>
      <c r="I8" s="21"/>
      <c r="J8" s="21">
        <f>J5</f>
        <v>0</v>
      </c>
      <c r="K8" s="21"/>
      <c r="L8" s="21">
        <f>L5</f>
        <v>0</v>
      </c>
      <c r="M8" s="21">
        <f>M5</f>
        <v>0</v>
      </c>
      <c r="N8" s="21">
        <f>N5</f>
        <v>6001.4429509138026</v>
      </c>
      <c r="O8" s="21">
        <f>O5</f>
        <v>98.490000000000009</v>
      </c>
      <c r="P8" s="21">
        <f>P5</f>
        <v>400.4</v>
      </c>
    </row>
    <row r="9" spans="1:16">
      <c r="B9" s="19"/>
      <c r="C9" s="19"/>
      <c r="D9" s="261"/>
      <c r="E9" s="19"/>
      <c r="F9" s="19"/>
      <c r="G9" s="19"/>
      <c r="H9" s="19"/>
      <c r="I9" s="19"/>
      <c r="J9" s="19"/>
      <c r="K9" s="19"/>
      <c r="L9" s="19"/>
      <c r="M9" s="19"/>
      <c r="N9" s="19"/>
      <c r="O9" s="19"/>
      <c r="P9" s="19"/>
    </row>
    <row r="10" spans="1:16">
      <c r="A10" s="24" t="s">
        <v>214</v>
      </c>
      <c r="B10" s="25">
        <f ca="1">'EF ele_warmte'!B12</f>
        <v>0.21143604742141145</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8242.8953320012461</v>
      </c>
      <c r="C12" s="23">
        <f ca="1">C10*C8</f>
        <v>0</v>
      </c>
      <c r="D12" s="23">
        <f>D8*D10</f>
        <v>14046.486582950665</v>
      </c>
      <c r="E12" s="23">
        <f>E10*E8</f>
        <v>322.09682419663648</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2961</v>
      </c>
      <c r="C18" s="168" t="s">
        <v>111</v>
      </c>
      <c r="D18" s="230"/>
      <c r="E18" s="15"/>
    </row>
    <row r="19" spans="1:7">
      <c r="A19" s="173" t="s">
        <v>72</v>
      </c>
      <c r="B19" s="37">
        <f>aantalw2001_ander</f>
        <v>1</v>
      </c>
      <c r="C19" s="168" t="s">
        <v>111</v>
      </c>
      <c r="D19" s="231"/>
      <c r="E19" s="15"/>
    </row>
    <row r="20" spans="1:7">
      <c r="A20" s="173" t="s">
        <v>73</v>
      </c>
      <c r="B20" s="37">
        <f>aantalw2001_propaan</f>
        <v>39</v>
      </c>
      <c r="C20" s="169">
        <f>IF(ISERROR(B20/SUM($B$20,$B$21,$B$22)*100),0,B20/SUM($B$20,$B$21,$B$22)*100)</f>
        <v>2.9657794676806084</v>
      </c>
      <c r="D20" s="231"/>
      <c r="E20" s="15"/>
    </row>
    <row r="21" spans="1:7">
      <c r="A21" s="173" t="s">
        <v>74</v>
      </c>
      <c r="B21" s="37">
        <f>aantalw2001_elektriciteit</f>
        <v>1232</v>
      </c>
      <c r="C21" s="169">
        <f>IF(ISERROR(B21/SUM($B$20,$B$21,$B$22)*100),0,B21/SUM($B$20,$B$21,$B$22)*100)</f>
        <v>93.688212927756652</v>
      </c>
      <c r="D21" s="231"/>
      <c r="E21" s="15"/>
    </row>
    <row r="22" spans="1:7">
      <c r="A22" s="173" t="s">
        <v>75</v>
      </c>
      <c r="B22" s="37">
        <f>aantalw2001_hout</f>
        <v>44</v>
      </c>
      <c r="C22" s="169">
        <f>IF(ISERROR(B22/SUM($B$20,$B$21,$B$22)*100),0,B22/SUM($B$20,$B$21,$B$22)*100)</f>
        <v>3.3460076045627374</v>
      </c>
      <c r="D22" s="231"/>
      <c r="E22" s="15"/>
    </row>
    <row r="23" spans="1:7">
      <c r="A23" s="173" t="s">
        <v>76</v>
      </c>
      <c r="B23" s="37">
        <f>aantalw2001_niet_gespec</f>
        <v>123</v>
      </c>
      <c r="C23" s="168" t="s">
        <v>111</v>
      </c>
      <c r="D23" s="230"/>
      <c r="E23" s="15"/>
    </row>
    <row r="24" spans="1:7">
      <c r="A24" s="173" t="s">
        <v>77</v>
      </c>
      <c r="B24" s="37">
        <f>aantalw2001_steenkool</f>
        <v>123</v>
      </c>
      <c r="C24" s="168" t="s">
        <v>111</v>
      </c>
      <c r="D24" s="231"/>
      <c r="E24" s="15"/>
    </row>
    <row r="25" spans="1:7">
      <c r="A25" s="173" t="s">
        <v>78</v>
      </c>
      <c r="B25" s="37">
        <f>aantalw2001_stookolie</f>
        <v>1184</v>
      </c>
      <c r="C25" s="168" t="s">
        <v>111</v>
      </c>
      <c r="D25" s="230"/>
      <c r="E25" s="52"/>
    </row>
    <row r="26" spans="1:7">
      <c r="A26" s="173" t="s">
        <v>79</v>
      </c>
      <c r="B26" s="37">
        <f>aantalw2001_WP</f>
        <v>4</v>
      </c>
      <c r="C26" s="168" t="s">
        <v>111</v>
      </c>
      <c r="D26" s="230"/>
      <c r="E26" s="15"/>
    </row>
    <row r="27" spans="1:7" s="15" customFormat="1">
      <c r="A27" s="173"/>
      <c r="B27" s="29"/>
      <c r="C27" s="36"/>
      <c r="D27" s="230"/>
    </row>
    <row r="28" spans="1:7" s="15" customFormat="1">
      <c r="A28" s="232" t="s">
        <v>745</v>
      </c>
      <c r="B28" s="37">
        <f>aantalHuishoudens2011</f>
        <v>7314</v>
      </c>
      <c r="C28" s="36"/>
      <c r="D28" s="230"/>
    </row>
    <row r="29" spans="1:7" s="15" customFormat="1">
      <c r="A29" s="232" t="s">
        <v>746</v>
      </c>
      <c r="B29" s="37">
        <f>SUM(HH_hh_gas_aantal,HH_rest_gas_aantal)</f>
        <v>4997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4997</v>
      </c>
      <c r="C32" s="169">
        <f>IF(ISERROR(B32/SUM($B$32,$B$34,$B$35,$B$36,$B$38,$B$39)*100),0,B32/SUM($B$32,$B$34,$B$35,$B$36,$B$38,$B$39)*100)</f>
        <v>68.517756753050875</v>
      </c>
      <c r="D32" s="235"/>
      <c r="G32" s="15"/>
    </row>
    <row r="33" spans="1:7">
      <c r="A33" s="173" t="s">
        <v>72</v>
      </c>
      <c r="B33" s="34" t="s">
        <v>111</v>
      </c>
      <c r="C33" s="169"/>
      <c r="D33" s="235"/>
      <c r="G33" s="15"/>
    </row>
    <row r="34" spans="1:7">
      <c r="A34" s="173" t="s">
        <v>73</v>
      </c>
      <c r="B34" s="33">
        <f>IF((($B$28-$B$32-$B$39-$B$77-$B$38)*C20/100)&lt;0,0,($B$28-$B$32-$B$39-$B$77-$B$38)*C20/100)</f>
        <v>68.094296577946764</v>
      </c>
      <c r="C34" s="169">
        <f>IF(ISERROR(B34/SUM($B$32,$B$34,$B$35,$B$36,$B$38,$B$39)*100),0,B34/SUM($B$32,$B$34,$B$35,$B$36,$B$38,$B$39)*100)</f>
        <v>0.93369390618328207</v>
      </c>
      <c r="D34" s="235"/>
      <c r="G34" s="15"/>
    </row>
    <row r="35" spans="1:7">
      <c r="A35" s="173" t="s">
        <v>74</v>
      </c>
      <c r="B35" s="33">
        <f>IF((($B$28-$B$32-$B$39-$B$77-$B$38)*C21/100)&lt;0,0,($B$28-$B$32-$B$39-$B$77-$B$38)*C21/100)</f>
        <v>2151.0813688212929</v>
      </c>
      <c r="C35" s="169">
        <f>IF(ISERROR(B35/SUM($B$32,$B$34,$B$35,$B$36,$B$38,$B$39)*100),0,B35/SUM($B$32,$B$34,$B$35,$B$36,$B$38,$B$39)*100)</f>
        <v>29.495151087635989</v>
      </c>
      <c r="D35" s="235"/>
      <c r="G35" s="15"/>
    </row>
    <row r="36" spans="1:7">
      <c r="A36" s="173" t="s">
        <v>75</v>
      </c>
      <c r="B36" s="33">
        <f>IF((($B$28-$B$32-$B$39-$B$77-$B$38)*C22/100)&lt;0,0,($B$28-$B$32-$B$39-$B$77-$B$38)*C22/100)</f>
        <v>76.824334600760452</v>
      </c>
      <c r="C36" s="169">
        <f>IF(ISERROR(B36/SUM($B$32,$B$34,$B$35,$B$36,$B$38,$B$39)*100),0,B36/SUM($B$32,$B$34,$B$35,$B$36,$B$38,$B$39)*100)</f>
        <v>1.0533982531298567</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4997</v>
      </c>
      <c r="C44" s="34" t="s">
        <v>111</v>
      </c>
      <c r="D44" s="176"/>
    </row>
    <row r="45" spans="1:7">
      <c r="A45" s="173" t="s">
        <v>72</v>
      </c>
      <c r="B45" s="33" t="str">
        <f t="shared" si="0"/>
        <v>-</v>
      </c>
      <c r="C45" s="34" t="s">
        <v>111</v>
      </c>
      <c r="D45" s="176"/>
    </row>
    <row r="46" spans="1:7">
      <c r="A46" s="173" t="s">
        <v>73</v>
      </c>
      <c r="B46" s="33">
        <f t="shared" si="0"/>
        <v>68.094296577946764</v>
      </c>
      <c r="C46" s="34" t="s">
        <v>111</v>
      </c>
      <c r="D46" s="176"/>
    </row>
    <row r="47" spans="1:7">
      <c r="A47" s="173" t="s">
        <v>74</v>
      </c>
      <c r="B47" s="33">
        <f t="shared" si="0"/>
        <v>2151.0813688212929</v>
      </c>
      <c r="C47" s="34" t="s">
        <v>111</v>
      </c>
      <c r="D47" s="176"/>
    </row>
    <row r="48" spans="1:7">
      <c r="A48" s="173" t="s">
        <v>75</v>
      </c>
      <c r="B48" s="33">
        <f t="shared" si="0"/>
        <v>76.824334600760452</v>
      </c>
      <c r="C48" s="33">
        <f>B48*10</f>
        <v>768.24334600760449</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63</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17639.320553658712</v>
      </c>
      <c r="C5" s="17">
        <f>IF(ISERROR('Eigen informatie GS &amp; warmtenet'!B58),0,'Eigen informatie GS &amp; warmtenet'!B58)</f>
        <v>0</v>
      </c>
      <c r="D5" s="30">
        <f>SUM(D6:D12)</f>
        <v>16881.563637758667</v>
      </c>
      <c r="E5" s="17">
        <f>SUM(E6:E12)</f>
        <v>489.13899541205745</v>
      </c>
      <c r="F5" s="17">
        <f>SUM(F6:F12)</f>
        <v>3920.6445493263318</v>
      </c>
      <c r="G5" s="18"/>
      <c r="H5" s="17"/>
      <c r="I5" s="17"/>
      <c r="J5" s="17">
        <f>SUM(J6:J12)</f>
        <v>0</v>
      </c>
      <c r="K5" s="17"/>
      <c r="L5" s="17"/>
      <c r="M5" s="17"/>
      <c r="N5" s="17">
        <f>SUM(N6:N12)</f>
        <v>498.34108924470172</v>
      </c>
      <c r="O5" s="17">
        <f>B38*B39*B40</f>
        <v>3.1266666666666669</v>
      </c>
      <c r="P5" s="17">
        <f>B46*B47*B48/1000-B46*B47*B48/1000/B49</f>
        <v>19.066666666666666</v>
      </c>
      <c r="R5" s="32"/>
    </row>
    <row r="6" spans="1:18">
      <c r="A6" s="32" t="s">
        <v>54</v>
      </c>
      <c r="B6" s="37">
        <f>B26</f>
        <v>3512.1884444632101</v>
      </c>
      <c r="C6" s="33"/>
      <c r="D6" s="37">
        <f>IF(ISERROR(TER_kantoor_gas_kWh/1000),0,TER_kantoor_gas_kWh/1000)*0.902</f>
        <v>6656.5055940332322</v>
      </c>
      <c r="E6" s="33">
        <f>$C$26*'E Balans VL '!I12/100/3.6*1000000</f>
        <v>13.645595680357463</v>
      </c>
      <c r="F6" s="33">
        <f>$C$26*('E Balans VL '!L12+'E Balans VL '!N12)/100/3.6*1000000</f>
        <v>534.17190403595168</v>
      </c>
      <c r="G6" s="34"/>
      <c r="H6" s="33"/>
      <c r="I6" s="33"/>
      <c r="J6" s="33">
        <f>$C$26*('E Balans VL '!D12+'E Balans VL '!E12)/100/3.6*1000000</f>
        <v>0</v>
      </c>
      <c r="K6" s="33"/>
      <c r="L6" s="33"/>
      <c r="M6" s="33"/>
      <c r="N6" s="33">
        <f>$C$26*'E Balans VL '!Y12/100/3.6*1000000</f>
        <v>1.9356365827130939</v>
      </c>
      <c r="O6" s="33"/>
      <c r="P6" s="33"/>
      <c r="R6" s="32"/>
    </row>
    <row r="7" spans="1:18">
      <c r="A7" s="32" t="s">
        <v>53</v>
      </c>
      <c r="B7" s="37">
        <f t="shared" ref="B7:B12" si="0">B27</f>
        <v>6859.9928914988895</v>
      </c>
      <c r="C7" s="33"/>
      <c r="D7" s="37">
        <f>IF(ISERROR(TER_horeca_gas_kWh/1000),0,TER_horeca_gas_kWh/1000)*0.902</f>
        <v>3070.0271312003852</v>
      </c>
      <c r="E7" s="33">
        <f>$C$27*'E Balans VL '!I9/100/3.6*1000000</f>
        <v>386.4252336363603</v>
      </c>
      <c r="F7" s="33">
        <f>$C$27*('E Balans VL '!L9+'E Balans VL '!N9)/100/3.6*1000000</f>
        <v>1978.011250517882</v>
      </c>
      <c r="G7" s="34"/>
      <c r="H7" s="33"/>
      <c r="I7" s="33"/>
      <c r="J7" s="33">
        <f>$C$27*('E Balans VL '!D9+'E Balans VL '!E9)/100/3.6*1000000</f>
        <v>0</v>
      </c>
      <c r="K7" s="33"/>
      <c r="L7" s="33"/>
      <c r="M7" s="33"/>
      <c r="N7" s="33">
        <f>$C$27*'E Balans VL '!Y9/100/3.6*1000000</f>
        <v>1.8940083894657798</v>
      </c>
      <c r="O7" s="33"/>
      <c r="P7" s="33"/>
      <c r="R7" s="32"/>
    </row>
    <row r="8" spans="1:18">
      <c r="A8" s="6" t="s">
        <v>52</v>
      </c>
      <c r="B8" s="37">
        <f t="shared" si="0"/>
        <v>4008.93106120026</v>
      </c>
      <c r="C8" s="33"/>
      <c r="D8" s="37">
        <f>IF(ISERROR(TER_handel_gas_kWh/1000),0,TER_handel_gas_kWh/1000)*0.902</f>
        <v>1385.6207676091833</v>
      </c>
      <c r="E8" s="33">
        <f>$C$28*'E Balans VL '!I13/100/3.6*1000000</f>
        <v>57.782297542022697</v>
      </c>
      <c r="F8" s="33">
        <f>$C$28*('E Balans VL '!L13+'E Balans VL '!N13)/100/3.6*1000000</f>
        <v>696.44468703495977</v>
      </c>
      <c r="G8" s="34"/>
      <c r="H8" s="33"/>
      <c r="I8" s="33"/>
      <c r="J8" s="33">
        <f>$C$28*('E Balans VL '!D13+'E Balans VL '!E13)/100/3.6*1000000</f>
        <v>0</v>
      </c>
      <c r="K8" s="33"/>
      <c r="L8" s="33"/>
      <c r="M8" s="33"/>
      <c r="N8" s="33">
        <f>$C$28*'E Balans VL '!Y13/100/3.6*1000000</f>
        <v>12.011203742755219</v>
      </c>
      <c r="O8" s="33"/>
      <c r="P8" s="33"/>
      <c r="R8" s="32"/>
    </row>
    <row r="9" spans="1:18">
      <c r="A9" s="32" t="s">
        <v>51</v>
      </c>
      <c r="B9" s="37">
        <f t="shared" si="0"/>
        <v>241.39284762677099</v>
      </c>
      <c r="C9" s="33"/>
      <c r="D9" s="37">
        <f>IF(ISERROR(TER_gezond_gas_kWh/1000),0,TER_gezond_gas_kWh/1000)*0.902</f>
        <v>173.98312307881861</v>
      </c>
      <c r="E9" s="33">
        <f>$C$29*'E Balans VL '!I10/100/3.6*1000000</f>
        <v>0.25787012799380599</v>
      </c>
      <c r="F9" s="33">
        <f>$C$29*('E Balans VL '!L10+'E Balans VL '!N10)/100/3.6*1000000</f>
        <v>39.378509651858536</v>
      </c>
      <c r="G9" s="34"/>
      <c r="H9" s="33"/>
      <c r="I9" s="33"/>
      <c r="J9" s="33">
        <f>$C$29*('E Balans VL '!D10+'E Balans VL '!E10)/100/3.6*1000000</f>
        <v>0</v>
      </c>
      <c r="K9" s="33"/>
      <c r="L9" s="33"/>
      <c r="M9" s="33"/>
      <c r="N9" s="33">
        <f>$C$29*'E Balans VL '!Y10/100/3.6*1000000</f>
        <v>2.4850016303066274</v>
      </c>
      <c r="O9" s="33"/>
      <c r="P9" s="33"/>
      <c r="R9" s="32"/>
    </row>
    <row r="10" spans="1:18">
      <c r="A10" s="32" t="s">
        <v>50</v>
      </c>
      <c r="B10" s="37">
        <f t="shared" si="0"/>
        <v>417.83630529849802</v>
      </c>
      <c r="C10" s="33"/>
      <c r="D10" s="37">
        <f>IF(ISERROR(TER_ander_gas_kWh/1000),0,TER_ander_gas_kWh/1000)*0.902</f>
        <v>513.66324757829091</v>
      </c>
      <c r="E10" s="33">
        <f>$C$30*'E Balans VL '!I14/100/3.6*1000000</f>
        <v>1.9215656104476433</v>
      </c>
      <c r="F10" s="33">
        <f>$C$30*('E Balans VL '!L14+'E Balans VL '!N14)/100/3.6*1000000</f>
        <v>125.23872043960171</v>
      </c>
      <c r="G10" s="34"/>
      <c r="H10" s="33"/>
      <c r="I10" s="33"/>
      <c r="J10" s="33">
        <f>$C$30*('E Balans VL '!D14+'E Balans VL '!E14)/100/3.6*1000000</f>
        <v>0</v>
      </c>
      <c r="K10" s="33"/>
      <c r="L10" s="33"/>
      <c r="M10" s="33"/>
      <c r="N10" s="33">
        <f>$C$30*'E Balans VL '!Y14/100/3.6*1000000</f>
        <v>290.84165018345215</v>
      </c>
      <c r="O10" s="33"/>
      <c r="P10" s="33"/>
      <c r="R10" s="32"/>
    </row>
    <row r="11" spans="1:18">
      <c r="A11" s="32" t="s">
        <v>55</v>
      </c>
      <c r="B11" s="37">
        <f t="shared" si="0"/>
        <v>215.84700929349202</v>
      </c>
      <c r="C11" s="33"/>
      <c r="D11" s="37">
        <f>IF(ISERROR(TER_onderwijs_gas_kWh/1000),0,TER_onderwijs_gas_kWh/1000)*0.902</f>
        <v>532.25991843190923</v>
      </c>
      <c r="E11" s="33">
        <f>$C$31*'E Balans VL '!I11/100/3.6*1000000</f>
        <v>0.20022648689618924</v>
      </c>
      <c r="F11" s="33">
        <f>$C$31*('E Balans VL '!L11+'E Balans VL '!N11)/100/3.6*1000000</f>
        <v>75.822093477964088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2383.1319942775899</v>
      </c>
      <c r="C12" s="33"/>
      <c r="D12" s="37">
        <f>IF(ISERROR(TER_rest_gas_kWh/1000),0,TER_rest_gas_kWh/1000)*0.902</f>
        <v>4549.5038558268461</v>
      </c>
      <c r="E12" s="33">
        <f>$C$32*'E Balans VL '!I8/100/3.6*1000000</f>
        <v>28.906206327979305</v>
      </c>
      <c r="F12" s="33">
        <f>$C$32*('E Balans VL '!L8+'E Balans VL '!N8)/100/3.6*1000000</f>
        <v>471.57738416811412</v>
      </c>
      <c r="G12" s="34"/>
      <c r="H12" s="33"/>
      <c r="I12" s="33"/>
      <c r="J12" s="33">
        <f>$C$32*('E Balans VL '!D8+'E Balans VL '!E8)/100/3.6*1000000</f>
        <v>0</v>
      </c>
      <c r="K12" s="33"/>
      <c r="L12" s="33"/>
      <c r="M12" s="33"/>
      <c r="N12" s="33">
        <f>$C$32*'E Balans VL '!Y8/100/3.6*1000000</f>
        <v>189.17358871600882</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17639.320553658712</v>
      </c>
      <c r="C16" s="21">
        <f t="shared" ca="1" si="1"/>
        <v>0</v>
      </c>
      <c r="D16" s="21">
        <f t="shared" ca="1" si="1"/>
        <v>16881.563637758667</v>
      </c>
      <c r="E16" s="21">
        <f t="shared" si="1"/>
        <v>489.13899541205745</v>
      </c>
      <c r="F16" s="21">
        <f t="shared" ca="1" si="1"/>
        <v>3920.6445493263318</v>
      </c>
      <c r="G16" s="21">
        <f t="shared" si="1"/>
        <v>0</v>
      </c>
      <c r="H16" s="21">
        <f t="shared" si="1"/>
        <v>0</v>
      </c>
      <c r="I16" s="21">
        <f t="shared" si="1"/>
        <v>0</v>
      </c>
      <c r="J16" s="21">
        <f t="shared" si="1"/>
        <v>0</v>
      </c>
      <c r="K16" s="21">
        <f t="shared" si="1"/>
        <v>0</v>
      </c>
      <c r="L16" s="21">
        <f t="shared" ca="1" si="1"/>
        <v>0</v>
      </c>
      <c r="M16" s="21">
        <f t="shared" si="1"/>
        <v>0</v>
      </c>
      <c r="N16" s="21">
        <f t="shared" ca="1" si="1"/>
        <v>498.34108924470172</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0.21143604742141145</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3729.5882170648611</v>
      </c>
      <c r="C20" s="23">
        <f t="shared" ref="C20:P20" ca="1" si="2">C16*C18</f>
        <v>0</v>
      </c>
      <c r="D20" s="23">
        <f t="shared" ca="1" si="2"/>
        <v>3410.0758548272511</v>
      </c>
      <c r="E20" s="23">
        <f t="shared" si="2"/>
        <v>111.03455195853705</v>
      </c>
      <c r="F20" s="23">
        <f t="shared" ca="1" si="2"/>
        <v>1046.8120946701306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3512.1884444632101</v>
      </c>
      <c r="C26" s="39">
        <f>IF(ISERROR(B26*3.6/1000000/'E Balans VL '!Z12*100),0,B26*3.6/1000000/'E Balans VL '!Z12*100)</f>
        <v>7.4600622272394501E-2</v>
      </c>
      <c r="D26" s="239" t="s">
        <v>692</v>
      </c>
      <c r="F26" s="6"/>
    </row>
    <row r="27" spans="1:18">
      <c r="A27" s="233" t="s">
        <v>53</v>
      </c>
      <c r="B27" s="33">
        <f>IF(ISERROR(TER_horeca_ele_kWh/1000),0,TER_horeca_ele_kWh/1000)</f>
        <v>6859.9928914988895</v>
      </c>
      <c r="C27" s="39">
        <f>IF(ISERROR(B27*3.6/1000000/'E Balans VL '!Z9*100),0,B27*3.6/1000000/'E Balans VL '!Z9*100)</f>
        <v>0.53340622520785641</v>
      </c>
      <c r="D27" s="239" t="s">
        <v>692</v>
      </c>
      <c r="F27" s="6"/>
    </row>
    <row r="28" spans="1:18">
      <c r="A28" s="173" t="s">
        <v>52</v>
      </c>
      <c r="B28" s="33">
        <f>IF(ISERROR(TER_handel_ele_kWh/1000),0,TER_handel_ele_kWh/1000)</f>
        <v>4008.93106120026</v>
      </c>
      <c r="C28" s="39">
        <f>IF(ISERROR(B28*3.6/1000000/'E Balans VL '!Z13*100),0,B28*3.6/1000000/'E Balans VL '!Z13*100)</f>
        <v>0.11470023570082898</v>
      </c>
      <c r="D28" s="239" t="s">
        <v>692</v>
      </c>
      <c r="F28" s="6"/>
    </row>
    <row r="29" spans="1:18">
      <c r="A29" s="233" t="s">
        <v>51</v>
      </c>
      <c r="B29" s="33">
        <f>IF(ISERROR(TER_gezond_ele_kWh/1000),0,TER_gezond_ele_kWh/1000)</f>
        <v>241.39284762677099</v>
      </c>
      <c r="C29" s="39">
        <f>IF(ISERROR(B29*3.6/1000000/'E Balans VL '!Z10*100),0,B29*3.6/1000000/'E Balans VL '!Z10*100)</f>
        <v>2.6317429688363647E-2</v>
      </c>
      <c r="D29" s="239" t="s">
        <v>692</v>
      </c>
      <c r="F29" s="6"/>
    </row>
    <row r="30" spans="1:18">
      <c r="A30" s="233" t="s">
        <v>50</v>
      </c>
      <c r="B30" s="33">
        <f>IF(ISERROR(TER_ander_ele_kWh/1000),0,TER_ander_ele_kWh/1000)</f>
        <v>417.83630529849802</v>
      </c>
      <c r="C30" s="39">
        <f>IF(ISERROR(B30*3.6/1000000/'E Balans VL '!Z14*100),0,B30*3.6/1000000/'E Balans VL '!Z14*100)</f>
        <v>3.0576312982554466E-2</v>
      </c>
      <c r="D30" s="239" t="s">
        <v>692</v>
      </c>
      <c r="F30" s="6"/>
    </row>
    <row r="31" spans="1:18">
      <c r="A31" s="233" t="s">
        <v>55</v>
      </c>
      <c r="B31" s="33">
        <f>IF(ISERROR(TER_onderwijs_ele_kWh/1000),0,TER_onderwijs_ele_kWh/1000)</f>
        <v>215.84700929349202</v>
      </c>
      <c r="C31" s="39">
        <f>IF(ISERROR(B31*3.6/1000000/'E Balans VL '!Z11*100),0,B31*3.6/1000000/'E Balans VL '!Z11*100)</f>
        <v>4.3353032100167166E-2</v>
      </c>
      <c r="D31" s="239" t="s">
        <v>692</v>
      </c>
    </row>
    <row r="32" spans="1:18">
      <c r="A32" s="233" t="s">
        <v>260</v>
      </c>
      <c r="B32" s="33">
        <f>IF(ISERROR(TER_rest_ele_kWh/1000),0,TER_rest_ele_kWh/1000)</f>
        <v>2383.1319942775899</v>
      </c>
      <c r="C32" s="39">
        <f>IF(ISERROR(B32*3.6/1000000/'E Balans VL '!Z8*100),0,B32*3.6/1000000/'E Balans VL '!Z8*100)</f>
        <v>1.9421079504037791E-2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1</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7313.8606040049235</v>
      </c>
      <c r="C5" s="17">
        <f>IF(ISERROR('Eigen informatie GS &amp; warmtenet'!B59),0,'Eigen informatie GS &amp; warmtenet'!B59)</f>
        <v>0</v>
      </c>
      <c r="D5" s="30">
        <f>SUM(D6:D15)</f>
        <v>4446.6610244523199</v>
      </c>
      <c r="E5" s="17">
        <f>SUM(E6:E15)</f>
        <v>815.17150848900565</v>
      </c>
      <c r="F5" s="17">
        <f>SUM(F6:F15)</f>
        <v>3348.6539059842066</v>
      </c>
      <c r="G5" s="18"/>
      <c r="H5" s="17"/>
      <c r="I5" s="17"/>
      <c r="J5" s="17">
        <f>SUM(J6:J15)</f>
        <v>12.21374301303678</v>
      </c>
      <c r="K5" s="17"/>
      <c r="L5" s="17"/>
      <c r="M5" s="17"/>
      <c r="N5" s="17">
        <f>SUM(N6:N15)</f>
        <v>1728.0124231009631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59.302999999999997</v>
      </c>
      <c r="C8" s="33"/>
      <c r="D8" s="37">
        <f>IF( ISERROR(IND_metaal_Gas_kWH/1000),0,IND_metaal_Gas_kWH/1000)*0.902</f>
        <v>0</v>
      </c>
      <c r="E8" s="33">
        <f>C30*'E Balans VL '!I18/100/3.6*1000000</f>
        <v>1.7034047561542249</v>
      </c>
      <c r="F8" s="33">
        <f>C30*'E Balans VL '!L18/100/3.6*1000000+C30*'E Balans VL '!N18/100/3.6*1000000</f>
        <v>15.210078939398576</v>
      </c>
      <c r="G8" s="34"/>
      <c r="H8" s="33"/>
      <c r="I8" s="33"/>
      <c r="J8" s="40">
        <f>C30*'E Balans VL '!D18/100/3.6*1000000+C30*'E Balans VL '!E18/100/3.6*1000000</f>
        <v>0</v>
      </c>
      <c r="K8" s="33"/>
      <c r="L8" s="33"/>
      <c r="M8" s="33"/>
      <c r="N8" s="33">
        <f>C30*'E Balans VL '!Y18/100/3.6*1000000</f>
        <v>1.6101975045737364</v>
      </c>
      <c r="O8" s="33"/>
      <c r="P8" s="33"/>
      <c r="R8" s="32"/>
    </row>
    <row r="9" spans="1:18">
      <c r="A9" s="6" t="s">
        <v>33</v>
      </c>
      <c r="B9" s="37">
        <f t="shared" si="0"/>
        <v>1821.6701354890902</v>
      </c>
      <c r="C9" s="33"/>
      <c r="D9" s="37">
        <f>IF( ISERROR(IND_andere_gas_kWh/1000),0,IND_andere_gas_kWh/1000)*0.902</f>
        <v>978.09038205602178</v>
      </c>
      <c r="E9" s="33">
        <f>C31*'E Balans VL '!I19/100/3.6*1000000</f>
        <v>493.08131619959659</v>
      </c>
      <c r="F9" s="33">
        <f>C31*'E Balans VL '!L19/100/3.6*1000000+C31*'E Balans VL '!N19/100/3.6*1000000</f>
        <v>1213.4250832044625</v>
      </c>
      <c r="G9" s="34"/>
      <c r="H9" s="33"/>
      <c r="I9" s="33"/>
      <c r="J9" s="40">
        <f>C31*'E Balans VL '!D19/100/3.6*1000000+C31*'E Balans VL '!E19/100/3.6*1000000</f>
        <v>0</v>
      </c>
      <c r="K9" s="33"/>
      <c r="L9" s="33"/>
      <c r="M9" s="33"/>
      <c r="N9" s="33">
        <f>C31*'E Balans VL '!Y19/100/3.6*1000000</f>
        <v>594.74503870560295</v>
      </c>
      <c r="O9" s="33"/>
      <c r="P9" s="33"/>
      <c r="R9" s="32"/>
    </row>
    <row r="10" spans="1:18">
      <c r="A10" s="6" t="s">
        <v>41</v>
      </c>
      <c r="B10" s="37">
        <f t="shared" si="0"/>
        <v>671.05903969505391</v>
      </c>
      <c r="C10" s="33"/>
      <c r="D10" s="37">
        <f>IF( ISERROR(IND_voed_gas_kWh/1000),0,IND_voed_gas_kWh/1000)*0.902</f>
        <v>1121.701716784414</v>
      </c>
      <c r="E10" s="33">
        <f>C32*'E Balans VL '!I20/100/3.6*1000000</f>
        <v>54.733116995554717</v>
      </c>
      <c r="F10" s="33">
        <f>C32*'E Balans VL '!L20/100/3.6*1000000+C32*'E Balans VL '!N20/100/3.6*1000000</f>
        <v>1000.6099119961248</v>
      </c>
      <c r="G10" s="34"/>
      <c r="H10" s="33"/>
      <c r="I10" s="33"/>
      <c r="J10" s="40">
        <f>C32*'E Balans VL '!D20/100/3.6*1000000+C32*'E Balans VL '!E20/100/3.6*1000000</f>
        <v>8.8772965387646143E-3</v>
      </c>
      <c r="K10" s="33"/>
      <c r="L10" s="33"/>
      <c r="M10" s="33"/>
      <c r="N10" s="33">
        <f>C32*'E Balans VL '!Y20/100/3.6*1000000</f>
        <v>197.1334667421649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4761.8284288207797</v>
      </c>
      <c r="C15" s="33"/>
      <c r="D15" s="37">
        <f>IF( ISERROR(IND_rest_gas_kWh/1000),0,IND_rest_gas_kWh/1000)*0.902</f>
        <v>2346.8689256118842</v>
      </c>
      <c r="E15" s="33">
        <f>C37*'E Balans VL '!I15/100/3.6*1000000</f>
        <v>265.65367053770007</v>
      </c>
      <c r="F15" s="33">
        <f>C37*'E Balans VL '!L15/100/3.6*1000000+C37*'E Balans VL '!N15/100/3.6*1000000</f>
        <v>1119.4088318442209</v>
      </c>
      <c r="G15" s="34"/>
      <c r="H15" s="33"/>
      <c r="I15" s="33"/>
      <c r="J15" s="40">
        <f>C37*'E Balans VL '!D15/100/3.6*1000000+C37*'E Balans VL '!E15/100/3.6*1000000</f>
        <v>12.204865716498015</v>
      </c>
      <c r="K15" s="33"/>
      <c r="L15" s="33"/>
      <c r="M15" s="33"/>
      <c r="N15" s="33">
        <f>C37*'E Balans VL '!Y15/100/3.6*1000000</f>
        <v>934.52372014862169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7313.8606040049235</v>
      </c>
      <c r="C18" s="21">
        <f>C5+C16</f>
        <v>0</v>
      </c>
      <c r="D18" s="21">
        <f>MAX((D5+D16),0)</f>
        <v>4446.6610244523199</v>
      </c>
      <c r="E18" s="21">
        <f>MAX((E5+E16),0)</f>
        <v>815.17150848900565</v>
      </c>
      <c r="F18" s="21">
        <f>MAX((F5+F16),0)</f>
        <v>3348.6539059842066</v>
      </c>
      <c r="G18" s="21"/>
      <c r="H18" s="21"/>
      <c r="I18" s="21"/>
      <c r="J18" s="21">
        <f>MAX((J5+J16),0)</f>
        <v>12.21374301303678</v>
      </c>
      <c r="K18" s="21"/>
      <c r="L18" s="21">
        <f>MAX((L5+L16),0)</f>
        <v>0</v>
      </c>
      <c r="M18" s="21"/>
      <c r="N18" s="21">
        <f>MAX((N5+N16),0)</f>
        <v>1728.0124231009631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0.21143604742141145</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1546.4137775019781</v>
      </c>
      <c r="C22" s="23">
        <f ca="1">C18*C20</f>
        <v>0</v>
      </c>
      <c r="D22" s="23">
        <f>D18*D20</f>
        <v>898.22552693936871</v>
      </c>
      <c r="E22" s="23">
        <f>E18*E20</f>
        <v>185.04393242700428</v>
      </c>
      <c r="F22" s="23">
        <f>F18*F20</f>
        <v>894.09059289778327</v>
      </c>
      <c r="G22" s="23"/>
      <c r="H22" s="23"/>
      <c r="I22" s="23"/>
      <c r="J22" s="23">
        <f>J18*J20</f>
        <v>4.3236650266150196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59.302999999999997</v>
      </c>
      <c r="C30" s="39">
        <f>IF(ISERROR(B30*3.6/1000000/'E Balans VL '!Z18*100),0,B30*3.6/1000000/'E Balans VL '!Z18*100)</f>
        <v>5.8352638155672364E-3</v>
      </c>
      <c r="D30" s="239" t="s">
        <v>692</v>
      </c>
    </row>
    <row r="31" spans="1:18">
      <c r="A31" s="6" t="s">
        <v>33</v>
      </c>
      <c r="B31" s="37">
        <f>IF( ISERROR(IND_ander_ele_kWh/1000),0,IND_ander_ele_kWh/1000)</f>
        <v>1821.6701354890902</v>
      </c>
      <c r="C31" s="39">
        <f>IF(ISERROR(B31*3.6/1000000/'E Balans VL '!Z19*100),0,B31*3.6/1000000/'E Balans VL '!Z19*100)</f>
        <v>7.9332281268597094E-2</v>
      </c>
      <c r="D31" s="239" t="s">
        <v>692</v>
      </c>
    </row>
    <row r="32" spans="1:18">
      <c r="A32" s="173" t="s">
        <v>41</v>
      </c>
      <c r="B32" s="37">
        <f>IF( ISERROR(IND_voed_ele_kWh/1000),0,IND_voed_ele_kWh/1000)</f>
        <v>671.05903969505391</v>
      </c>
      <c r="C32" s="39">
        <f>IF(ISERROR(B32*3.6/1000000/'E Balans VL '!Z20*100),0,B32*3.6/1000000/'E Balans VL '!Z20*100)</f>
        <v>0.12732377505797352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4761.8284288207797</v>
      </c>
      <c r="C37" s="39">
        <f>IF(ISERROR(B37*3.6/1000000/'E Balans VL '!Z15*100),0,B37*3.6/1000000/'E Balans VL '!Z15*100)</f>
        <v>3.6695736774965099E-2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128.71470686993422</v>
      </c>
      <c r="C5" s="17">
        <f>'Eigen informatie GS &amp; warmtenet'!B60</f>
        <v>0</v>
      </c>
      <c r="D5" s="30">
        <f>IF(ISERROR(SUM(LB_lb_gas_kWh,LB_rest_gas_kWh)/1000),0,SUM(LB_lb_gas_kWh,LB_rest_gas_kWh)/1000)*0.902</f>
        <v>72.359655187593731</v>
      </c>
      <c r="E5" s="17">
        <f>B17*'E Balans VL '!I25/3.6*1000000/100</f>
        <v>1.6219711248178827</v>
      </c>
      <c r="F5" s="17">
        <f>B17*('E Balans VL '!L25/3.6*1000000+'E Balans VL '!N25/3.6*1000000)/100</f>
        <v>444.09798366205933</v>
      </c>
      <c r="G5" s="18"/>
      <c r="H5" s="17"/>
      <c r="I5" s="17"/>
      <c r="J5" s="17">
        <f>('E Balans VL '!D25+'E Balans VL '!E25)/3.6*1000000*landbouw!B17/100</f>
        <v>19.357228736090736</v>
      </c>
      <c r="K5" s="17"/>
      <c r="L5" s="17">
        <f>L6*(-1)</f>
        <v>0</v>
      </c>
      <c r="M5" s="17"/>
      <c r="N5" s="17">
        <f>N6*(-1)</f>
        <v>0</v>
      </c>
      <c r="O5" s="17"/>
      <c r="P5" s="17"/>
      <c r="R5" s="32"/>
    </row>
    <row r="6" spans="1:18">
      <c r="A6" s="16" t="s">
        <v>497</v>
      </c>
      <c r="B6" s="17" t="s">
        <v>211</v>
      </c>
      <c r="C6" s="17">
        <f>'lokale energieproductie'!O92+'lokale energieproductie'!O61</f>
        <v>22.5</v>
      </c>
      <c r="D6" s="312">
        <f>('lokale energieproductie'!P61+'lokale energieproductie'!P92)*(-1)</f>
        <v>-30</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128.71470686993422</v>
      </c>
      <c r="C8" s="21">
        <f>C5+C6</f>
        <v>22.5</v>
      </c>
      <c r="D8" s="21">
        <f>MAX((D5+D6),0)</f>
        <v>42.359655187593731</v>
      </c>
      <c r="E8" s="21">
        <f>MAX((E5+E6),0)</f>
        <v>1.6219711248178827</v>
      </c>
      <c r="F8" s="21">
        <f>MAX((F5+F6),0)</f>
        <v>444.09798366205933</v>
      </c>
      <c r="G8" s="21"/>
      <c r="H8" s="21"/>
      <c r="I8" s="21"/>
      <c r="J8" s="21">
        <f>MAX((J5+J6),0)</f>
        <v>19.357228736090736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0.21143604742141145</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27.214928865584486</v>
      </c>
      <c r="C12" s="23">
        <f ca="1">C8*C10</f>
        <v>5.0500000000000007</v>
      </c>
      <c r="D12" s="23">
        <f>D8*D10</f>
        <v>8.5566503478939335</v>
      </c>
      <c r="E12" s="23">
        <f>E8*E10</f>
        <v>0.36818744533365938</v>
      </c>
      <c r="F12" s="23">
        <f>F8*F10</f>
        <v>118.57416163776985</v>
      </c>
      <c r="G12" s="23"/>
      <c r="H12" s="23"/>
      <c r="I12" s="23"/>
      <c r="J12" s="23">
        <f>J8*J10</f>
        <v>6.8524589725761205</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1.7951644756280534E-2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25.390771903225456</v>
      </c>
      <c r="C26" s="249">
        <f>B26*'GWP N2O_CH4'!B5</f>
        <v>533.20620996773459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4.1192035500143414</v>
      </c>
      <c r="C27" s="249">
        <f>B27*'GWP N2O_CH4'!B5</f>
        <v>86.503274550301171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0.31412028105617212</v>
      </c>
      <c r="C28" s="249">
        <f>B28*'GWP N2O_CH4'!B4</f>
        <v>97.377287127413354</v>
      </c>
      <c r="D28" s="50"/>
    </row>
    <row r="29" spans="1:4">
      <c r="A29" s="41" t="s">
        <v>277</v>
      </c>
      <c r="B29" s="249">
        <f>B34*'ha_N2O bodem landbouw'!B4</f>
        <v>3.0557481918630645</v>
      </c>
      <c r="C29" s="249">
        <f>B29*'GWP N2O_CH4'!B4</f>
        <v>947.28193947754994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7.6298978962006676E-4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6.3307876796611434E-6</v>
      </c>
      <c r="C5" s="448" t="s">
        <v>211</v>
      </c>
      <c r="D5" s="433">
        <f>SUM(D6:D11)</f>
        <v>1.0276560296146406E-5</v>
      </c>
      <c r="E5" s="433">
        <f>SUM(E6:E11)</f>
        <v>3.1534496389886964E-4</v>
      </c>
      <c r="F5" s="446" t="s">
        <v>211</v>
      </c>
      <c r="G5" s="433">
        <f>SUM(G6:G11)</f>
        <v>8.1081786120759891E-2</v>
      </c>
      <c r="H5" s="433">
        <f>SUM(H6:H11)</f>
        <v>1.5393924112716589E-2</v>
      </c>
      <c r="I5" s="448" t="s">
        <v>211</v>
      </c>
      <c r="J5" s="448" t="s">
        <v>211</v>
      </c>
      <c r="K5" s="448" t="s">
        <v>211</v>
      </c>
      <c r="L5" s="448" t="s">
        <v>211</v>
      </c>
      <c r="M5" s="433">
        <f>SUM(M6:M11)</f>
        <v>4.3617354470484541E-3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5.1463376669260537E-6</v>
      </c>
      <c r="C6" s="887"/>
      <c r="D6" s="887">
        <f>vkm_2011_GW_PW*SUMIFS(TableVerdeelsleutelVkm[CNG],TableVerdeelsleutelVkm[Voertuigtype],"Lichte voertuigen")*SUMIFS(TableECFTransport[EnergieConsumptieFactor (PJ per km)],TableECFTransport[Index],CONCATENATE($A6,"_CNG_CNG"))</f>
        <v>7.2882206602503363E-6</v>
      </c>
      <c r="E6" s="887">
        <f>vkm_2011_GW_PW*SUMIFS(TableVerdeelsleutelVkm[LPG],TableVerdeelsleutelVkm[Voertuigtype],"Lichte voertuigen")*SUMIFS(TableECFTransport[EnergieConsumptieFactor (PJ per km)],TableECFTransport[Index],CONCATENATE($A6,"_LPG_LPG"))</f>
        <v>2.2889901748261737E-4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4.1139421163504185E-2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1.1023638933330793E-2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2.3600235140842029E-3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2.5039233059763796E-2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8.8961799303519128E-6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1.1299413442802751E-3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1.1844500127350895E-6</v>
      </c>
      <c r="C8" s="887"/>
      <c r="D8" s="436">
        <f>vkm_2011_NGW_PW*SUMIFS(TableVerdeelsleutelVkm[CNG],TableVerdeelsleutelVkm[Voertuigtype],"Lichte voertuigen")*SUMIFS(TableECFTransport[EnergieConsumptieFactor (PJ per km)],TableECFTransport[Index],CONCATENATE($A8,"_CNG_CNG"))</f>
        <v>2.9883396358960704E-6</v>
      </c>
      <c r="E8" s="436">
        <f>vkm_2011_NGW_PW*SUMIFS(TableVerdeelsleutelVkm[LPG],TableVerdeelsleutelVkm[Voertuigtype],"Lichte voertuigen")*SUMIFS(TableECFTransport[EnergieConsumptieFactor (PJ per km)],TableECFTransport[Index],CONCATENATE($A8,"_LPG_LPG"))</f>
        <v>8.6445946416252296E-5</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1.4653426183602975E-2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4.3613050465525528E-3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8.6050237801988153E-4</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2.4970571388893676E-4</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8.3952902891246372E-8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1.1268210664094966E-5</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1.7585521332392064</v>
      </c>
      <c r="C14" s="21"/>
      <c r="D14" s="21">
        <f t="shared" ref="D14:M14" si="0">((D5)*10^9/3600)+D12</f>
        <v>2.8546000822628907</v>
      </c>
      <c r="E14" s="21">
        <f t="shared" si="0"/>
        <v>87.595823305241566</v>
      </c>
      <c r="F14" s="21"/>
      <c r="G14" s="21">
        <f t="shared" si="0"/>
        <v>22522.718366877747</v>
      </c>
      <c r="H14" s="21">
        <f t="shared" si="0"/>
        <v>4276.0900313101638</v>
      </c>
      <c r="I14" s="21"/>
      <c r="J14" s="21"/>
      <c r="K14" s="21"/>
      <c r="L14" s="21"/>
      <c r="M14" s="21">
        <f t="shared" si="0"/>
        <v>1211.5931797356816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0.21143604742141145</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0.3718213122365891</v>
      </c>
      <c r="C18" s="23"/>
      <c r="D18" s="23">
        <f t="shared" ref="D18:M18" si="1">D14*D16</f>
        <v>0.57662921661710398</v>
      </c>
      <c r="E18" s="23">
        <f t="shared" si="1"/>
        <v>19.884251890289836</v>
      </c>
      <c r="F18" s="23"/>
      <c r="G18" s="23">
        <f t="shared" si="1"/>
        <v>6013.5658039563586</v>
      </c>
      <c r="H18" s="23">
        <f t="shared" si="1"/>
        <v>1064.7464177962308</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1.2226086056938276E-3</v>
      </c>
      <c r="C50" s="323">
        <f t="shared" ref="C50:P50" si="2">SUM(C51:C52)</f>
        <v>0</v>
      </c>
      <c r="D50" s="323">
        <f t="shared" si="2"/>
        <v>0</v>
      </c>
      <c r="E50" s="323">
        <f t="shared" si="2"/>
        <v>0</v>
      </c>
      <c r="F50" s="323">
        <f t="shared" si="2"/>
        <v>0</v>
      </c>
      <c r="G50" s="323">
        <f t="shared" si="2"/>
        <v>5.0623915981696625E-3</v>
      </c>
      <c r="H50" s="323">
        <f t="shared" si="2"/>
        <v>0</v>
      </c>
      <c r="I50" s="323">
        <f t="shared" si="2"/>
        <v>0</v>
      </c>
      <c r="J50" s="323">
        <f t="shared" si="2"/>
        <v>0</v>
      </c>
      <c r="K50" s="323">
        <f t="shared" si="2"/>
        <v>0</v>
      </c>
      <c r="L50" s="323">
        <f t="shared" si="2"/>
        <v>0</v>
      </c>
      <c r="M50" s="323">
        <f t="shared" si="2"/>
        <v>2.2513693655712864E-4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5.0623915981696625E-3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2.2513693655712864E-4</v>
      </c>
      <c r="N51" s="325"/>
      <c r="O51" s="325"/>
      <c r="P51" s="328"/>
    </row>
    <row r="52" spans="1:18">
      <c r="A52" s="4" t="s">
        <v>330</v>
      </c>
      <c r="B52" s="329">
        <f>vkm_2011_tram*SUMIFS(TableECFTransport[EnergieConsumptieFactor (PJ per km)],TableECFTransport[Index],"Tram_gemiddeld_Electric_Electric")</f>
        <v>1.2226086056938276E-3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339.61350158161878</v>
      </c>
      <c r="C54" s="21">
        <f t="shared" ref="C54:P54" si="3">(C50)*10^9/3600</f>
        <v>0</v>
      </c>
      <c r="D54" s="21">
        <f t="shared" si="3"/>
        <v>0</v>
      </c>
      <c r="E54" s="21">
        <f t="shared" si="3"/>
        <v>0</v>
      </c>
      <c r="F54" s="21">
        <f t="shared" si="3"/>
        <v>0</v>
      </c>
      <c r="G54" s="21">
        <f t="shared" si="3"/>
        <v>1406.219888380462</v>
      </c>
      <c r="H54" s="21">
        <f t="shared" si="3"/>
        <v>0</v>
      </c>
      <c r="I54" s="21">
        <f t="shared" si="3"/>
        <v>0</v>
      </c>
      <c r="J54" s="21">
        <f t="shared" si="3"/>
        <v>0</v>
      </c>
      <c r="K54" s="21">
        <f t="shared" si="3"/>
        <v>0</v>
      </c>
      <c r="L54" s="21">
        <f t="shared" si="3"/>
        <v>0</v>
      </c>
      <c r="M54" s="21">
        <f t="shared" si="3"/>
        <v>62.538037932535737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0.21143604742141145</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71.806536425362737</v>
      </c>
      <c r="C58" s="23">
        <f t="shared" ref="C58:P58" ca="1" si="4">C54*C56</f>
        <v>0</v>
      </c>
      <c r="D58" s="23">
        <f t="shared" si="4"/>
        <v>0</v>
      </c>
      <c r="E58" s="23">
        <f t="shared" si="4"/>
        <v>0</v>
      </c>
      <c r="F58" s="23">
        <f t="shared" si="4"/>
        <v>0</v>
      </c>
      <c r="G58" s="23">
        <f t="shared" si="4"/>
        <v>375.46071019758335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19327.149553658714</v>
      </c>
      <c r="D10" s="690">
        <f ca="1">tertiair!C16</f>
        <v>0</v>
      </c>
      <c r="E10" s="690">
        <f ca="1">tertiair!D16</f>
        <v>16881.563637758667</v>
      </c>
      <c r="F10" s="690">
        <f>tertiair!E16</f>
        <v>489.13899541205745</v>
      </c>
      <c r="G10" s="690">
        <f ca="1">tertiair!F16</f>
        <v>3920.6445493263318</v>
      </c>
      <c r="H10" s="690">
        <f>tertiair!G16</f>
        <v>0</v>
      </c>
      <c r="I10" s="690">
        <f>tertiair!H16</f>
        <v>0</v>
      </c>
      <c r="J10" s="690">
        <f>tertiair!I16</f>
        <v>0</v>
      </c>
      <c r="K10" s="690">
        <f>tertiair!J16</f>
        <v>0</v>
      </c>
      <c r="L10" s="690">
        <f>tertiair!K16</f>
        <v>0</v>
      </c>
      <c r="M10" s="690">
        <f ca="1">tertiair!L16</f>
        <v>0</v>
      </c>
      <c r="N10" s="690">
        <f>tertiair!M16</f>
        <v>0</v>
      </c>
      <c r="O10" s="690">
        <f ca="1">tertiair!N16</f>
        <v>498.34108924470172</v>
      </c>
      <c r="P10" s="690">
        <f>tertiair!O16</f>
        <v>3.1266666666666669</v>
      </c>
      <c r="Q10" s="691">
        <f>tertiair!P16</f>
        <v>19.066666666666666</v>
      </c>
      <c r="R10" s="693">
        <f ca="1">SUM(C10:Q10)</f>
        <v>41139.0311587338</v>
      </c>
      <c r="S10" s="67"/>
    </row>
    <row r="11" spans="1:19" s="458" customFormat="1">
      <c r="A11" s="805" t="s">
        <v>225</v>
      </c>
      <c r="B11" s="810"/>
      <c r="C11" s="690">
        <f>huishoudens!B8</f>
        <v>38985.288613404693</v>
      </c>
      <c r="D11" s="690">
        <f>huishoudens!C8</f>
        <v>0</v>
      </c>
      <c r="E11" s="690">
        <f>huishoudens!D8</f>
        <v>69537.062291834969</v>
      </c>
      <c r="F11" s="690">
        <f>huishoudens!E8</f>
        <v>1418.9287409543456</v>
      </c>
      <c r="G11" s="690">
        <f>huishoudens!F8</f>
        <v>0</v>
      </c>
      <c r="H11" s="690">
        <f>huishoudens!G8</f>
        <v>0</v>
      </c>
      <c r="I11" s="690">
        <f>huishoudens!H8</f>
        <v>0</v>
      </c>
      <c r="J11" s="690">
        <f>huishoudens!I8</f>
        <v>0</v>
      </c>
      <c r="K11" s="690">
        <f>huishoudens!J8</f>
        <v>0</v>
      </c>
      <c r="L11" s="690">
        <f>huishoudens!K8</f>
        <v>0</v>
      </c>
      <c r="M11" s="690">
        <f>huishoudens!L8</f>
        <v>0</v>
      </c>
      <c r="N11" s="690">
        <f>huishoudens!M8</f>
        <v>0</v>
      </c>
      <c r="O11" s="690">
        <f>huishoudens!N8</f>
        <v>6001.4429509138026</v>
      </c>
      <c r="P11" s="690">
        <f>huishoudens!O8</f>
        <v>98.490000000000009</v>
      </c>
      <c r="Q11" s="691">
        <f>huishoudens!P8</f>
        <v>400.4</v>
      </c>
      <c r="R11" s="693">
        <f>SUM(C11:Q11)</f>
        <v>116441.61259710781</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7313.8606040049235</v>
      </c>
      <c r="D13" s="690">
        <f>industrie!C18</f>
        <v>0</v>
      </c>
      <c r="E13" s="690">
        <f>industrie!D18</f>
        <v>4446.6610244523199</v>
      </c>
      <c r="F13" s="690">
        <f>industrie!E18</f>
        <v>815.17150848900565</v>
      </c>
      <c r="G13" s="690">
        <f>industrie!F18</f>
        <v>3348.6539059842066</v>
      </c>
      <c r="H13" s="690">
        <f>industrie!G18</f>
        <v>0</v>
      </c>
      <c r="I13" s="690">
        <f>industrie!H18</f>
        <v>0</v>
      </c>
      <c r="J13" s="690">
        <f>industrie!I18</f>
        <v>0</v>
      </c>
      <c r="K13" s="690">
        <f>industrie!J18</f>
        <v>12.21374301303678</v>
      </c>
      <c r="L13" s="690">
        <f>industrie!K18</f>
        <v>0</v>
      </c>
      <c r="M13" s="690">
        <f>industrie!L18</f>
        <v>0</v>
      </c>
      <c r="N13" s="690">
        <f>industrie!M18</f>
        <v>0</v>
      </c>
      <c r="O13" s="690">
        <f>industrie!N18</f>
        <v>1728.0124231009631</v>
      </c>
      <c r="P13" s="690">
        <f>industrie!O18</f>
        <v>0</v>
      </c>
      <c r="Q13" s="691">
        <f>industrie!P18</f>
        <v>0</v>
      </c>
      <c r="R13" s="693">
        <f>SUM(C13:Q13)</f>
        <v>17664.573209044458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65626.298771068323</v>
      </c>
      <c r="D16" s="725">
        <f t="shared" ref="D16:R16" ca="1" si="0">SUM(D9:D15)</f>
        <v>0</v>
      </c>
      <c r="E16" s="725">
        <f t="shared" ca="1" si="0"/>
        <v>90865.286954045951</v>
      </c>
      <c r="F16" s="725">
        <f t="shared" si="0"/>
        <v>2723.2392448554087</v>
      </c>
      <c r="G16" s="725">
        <f t="shared" ca="1" si="0"/>
        <v>7269.298455310538</v>
      </c>
      <c r="H16" s="725">
        <f t="shared" si="0"/>
        <v>0</v>
      </c>
      <c r="I16" s="725">
        <f t="shared" si="0"/>
        <v>0</v>
      </c>
      <c r="J16" s="725">
        <f t="shared" si="0"/>
        <v>0</v>
      </c>
      <c r="K16" s="725">
        <f t="shared" si="0"/>
        <v>12.21374301303678</v>
      </c>
      <c r="L16" s="725">
        <f t="shared" si="0"/>
        <v>0</v>
      </c>
      <c r="M16" s="725">
        <f t="shared" ca="1" si="0"/>
        <v>0</v>
      </c>
      <c r="N16" s="725">
        <f t="shared" si="0"/>
        <v>0</v>
      </c>
      <c r="O16" s="725">
        <f t="shared" ca="1" si="0"/>
        <v>8227.7964632594667</v>
      </c>
      <c r="P16" s="725">
        <f t="shared" si="0"/>
        <v>101.61666666666667</v>
      </c>
      <c r="Q16" s="725">
        <f t="shared" si="0"/>
        <v>419.46666666666664</v>
      </c>
      <c r="R16" s="725">
        <f t="shared" ca="1" si="0"/>
        <v>175245.21696488609</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339.61350158161878</v>
      </c>
      <c r="D19" s="690">
        <f>transport!C54</f>
        <v>0</v>
      </c>
      <c r="E19" s="690">
        <f>transport!D54</f>
        <v>0</v>
      </c>
      <c r="F19" s="690">
        <f>transport!E54</f>
        <v>0</v>
      </c>
      <c r="G19" s="690">
        <f>transport!F54</f>
        <v>0</v>
      </c>
      <c r="H19" s="690">
        <f>transport!G54</f>
        <v>1406.219888380462</v>
      </c>
      <c r="I19" s="690">
        <f>transport!H54</f>
        <v>0</v>
      </c>
      <c r="J19" s="690">
        <f>transport!I54</f>
        <v>0</v>
      </c>
      <c r="K19" s="690">
        <f>transport!J54</f>
        <v>0</v>
      </c>
      <c r="L19" s="690">
        <f>transport!K54</f>
        <v>0</v>
      </c>
      <c r="M19" s="690">
        <f>transport!L54</f>
        <v>0</v>
      </c>
      <c r="N19" s="690">
        <f>transport!M54</f>
        <v>62.538037932535737</v>
      </c>
      <c r="O19" s="690">
        <f>transport!N54</f>
        <v>0</v>
      </c>
      <c r="P19" s="690">
        <f>transport!O54</f>
        <v>0</v>
      </c>
      <c r="Q19" s="691">
        <f>transport!P54</f>
        <v>0</v>
      </c>
      <c r="R19" s="693">
        <f>SUM(C19:Q19)</f>
        <v>1808.3714278946163</v>
      </c>
      <c r="S19" s="67"/>
    </row>
    <row r="20" spans="1:19" s="458" customFormat="1">
      <c r="A20" s="805" t="s">
        <v>307</v>
      </c>
      <c r="B20" s="810"/>
      <c r="C20" s="690">
        <f>transport!B14</f>
        <v>1.7585521332392064</v>
      </c>
      <c r="D20" s="690">
        <f>transport!C14</f>
        <v>0</v>
      </c>
      <c r="E20" s="690">
        <f>transport!D14</f>
        <v>2.8546000822628907</v>
      </c>
      <c r="F20" s="690">
        <f>transport!E14</f>
        <v>87.595823305241566</v>
      </c>
      <c r="G20" s="690">
        <f>transport!F14</f>
        <v>0</v>
      </c>
      <c r="H20" s="690">
        <f>transport!G14</f>
        <v>22522.718366877747</v>
      </c>
      <c r="I20" s="690">
        <f>transport!H14</f>
        <v>4276.0900313101638</v>
      </c>
      <c r="J20" s="690">
        <f>transport!I14</f>
        <v>0</v>
      </c>
      <c r="K20" s="690">
        <f>transport!J14</f>
        <v>0</v>
      </c>
      <c r="L20" s="690">
        <f>transport!K14</f>
        <v>0</v>
      </c>
      <c r="M20" s="690">
        <f>transport!L14</f>
        <v>0</v>
      </c>
      <c r="N20" s="690">
        <f>transport!M14</f>
        <v>1211.5931797356816</v>
      </c>
      <c r="O20" s="690">
        <f>transport!N14</f>
        <v>0</v>
      </c>
      <c r="P20" s="690">
        <f>transport!O14</f>
        <v>0</v>
      </c>
      <c r="Q20" s="691">
        <f>transport!P14</f>
        <v>0</v>
      </c>
      <c r="R20" s="693">
        <f>SUM(C20:Q20)</f>
        <v>28102.610553444338</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341.372053714858</v>
      </c>
      <c r="D22" s="808">
        <f t="shared" ref="D22:R22" si="1">SUM(D18:D21)</f>
        <v>0</v>
      </c>
      <c r="E22" s="808">
        <f t="shared" si="1"/>
        <v>2.8546000822628907</v>
      </c>
      <c r="F22" s="808">
        <f t="shared" si="1"/>
        <v>87.595823305241566</v>
      </c>
      <c r="G22" s="808">
        <f t="shared" si="1"/>
        <v>0</v>
      </c>
      <c r="H22" s="808">
        <f t="shared" si="1"/>
        <v>23928.93825525821</v>
      </c>
      <c r="I22" s="808">
        <f t="shared" si="1"/>
        <v>4276.0900313101638</v>
      </c>
      <c r="J22" s="808">
        <f t="shared" si="1"/>
        <v>0</v>
      </c>
      <c r="K22" s="808">
        <f t="shared" si="1"/>
        <v>0</v>
      </c>
      <c r="L22" s="808">
        <f t="shared" si="1"/>
        <v>0</v>
      </c>
      <c r="M22" s="808">
        <f t="shared" si="1"/>
        <v>0</v>
      </c>
      <c r="N22" s="808">
        <f t="shared" si="1"/>
        <v>1274.1312176682172</v>
      </c>
      <c r="O22" s="808">
        <f t="shared" si="1"/>
        <v>0</v>
      </c>
      <c r="P22" s="808">
        <f t="shared" si="1"/>
        <v>0</v>
      </c>
      <c r="Q22" s="808">
        <f t="shared" si="1"/>
        <v>0</v>
      </c>
      <c r="R22" s="808">
        <f t="shared" si="1"/>
        <v>29910.981981338955</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128.71470686993422</v>
      </c>
      <c r="D24" s="690">
        <f>+landbouw!C8</f>
        <v>22.5</v>
      </c>
      <c r="E24" s="690">
        <f>+landbouw!D8</f>
        <v>42.359655187593731</v>
      </c>
      <c r="F24" s="690">
        <f>+landbouw!E8</f>
        <v>1.6219711248178827</v>
      </c>
      <c r="G24" s="690">
        <f>+landbouw!F8</f>
        <v>444.09798366205933</v>
      </c>
      <c r="H24" s="690">
        <f>+landbouw!G8</f>
        <v>0</v>
      </c>
      <c r="I24" s="690">
        <f>+landbouw!H8</f>
        <v>0</v>
      </c>
      <c r="J24" s="690">
        <f>+landbouw!I8</f>
        <v>0</v>
      </c>
      <c r="K24" s="690">
        <f>+landbouw!J8</f>
        <v>19.357228736090736</v>
      </c>
      <c r="L24" s="690">
        <f>+landbouw!K8</f>
        <v>0</v>
      </c>
      <c r="M24" s="690">
        <f>+landbouw!L8</f>
        <v>0</v>
      </c>
      <c r="N24" s="690">
        <f>+landbouw!M8</f>
        <v>0</v>
      </c>
      <c r="O24" s="690">
        <f>+landbouw!N8</f>
        <v>0</v>
      </c>
      <c r="P24" s="690">
        <f>+landbouw!O8</f>
        <v>0</v>
      </c>
      <c r="Q24" s="691">
        <f>+landbouw!P8</f>
        <v>0</v>
      </c>
      <c r="R24" s="693">
        <f>SUM(C24:Q24)</f>
        <v>658.65154558049585</v>
      </c>
      <c r="S24" s="67"/>
    </row>
    <row r="25" spans="1:19" s="458" customFormat="1" ht="15" thickBot="1">
      <c r="A25" s="827" t="s">
        <v>872</v>
      </c>
      <c r="B25" s="1004"/>
      <c r="C25" s="1005">
        <f>IF(Onbekend_ele_kWh="---",0,Onbekend_ele_kWh)/1000+IF(REST_rest_ele_kWh="---",0,REST_rest_ele_kWh)/1000</f>
        <v>1469.91771902295</v>
      </c>
      <c r="D25" s="1005"/>
      <c r="E25" s="1005">
        <f>IF(onbekend_gas_kWh="---",0,onbekend_gas_kWh)/1000+IF(REST_rest_gas_kWh="---",0,REST_rest_gas_kWh)/1000</f>
        <v>2431.652210365</v>
      </c>
      <c r="F25" s="1005"/>
      <c r="G25" s="1005"/>
      <c r="H25" s="1005"/>
      <c r="I25" s="1005"/>
      <c r="J25" s="1005"/>
      <c r="K25" s="1005"/>
      <c r="L25" s="1005"/>
      <c r="M25" s="1005"/>
      <c r="N25" s="1005"/>
      <c r="O25" s="1005"/>
      <c r="P25" s="1005"/>
      <c r="Q25" s="1006"/>
      <c r="R25" s="693">
        <f>SUM(C25:Q25)</f>
        <v>3901.5699293879497</v>
      </c>
      <c r="S25" s="67"/>
    </row>
    <row r="26" spans="1:19" s="458" customFormat="1" ht="15.75" thickBot="1">
      <c r="A26" s="698" t="s">
        <v>873</v>
      </c>
      <c r="B26" s="813"/>
      <c r="C26" s="808">
        <f>SUM(C24:C25)</f>
        <v>1598.6324258928842</v>
      </c>
      <c r="D26" s="808">
        <f t="shared" ref="D26:R26" si="2">SUM(D24:D25)</f>
        <v>22.5</v>
      </c>
      <c r="E26" s="808">
        <f t="shared" si="2"/>
        <v>2474.0118655525939</v>
      </c>
      <c r="F26" s="808">
        <f t="shared" si="2"/>
        <v>1.6219711248178827</v>
      </c>
      <c r="G26" s="808">
        <f t="shared" si="2"/>
        <v>444.09798366205933</v>
      </c>
      <c r="H26" s="808">
        <f t="shared" si="2"/>
        <v>0</v>
      </c>
      <c r="I26" s="808">
        <f t="shared" si="2"/>
        <v>0</v>
      </c>
      <c r="J26" s="808">
        <f t="shared" si="2"/>
        <v>0</v>
      </c>
      <c r="K26" s="808">
        <f t="shared" si="2"/>
        <v>19.357228736090736</v>
      </c>
      <c r="L26" s="808">
        <f t="shared" si="2"/>
        <v>0</v>
      </c>
      <c r="M26" s="808">
        <f t="shared" si="2"/>
        <v>0</v>
      </c>
      <c r="N26" s="808">
        <f t="shared" si="2"/>
        <v>0</v>
      </c>
      <c r="O26" s="808">
        <f t="shared" si="2"/>
        <v>0</v>
      </c>
      <c r="P26" s="808">
        <f t="shared" si="2"/>
        <v>0</v>
      </c>
      <c r="Q26" s="808">
        <f t="shared" si="2"/>
        <v>0</v>
      </c>
      <c r="R26" s="808">
        <f t="shared" si="2"/>
        <v>4560.2214749684454</v>
      </c>
      <c r="S26" s="67"/>
    </row>
    <row r="27" spans="1:19" s="458" customFormat="1" ht="17.25" thickTop="1" thickBot="1">
      <c r="A27" s="699" t="s">
        <v>116</v>
      </c>
      <c r="B27" s="800"/>
      <c r="C27" s="700">
        <f ca="1">C22+C16+C26</f>
        <v>67566.303250676065</v>
      </c>
      <c r="D27" s="700">
        <f t="shared" ref="D27:R27" ca="1" si="3">D22+D16+D26</f>
        <v>22.5</v>
      </c>
      <c r="E27" s="700">
        <f t="shared" ca="1" si="3"/>
        <v>93342.153419680806</v>
      </c>
      <c r="F27" s="700">
        <f t="shared" si="3"/>
        <v>2812.457039285468</v>
      </c>
      <c r="G27" s="700">
        <f t="shared" ca="1" si="3"/>
        <v>7713.396438972597</v>
      </c>
      <c r="H27" s="700">
        <f t="shared" si="3"/>
        <v>23928.93825525821</v>
      </c>
      <c r="I27" s="700">
        <f t="shared" si="3"/>
        <v>4276.0900313101638</v>
      </c>
      <c r="J27" s="700">
        <f t="shared" si="3"/>
        <v>0</v>
      </c>
      <c r="K27" s="700">
        <f t="shared" si="3"/>
        <v>31.570971749127516</v>
      </c>
      <c r="L27" s="700">
        <f t="shared" si="3"/>
        <v>0</v>
      </c>
      <c r="M27" s="700">
        <f t="shared" ca="1" si="3"/>
        <v>0</v>
      </c>
      <c r="N27" s="700">
        <f t="shared" si="3"/>
        <v>1274.1312176682172</v>
      </c>
      <c r="O27" s="700">
        <f t="shared" ca="1" si="3"/>
        <v>8227.7964632594667</v>
      </c>
      <c r="P27" s="700">
        <f t="shared" si="3"/>
        <v>101.61666666666667</v>
      </c>
      <c r="Q27" s="700">
        <f t="shared" si="3"/>
        <v>419.46666666666664</v>
      </c>
      <c r="R27" s="700">
        <f t="shared" ca="1" si="3"/>
        <v>209716.4204211935</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4086.4561095480944</v>
      </c>
      <c r="D40" s="690">
        <f ca="1">tertiair!C20</f>
        <v>0</v>
      </c>
      <c r="E40" s="690">
        <f ca="1">tertiair!D20</f>
        <v>3410.0758548272511</v>
      </c>
      <c r="F40" s="690">
        <f>tertiair!E20</f>
        <v>111.03455195853705</v>
      </c>
      <c r="G40" s="690">
        <f ca="1">tertiair!F20</f>
        <v>1046.8120946701306</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8654.3786110040128</v>
      </c>
    </row>
    <row r="41" spans="1:18">
      <c r="A41" s="818" t="s">
        <v>225</v>
      </c>
      <c r="B41" s="825"/>
      <c r="C41" s="690">
        <f ca="1">huishoudens!B12</f>
        <v>8242.8953320012461</v>
      </c>
      <c r="D41" s="690">
        <f ca="1">huishoudens!C12</f>
        <v>0</v>
      </c>
      <c r="E41" s="690">
        <f>huishoudens!D12</f>
        <v>14046.486582950665</v>
      </c>
      <c r="F41" s="690">
        <f>huishoudens!E12</f>
        <v>322.09682419663648</v>
      </c>
      <c r="G41" s="690">
        <f>huishoudens!F12</f>
        <v>0</v>
      </c>
      <c r="H41" s="690">
        <f>huishoudens!G12</f>
        <v>0</v>
      </c>
      <c r="I41" s="690">
        <f>huishoudens!H12</f>
        <v>0</v>
      </c>
      <c r="J41" s="690">
        <f>huishoudens!I12</f>
        <v>0</v>
      </c>
      <c r="K41" s="690">
        <f>huishoudens!J12</f>
        <v>0</v>
      </c>
      <c r="L41" s="690">
        <f>huishoudens!K12</f>
        <v>0</v>
      </c>
      <c r="M41" s="690">
        <f>huishoudens!L12</f>
        <v>0</v>
      </c>
      <c r="N41" s="690">
        <f>huishoudens!M12</f>
        <v>0</v>
      </c>
      <c r="O41" s="690">
        <f>huishoudens!N12</f>
        <v>0</v>
      </c>
      <c r="P41" s="690">
        <f>huishoudens!O12</f>
        <v>0</v>
      </c>
      <c r="Q41" s="767">
        <f>huishoudens!P12</f>
        <v>0</v>
      </c>
      <c r="R41" s="846">
        <f t="shared" ca="1" si="4"/>
        <v>22611.478739148548</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1546.4137775019781</v>
      </c>
      <c r="D43" s="690">
        <f ca="1">industrie!C22</f>
        <v>0</v>
      </c>
      <c r="E43" s="690">
        <f>industrie!D22</f>
        <v>898.22552693936871</v>
      </c>
      <c r="F43" s="690">
        <f>industrie!E22</f>
        <v>185.04393242700428</v>
      </c>
      <c r="G43" s="690">
        <f>industrie!F22</f>
        <v>894.09059289778327</v>
      </c>
      <c r="H43" s="690">
        <f>industrie!G22</f>
        <v>0</v>
      </c>
      <c r="I43" s="690">
        <f>industrie!H22</f>
        <v>0</v>
      </c>
      <c r="J43" s="690">
        <f>industrie!I22</f>
        <v>0</v>
      </c>
      <c r="K43" s="690">
        <f>industrie!J22</f>
        <v>4.3236650266150196</v>
      </c>
      <c r="L43" s="690">
        <f>industrie!K22</f>
        <v>0</v>
      </c>
      <c r="M43" s="690">
        <f>industrie!L22</f>
        <v>0</v>
      </c>
      <c r="N43" s="690">
        <f>industrie!M22</f>
        <v>0</v>
      </c>
      <c r="O43" s="690">
        <f>industrie!N22</f>
        <v>0</v>
      </c>
      <c r="P43" s="690">
        <f>industrie!O22</f>
        <v>0</v>
      </c>
      <c r="Q43" s="767">
        <f>industrie!P22</f>
        <v>0</v>
      </c>
      <c r="R43" s="845">
        <f t="shared" ca="1" si="4"/>
        <v>3528.0974947927489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13875.765219051318</v>
      </c>
      <c r="D46" s="725">
        <f t="shared" ref="D46:Q46" ca="1" si="5">SUM(D39:D45)</f>
        <v>0</v>
      </c>
      <c r="E46" s="725">
        <f t="shared" ca="1" si="5"/>
        <v>18354.787964717285</v>
      </c>
      <c r="F46" s="725">
        <f t="shared" si="5"/>
        <v>618.17530858217788</v>
      </c>
      <c r="G46" s="725">
        <f t="shared" ca="1" si="5"/>
        <v>1940.9026875679137</v>
      </c>
      <c r="H46" s="725">
        <f t="shared" si="5"/>
        <v>0</v>
      </c>
      <c r="I46" s="725">
        <f t="shared" si="5"/>
        <v>0</v>
      </c>
      <c r="J46" s="725">
        <f t="shared" si="5"/>
        <v>0</v>
      </c>
      <c r="K46" s="725">
        <f t="shared" si="5"/>
        <v>4.3236650266150196</v>
      </c>
      <c r="L46" s="725">
        <f t="shared" si="5"/>
        <v>0</v>
      </c>
      <c r="M46" s="725">
        <f t="shared" ca="1" si="5"/>
        <v>0</v>
      </c>
      <c r="N46" s="725">
        <f t="shared" si="5"/>
        <v>0</v>
      </c>
      <c r="O46" s="725">
        <f t="shared" ca="1" si="5"/>
        <v>0</v>
      </c>
      <c r="P46" s="725">
        <f t="shared" si="5"/>
        <v>0</v>
      </c>
      <c r="Q46" s="725">
        <f t="shared" si="5"/>
        <v>0</v>
      </c>
      <c r="R46" s="725">
        <f ca="1">SUM(R39:R45)</f>
        <v>34793.954844945307</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71.806536425362737</v>
      </c>
      <c r="D49" s="690">
        <f ca="1">transport!C58</f>
        <v>0</v>
      </c>
      <c r="E49" s="690">
        <f>transport!D58</f>
        <v>0</v>
      </c>
      <c r="F49" s="690">
        <f>transport!E58</f>
        <v>0</v>
      </c>
      <c r="G49" s="690">
        <f>transport!F58</f>
        <v>0</v>
      </c>
      <c r="H49" s="690">
        <f>transport!G58</f>
        <v>375.46071019758335</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447.26724662294612</v>
      </c>
    </row>
    <row r="50" spans="1:18">
      <c r="A50" s="821" t="s">
        <v>307</v>
      </c>
      <c r="B50" s="831"/>
      <c r="C50" s="696">
        <f ca="1">transport!B18</f>
        <v>0.3718213122365891</v>
      </c>
      <c r="D50" s="696">
        <f>transport!C18</f>
        <v>0</v>
      </c>
      <c r="E50" s="696">
        <f>transport!D18</f>
        <v>0.57662921661710398</v>
      </c>
      <c r="F50" s="696">
        <f>transport!E18</f>
        <v>19.884251890289836</v>
      </c>
      <c r="G50" s="696">
        <f>transport!F18</f>
        <v>0</v>
      </c>
      <c r="H50" s="696">
        <f>transport!G18</f>
        <v>6013.5658039563586</v>
      </c>
      <c r="I50" s="696">
        <f>transport!H18</f>
        <v>1064.7464177962308</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7099.1449241717337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72.178357737599327</v>
      </c>
      <c r="D52" s="725">
        <f t="shared" ref="D52:Q52" ca="1" si="6">SUM(D48:D51)</f>
        <v>0</v>
      </c>
      <c r="E52" s="725">
        <f t="shared" si="6"/>
        <v>0.57662921661710398</v>
      </c>
      <c r="F52" s="725">
        <f t="shared" si="6"/>
        <v>19.884251890289836</v>
      </c>
      <c r="G52" s="725">
        <f t="shared" si="6"/>
        <v>0</v>
      </c>
      <c r="H52" s="725">
        <f t="shared" si="6"/>
        <v>6389.0265141539421</v>
      </c>
      <c r="I52" s="725">
        <f t="shared" si="6"/>
        <v>1064.7464177962308</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7546.4121707946797</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27.214928865584486</v>
      </c>
      <c r="D54" s="696">
        <f ca="1">+landbouw!C12</f>
        <v>5.0500000000000007</v>
      </c>
      <c r="E54" s="696">
        <f>+landbouw!D12</f>
        <v>8.5566503478939335</v>
      </c>
      <c r="F54" s="696">
        <f>+landbouw!E12</f>
        <v>0.36818744533365938</v>
      </c>
      <c r="G54" s="696">
        <f>+landbouw!F12</f>
        <v>118.57416163776985</v>
      </c>
      <c r="H54" s="696">
        <f>+landbouw!G12</f>
        <v>0</v>
      </c>
      <c r="I54" s="696">
        <f>+landbouw!H12</f>
        <v>0</v>
      </c>
      <c r="J54" s="696">
        <f>+landbouw!I12</f>
        <v>0</v>
      </c>
      <c r="K54" s="696">
        <f>+landbouw!J12</f>
        <v>6.8524589725761205</v>
      </c>
      <c r="L54" s="696">
        <f>+landbouw!K12</f>
        <v>0</v>
      </c>
      <c r="M54" s="696">
        <f>+landbouw!L12</f>
        <v>0</v>
      </c>
      <c r="N54" s="696">
        <f>+landbouw!M12</f>
        <v>0</v>
      </c>
      <c r="O54" s="696">
        <f>+landbouw!N12</f>
        <v>0</v>
      </c>
      <c r="P54" s="696">
        <f>+landbouw!O12</f>
        <v>0</v>
      </c>
      <c r="Q54" s="697">
        <f>+landbouw!P12</f>
        <v>0</v>
      </c>
      <c r="R54" s="724">
        <f ca="1">SUM(C54:Q54)</f>
        <v>166.61638726915805</v>
      </c>
    </row>
    <row r="55" spans="1:18" ht="15" thickBot="1">
      <c r="A55" s="821" t="s">
        <v>872</v>
      </c>
      <c r="B55" s="831"/>
      <c r="C55" s="696">
        <f ca="1">C25*'EF ele_warmte'!B12</f>
        <v>310.79359254490942</v>
      </c>
      <c r="D55" s="696"/>
      <c r="E55" s="696">
        <f>E25*EF_CO2_aardgas</f>
        <v>491.19374649373003</v>
      </c>
      <c r="F55" s="696"/>
      <c r="G55" s="696"/>
      <c r="H55" s="696"/>
      <c r="I55" s="696"/>
      <c r="J55" s="696"/>
      <c r="K55" s="696"/>
      <c r="L55" s="696"/>
      <c r="M55" s="696"/>
      <c r="N55" s="696"/>
      <c r="O55" s="696"/>
      <c r="P55" s="696"/>
      <c r="Q55" s="697"/>
      <c r="R55" s="724">
        <f ca="1">SUM(C55:Q55)</f>
        <v>801.98733903863945</v>
      </c>
    </row>
    <row r="56" spans="1:18" ht="15.75" thickBot="1">
      <c r="A56" s="819" t="s">
        <v>873</v>
      </c>
      <c r="B56" s="832"/>
      <c r="C56" s="725">
        <f ca="1">SUM(C54:C55)</f>
        <v>338.00852141049393</v>
      </c>
      <c r="D56" s="725">
        <f t="shared" ref="D56:Q56" ca="1" si="7">SUM(D54:D55)</f>
        <v>5.0500000000000007</v>
      </c>
      <c r="E56" s="725">
        <f t="shared" si="7"/>
        <v>499.75039684162397</v>
      </c>
      <c r="F56" s="725">
        <f t="shared" si="7"/>
        <v>0.36818744533365938</v>
      </c>
      <c r="G56" s="725">
        <f t="shared" si="7"/>
        <v>118.57416163776985</v>
      </c>
      <c r="H56" s="725">
        <f t="shared" si="7"/>
        <v>0</v>
      </c>
      <c r="I56" s="725">
        <f t="shared" si="7"/>
        <v>0</v>
      </c>
      <c r="J56" s="725">
        <f t="shared" si="7"/>
        <v>0</v>
      </c>
      <c r="K56" s="725">
        <f t="shared" si="7"/>
        <v>6.8524589725761205</v>
      </c>
      <c r="L56" s="725">
        <f t="shared" si="7"/>
        <v>0</v>
      </c>
      <c r="M56" s="725">
        <f t="shared" si="7"/>
        <v>0</v>
      </c>
      <c r="N56" s="725">
        <f t="shared" si="7"/>
        <v>0</v>
      </c>
      <c r="O56" s="725">
        <f t="shared" si="7"/>
        <v>0</v>
      </c>
      <c r="P56" s="725">
        <f t="shared" si="7"/>
        <v>0</v>
      </c>
      <c r="Q56" s="726">
        <f t="shared" si="7"/>
        <v>0</v>
      </c>
      <c r="R56" s="727">
        <f ca="1">SUM(R54:R55)</f>
        <v>968.6037263077975</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14285.952098199412</v>
      </c>
      <c r="D61" s="733">
        <f t="shared" ref="D61:Q61" ca="1" si="8">D46+D52+D56</f>
        <v>5.0500000000000007</v>
      </c>
      <c r="E61" s="733">
        <f t="shared" ca="1" si="8"/>
        <v>18855.114990775524</v>
      </c>
      <c r="F61" s="733">
        <f t="shared" si="8"/>
        <v>638.42774791780141</v>
      </c>
      <c r="G61" s="733">
        <f t="shared" ca="1" si="8"/>
        <v>2059.4768492056837</v>
      </c>
      <c r="H61" s="733">
        <f t="shared" si="8"/>
        <v>6389.0265141539421</v>
      </c>
      <c r="I61" s="733">
        <f t="shared" si="8"/>
        <v>1064.7464177962308</v>
      </c>
      <c r="J61" s="733">
        <f t="shared" si="8"/>
        <v>0</v>
      </c>
      <c r="K61" s="733">
        <f t="shared" si="8"/>
        <v>11.176123999191141</v>
      </c>
      <c r="L61" s="733">
        <f t="shared" si="8"/>
        <v>0</v>
      </c>
      <c r="M61" s="733">
        <f t="shared" ca="1" si="8"/>
        <v>0</v>
      </c>
      <c r="N61" s="733">
        <f t="shared" si="8"/>
        <v>0</v>
      </c>
      <c r="O61" s="733">
        <f t="shared" ca="1" si="8"/>
        <v>0</v>
      </c>
      <c r="P61" s="733">
        <f t="shared" si="8"/>
        <v>0</v>
      </c>
      <c r="Q61" s="733">
        <f t="shared" si="8"/>
        <v>0</v>
      </c>
      <c r="R61" s="733">
        <f ca="1">R46+R52+R56</f>
        <v>43308.970742047786</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0.21143604742141148</v>
      </c>
      <c r="D63" s="776">
        <f t="shared" ca="1" si="9"/>
        <v>0.22444444444444447</v>
      </c>
      <c r="E63" s="1011">
        <f t="shared" ca="1" si="9"/>
        <v>0.20200000000000001</v>
      </c>
      <c r="F63" s="776">
        <f t="shared" si="9"/>
        <v>0.22700000000000006</v>
      </c>
      <c r="G63" s="776">
        <f t="shared" ca="1" si="9"/>
        <v>0.26700000000000002</v>
      </c>
      <c r="H63" s="776">
        <f t="shared" si="9"/>
        <v>0.26700000000000002</v>
      </c>
      <c r="I63" s="776">
        <f t="shared" si="9"/>
        <v>0.24900000000000003</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2928.5562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4.5</v>
      </c>
      <c r="D76" s="1021">
        <f>'lokale energieproductie'!C8</f>
        <v>5</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1.01</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2928.5562</v>
      </c>
      <c r="C78" s="748">
        <f>SUM(C72:C77)</f>
        <v>4.5</v>
      </c>
      <c r="D78" s="749">
        <f t="shared" ref="D78:H78" si="10">SUM(D76:D77)</f>
        <v>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1.01</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22.5</v>
      </c>
      <c r="D87" s="770">
        <f>'lokale energieproductie'!C17</f>
        <v>25</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5.0500000000000007</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22.5</v>
      </c>
      <c r="D90" s="748">
        <f t="shared" ref="D90:H90" si="12">SUM(D87:D89)</f>
        <v>25</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5.0500000000000007</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2928.5562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4.5</v>
      </c>
      <c r="C8" s="560">
        <f>B101</f>
        <v>5</v>
      </c>
      <c r="D8" s="1028"/>
      <c r="E8" s="1028">
        <f>E101</f>
        <v>0</v>
      </c>
      <c r="F8" s="1029"/>
      <c r="G8" s="561"/>
      <c r="H8" s="1028">
        <f>I101</f>
        <v>0</v>
      </c>
      <c r="I8" s="1028">
        <f>G101+F101</f>
        <v>0</v>
      </c>
      <c r="J8" s="1028">
        <f>H101+D101+C101</f>
        <v>0</v>
      </c>
      <c r="K8" s="1028"/>
      <c r="L8" s="1028"/>
      <c r="M8" s="1028"/>
      <c r="N8" s="562"/>
      <c r="O8" s="563">
        <f>C8*$C$12+D8*$D$12+E8*$E$12+F8*$F$12+G8*$G$12+H8*$H$12+I8*$I$12+J8*$J$12</f>
        <v>1.01</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2933.0562</v>
      </c>
      <c r="C10" s="573">
        <f t="shared" ref="C10:L10" si="0">SUM(C8:C9)</f>
        <v>5</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1.01</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22.5</v>
      </c>
      <c r="C17" s="585">
        <f>B102</f>
        <v>25</v>
      </c>
      <c r="D17" s="586"/>
      <c r="E17" s="586">
        <f>E102</f>
        <v>0</v>
      </c>
      <c r="F17" s="1034"/>
      <c r="G17" s="587"/>
      <c r="H17" s="585">
        <f>I102</f>
        <v>0</v>
      </c>
      <c r="I17" s="586">
        <f>G102+F102</f>
        <v>0</v>
      </c>
      <c r="J17" s="586">
        <f>H102+D102+C102</f>
        <v>0</v>
      </c>
      <c r="K17" s="586"/>
      <c r="L17" s="586"/>
      <c r="M17" s="586"/>
      <c r="N17" s="1035"/>
      <c r="O17" s="588">
        <f>C17*$C$22+E17*$E$22+H17*$H$22+I17*$I$22+J17*$J$22+D17*$D$22+F17*$F$22+G17*$G$22+K17*$K$22+L17*$L$22</f>
        <v>5.0500000000000007</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22.5</v>
      </c>
      <c r="C20" s="572">
        <f>SUM(C17:C19)</f>
        <v>25</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5.0500000000000007</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35002</v>
      </c>
      <c r="C28" s="791">
        <v>8450</v>
      </c>
      <c r="D28" s="644" t="s">
        <v>910</v>
      </c>
      <c r="E28" s="643" t="s">
        <v>911</v>
      </c>
      <c r="F28" s="643" t="s">
        <v>912</v>
      </c>
      <c r="G28" s="643" t="s">
        <v>913</v>
      </c>
      <c r="H28" s="643" t="s">
        <v>913</v>
      </c>
      <c r="I28" s="643" t="s">
        <v>911</v>
      </c>
      <c r="J28" s="790">
        <v>40984</v>
      </c>
      <c r="K28" s="790">
        <v>41214</v>
      </c>
      <c r="L28" s="643" t="s">
        <v>914</v>
      </c>
      <c r="M28" s="643">
        <v>1</v>
      </c>
      <c r="N28" s="643">
        <v>4.5</v>
      </c>
      <c r="O28" s="643">
        <v>22.5</v>
      </c>
      <c r="P28" s="643">
        <v>30</v>
      </c>
      <c r="Q28" s="643">
        <v>0</v>
      </c>
      <c r="R28" s="643">
        <v>0</v>
      </c>
      <c r="S28" s="643">
        <v>0</v>
      </c>
      <c r="T28" s="643">
        <v>0</v>
      </c>
      <c r="U28" s="643">
        <v>0</v>
      </c>
      <c r="V28" s="643">
        <v>0</v>
      </c>
      <c r="W28" s="643">
        <v>0</v>
      </c>
      <c r="X28" s="643">
        <v>10</v>
      </c>
      <c r="Y28" s="643" t="s">
        <v>112</v>
      </c>
      <c r="Z28" s="645" t="s">
        <v>112</v>
      </c>
    </row>
    <row r="29" spans="1:26" s="597" customFormat="1" ht="12.75">
      <c r="A29" s="596"/>
      <c r="B29" s="791"/>
      <c r="C29" s="791"/>
      <c r="D29" s="644"/>
      <c r="E29" s="643"/>
      <c r="F29" s="643"/>
      <c r="G29" s="643"/>
      <c r="H29" s="643"/>
      <c r="I29" s="643"/>
      <c r="J29" s="790"/>
      <c r="K29" s="790"/>
      <c r="L29" s="643"/>
      <c r="M29" s="643"/>
      <c r="N29" s="643"/>
      <c r="O29" s="643"/>
      <c r="P29" s="643"/>
      <c r="Q29" s="643"/>
      <c r="R29" s="643"/>
      <c r="S29" s="643"/>
      <c r="T29" s="643"/>
      <c r="U29" s="643"/>
      <c r="V29" s="643"/>
      <c r="W29" s="643"/>
      <c r="X29" s="643"/>
      <c r="Y29" s="643"/>
      <c r="Z29" s="645"/>
    </row>
    <row r="30" spans="1:26" s="597" customFormat="1" ht="12.75">
      <c r="A30" s="596"/>
      <c r="B30" s="791"/>
      <c r="C30" s="791"/>
      <c r="D30" s="644"/>
      <c r="E30" s="643"/>
      <c r="F30" s="643"/>
      <c r="G30" s="643"/>
      <c r="H30" s="643"/>
      <c r="I30" s="643"/>
      <c r="J30" s="790"/>
      <c r="K30" s="790"/>
      <c r="L30" s="643"/>
      <c r="M30" s="643"/>
      <c r="N30" s="643"/>
      <c r="O30" s="643"/>
      <c r="P30" s="643"/>
      <c r="Q30" s="643"/>
      <c r="R30" s="643"/>
      <c r="S30" s="643"/>
      <c r="T30" s="643"/>
      <c r="U30" s="643"/>
      <c r="V30" s="643"/>
      <c r="W30" s="643"/>
      <c r="X30" s="643"/>
      <c r="Y30" s="643"/>
      <c r="Z30" s="645"/>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v>
      </c>
      <c r="N58" s="601">
        <f>SUM(N28:N57)</f>
        <v>4.5</v>
      </c>
      <c r="O58" s="601">
        <f t="shared" ref="O58:W58" si="2">SUM(O28:O57)</f>
        <v>22.5</v>
      </c>
      <c r="P58" s="601">
        <f t="shared" si="2"/>
        <v>30</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v>
      </c>
      <c r="N61" s="606">
        <f t="shared" si="4"/>
        <v>4.5</v>
      </c>
      <c r="O61" s="606">
        <f t="shared" si="4"/>
        <v>22.5</v>
      </c>
      <c r="P61" s="606">
        <f t="shared" si="4"/>
        <v>30</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0.83333333333333337</v>
      </c>
      <c r="C98" s="626">
        <f>IF(ISERROR(N58/(O58+N58)),0,N58/(N58+O58))</f>
        <v>0.16666666666666666</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5</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25</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38985.288613404693</v>
      </c>
      <c r="C4" s="462">
        <f>huishoudens!C8</f>
        <v>0</v>
      </c>
      <c r="D4" s="462">
        <f>huishoudens!D8</f>
        <v>69537.062291834969</v>
      </c>
      <c r="E4" s="462">
        <f>huishoudens!E8</f>
        <v>1418.9287409543456</v>
      </c>
      <c r="F4" s="462">
        <f>huishoudens!F8</f>
        <v>0</v>
      </c>
      <c r="G4" s="462">
        <f>huishoudens!G8</f>
        <v>0</v>
      </c>
      <c r="H4" s="462">
        <f>huishoudens!H8</f>
        <v>0</v>
      </c>
      <c r="I4" s="462">
        <f>huishoudens!I8</f>
        <v>0</v>
      </c>
      <c r="J4" s="462">
        <f>huishoudens!J8</f>
        <v>0</v>
      </c>
      <c r="K4" s="462">
        <f>huishoudens!K8</f>
        <v>0</v>
      </c>
      <c r="L4" s="462">
        <f>huishoudens!L8</f>
        <v>0</v>
      </c>
      <c r="M4" s="462">
        <f>huishoudens!M8</f>
        <v>0</v>
      </c>
      <c r="N4" s="462">
        <f>huishoudens!N8</f>
        <v>6001.4429509138026</v>
      </c>
      <c r="O4" s="462">
        <f>huishoudens!O8</f>
        <v>98.490000000000009</v>
      </c>
      <c r="P4" s="463">
        <f>huishoudens!P8</f>
        <v>400.4</v>
      </c>
      <c r="Q4" s="464">
        <f>SUM(B4:P4)</f>
        <v>116441.61259710781</v>
      </c>
    </row>
    <row r="5" spans="1:17">
      <c r="A5" s="461" t="s">
        <v>156</v>
      </c>
      <c r="B5" s="462">
        <f ca="1">tertiair!B16</f>
        <v>17639.320553658712</v>
      </c>
      <c r="C5" s="462">
        <f ca="1">tertiair!C16</f>
        <v>0</v>
      </c>
      <c r="D5" s="462">
        <f ca="1">tertiair!D16</f>
        <v>16881.563637758667</v>
      </c>
      <c r="E5" s="462">
        <f>tertiair!E16</f>
        <v>489.13899541205745</v>
      </c>
      <c r="F5" s="462">
        <f ca="1">tertiair!F16</f>
        <v>3920.6445493263318</v>
      </c>
      <c r="G5" s="462">
        <f>tertiair!G16</f>
        <v>0</v>
      </c>
      <c r="H5" s="462">
        <f>tertiair!H16</f>
        <v>0</v>
      </c>
      <c r="I5" s="462">
        <f>tertiair!I16</f>
        <v>0</v>
      </c>
      <c r="J5" s="462">
        <f>tertiair!J16</f>
        <v>0</v>
      </c>
      <c r="K5" s="462">
        <f>tertiair!K16</f>
        <v>0</v>
      </c>
      <c r="L5" s="462">
        <f ca="1">tertiair!L16</f>
        <v>0</v>
      </c>
      <c r="M5" s="462">
        <f>tertiair!M16</f>
        <v>0</v>
      </c>
      <c r="N5" s="462">
        <f ca="1">tertiair!N16</f>
        <v>498.34108924470172</v>
      </c>
      <c r="O5" s="462">
        <f>tertiair!O16</f>
        <v>3.1266666666666669</v>
      </c>
      <c r="P5" s="463">
        <f>tertiair!P16</f>
        <v>19.066666666666666</v>
      </c>
      <c r="Q5" s="461">
        <f t="shared" ref="Q5:Q14" ca="1" si="0">SUM(B5:P5)</f>
        <v>39451.202158733802</v>
      </c>
    </row>
    <row r="6" spans="1:17">
      <c r="A6" s="461" t="s">
        <v>194</v>
      </c>
      <c r="B6" s="462">
        <f>'openbare verlichting'!B8</f>
        <v>1687.829</v>
      </c>
      <c r="C6" s="462"/>
      <c r="D6" s="462"/>
      <c r="E6" s="462"/>
      <c r="F6" s="462"/>
      <c r="G6" s="462"/>
      <c r="H6" s="462"/>
      <c r="I6" s="462"/>
      <c r="J6" s="462"/>
      <c r="K6" s="462"/>
      <c r="L6" s="462"/>
      <c r="M6" s="462"/>
      <c r="N6" s="462"/>
      <c r="O6" s="462"/>
      <c r="P6" s="463"/>
      <c r="Q6" s="461">
        <f t="shared" si="0"/>
        <v>1687.829</v>
      </c>
    </row>
    <row r="7" spans="1:17">
      <c r="A7" s="461" t="s">
        <v>112</v>
      </c>
      <c r="B7" s="462">
        <f>landbouw!B8</f>
        <v>128.71470686993422</v>
      </c>
      <c r="C7" s="462">
        <f>landbouw!C8</f>
        <v>22.5</v>
      </c>
      <c r="D7" s="462">
        <f>landbouw!D8</f>
        <v>42.359655187593731</v>
      </c>
      <c r="E7" s="462">
        <f>landbouw!E8</f>
        <v>1.6219711248178827</v>
      </c>
      <c r="F7" s="462">
        <f>landbouw!F8</f>
        <v>444.09798366205933</v>
      </c>
      <c r="G7" s="462">
        <f>landbouw!G8</f>
        <v>0</v>
      </c>
      <c r="H7" s="462">
        <f>landbouw!H8</f>
        <v>0</v>
      </c>
      <c r="I7" s="462">
        <f>landbouw!I8</f>
        <v>0</v>
      </c>
      <c r="J7" s="462">
        <f>landbouw!J8</f>
        <v>19.357228736090736</v>
      </c>
      <c r="K7" s="462">
        <f>landbouw!K8</f>
        <v>0</v>
      </c>
      <c r="L7" s="462">
        <f>landbouw!L8</f>
        <v>0</v>
      </c>
      <c r="M7" s="462">
        <f>landbouw!M8</f>
        <v>0</v>
      </c>
      <c r="N7" s="462">
        <f>landbouw!N8</f>
        <v>0</v>
      </c>
      <c r="O7" s="462">
        <f>landbouw!O8</f>
        <v>0</v>
      </c>
      <c r="P7" s="463">
        <f>landbouw!P8</f>
        <v>0</v>
      </c>
      <c r="Q7" s="461">
        <f t="shared" si="0"/>
        <v>658.65154558049585</v>
      </c>
    </row>
    <row r="8" spans="1:17">
      <c r="A8" s="461" t="s">
        <v>657</v>
      </c>
      <c r="B8" s="462">
        <f>industrie!B18</f>
        <v>7313.8606040049235</v>
      </c>
      <c r="C8" s="462">
        <f>industrie!C18</f>
        <v>0</v>
      </c>
      <c r="D8" s="462">
        <f>industrie!D18</f>
        <v>4446.6610244523199</v>
      </c>
      <c r="E8" s="462">
        <f>industrie!E18</f>
        <v>815.17150848900565</v>
      </c>
      <c r="F8" s="462">
        <f>industrie!F18</f>
        <v>3348.6539059842066</v>
      </c>
      <c r="G8" s="462">
        <f>industrie!G18</f>
        <v>0</v>
      </c>
      <c r="H8" s="462">
        <f>industrie!H18</f>
        <v>0</v>
      </c>
      <c r="I8" s="462">
        <f>industrie!I18</f>
        <v>0</v>
      </c>
      <c r="J8" s="462">
        <f>industrie!J18</f>
        <v>12.21374301303678</v>
      </c>
      <c r="K8" s="462">
        <f>industrie!K18</f>
        <v>0</v>
      </c>
      <c r="L8" s="462">
        <f>industrie!L18</f>
        <v>0</v>
      </c>
      <c r="M8" s="462">
        <f>industrie!M18</f>
        <v>0</v>
      </c>
      <c r="N8" s="462">
        <f>industrie!N18</f>
        <v>1728.0124231009631</v>
      </c>
      <c r="O8" s="462">
        <f>industrie!O18</f>
        <v>0</v>
      </c>
      <c r="P8" s="463">
        <f>industrie!P18</f>
        <v>0</v>
      </c>
      <c r="Q8" s="461">
        <f t="shared" si="0"/>
        <v>17664.573209044458</v>
      </c>
    </row>
    <row r="9" spans="1:17" s="467" customFormat="1">
      <c r="A9" s="465" t="s">
        <v>574</v>
      </c>
      <c r="B9" s="466">
        <f>transport!B14</f>
        <v>1.7585521332392064</v>
      </c>
      <c r="C9" s="466">
        <f>transport!C14</f>
        <v>0</v>
      </c>
      <c r="D9" s="466">
        <f>transport!D14</f>
        <v>2.8546000822628907</v>
      </c>
      <c r="E9" s="466">
        <f>transport!E14</f>
        <v>87.595823305241566</v>
      </c>
      <c r="F9" s="466">
        <f>transport!F14</f>
        <v>0</v>
      </c>
      <c r="G9" s="466">
        <f>transport!G14</f>
        <v>22522.718366877747</v>
      </c>
      <c r="H9" s="466">
        <f>transport!H14</f>
        <v>4276.0900313101638</v>
      </c>
      <c r="I9" s="466">
        <f>transport!I14</f>
        <v>0</v>
      </c>
      <c r="J9" s="466">
        <f>transport!J14</f>
        <v>0</v>
      </c>
      <c r="K9" s="466">
        <f>transport!K14</f>
        <v>0</v>
      </c>
      <c r="L9" s="466">
        <f>transport!L14</f>
        <v>0</v>
      </c>
      <c r="M9" s="466">
        <f>transport!M14</f>
        <v>1211.5931797356816</v>
      </c>
      <c r="N9" s="466">
        <f>transport!N14</f>
        <v>0</v>
      </c>
      <c r="O9" s="466">
        <f>transport!O14</f>
        <v>0</v>
      </c>
      <c r="P9" s="466">
        <f>transport!P14</f>
        <v>0</v>
      </c>
      <c r="Q9" s="465">
        <f>SUM(B9:P9)</f>
        <v>28102.610553444338</v>
      </c>
    </row>
    <row r="10" spans="1:17">
      <c r="A10" s="461" t="s">
        <v>564</v>
      </c>
      <c r="B10" s="462">
        <f>transport!B54</f>
        <v>339.61350158161878</v>
      </c>
      <c r="C10" s="462">
        <f>transport!C54</f>
        <v>0</v>
      </c>
      <c r="D10" s="462">
        <f>transport!D54</f>
        <v>0</v>
      </c>
      <c r="E10" s="462">
        <f>transport!E54</f>
        <v>0</v>
      </c>
      <c r="F10" s="462">
        <f>transport!F54</f>
        <v>0</v>
      </c>
      <c r="G10" s="462">
        <f>transport!G54</f>
        <v>1406.219888380462</v>
      </c>
      <c r="H10" s="462">
        <f>transport!H54</f>
        <v>0</v>
      </c>
      <c r="I10" s="462">
        <f>transport!I54</f>
        <v>0</v>
      </c>
      <c r="J10" s="462">
        <f>transport!J54</f>
        <v>0</v>
      </c>
      <c r="K10" s="462">
        <f>transport!K54</f>
        <v>0</v>
      </c>
      <c r="L10" s="462">
        <f>transport!L54</f>
        <v>0</v>
      </c>
      <c r="M10" s="462">
        <f>transport!M54</f>
        <v>62.538037932535737</v>
      </c>
      <c r="N10" s="462">
        <f>transport!N54</f>
        <v>0</v>
      </c>
      <c r="O10" s="462">
        <f>transport!O54</f>
        <v>0</v>
      </c>
      <c r="P10" s="463">
        <f>transport!P54</f>
        <v>0</v>
      </c>
      <c r="Q10" s="461">
        <f t="shared" si="0"/>
        <v>1808.3714278946163</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1469.91771902295</v>
      </c>
      <c r="C14" s="469"/>
      <c r="D14" s="469">
        <f>'SEAP template'!E25</f>
        <v>2431.652210365</v>
      </c>
      <c r="E14" s="469"/>
      <c r="F14" s="469"/>
      <c r="G14" s="469"/>
      <c r="H14" s="469"/>
      <c r="I14" s="469"/>
      <c r="J14" s="469"/>
      <c r="K14" s="469"/>
      <c r="L14" s="469"/>
      <c r="M14" s="469"/>
      <c r="N14" s="469"/>
      <c r="O14" s="469"/>
      <c r="P14" s="470"/>
      <c r="Q14" s="461">
        <f t="shared" si="0"/>
        <v>3901.5699293879497</v>
      </c>
    </row>
    <row r="15" spans="1:17" s="474" customFormat="1">
      <c r="A15" s="471" t="s">
        <v>568</v>
      </c>
      <c r="B15" s="472">
        <f ca="1">SUM(B4:B14)</f>
        <v>67566.303250676079</v>
      </c>
      <c r="C15" s="472">
        <f t="shared" ref="C15:Q15" ca="1" si="1">SUM(C4:C14)</f>
        <v>22.5</v>
      </c>
      <c r="D15" s="472">
        <f t="shared" ca="1" si="1"/>
        <v>93342.153419680821</v>
      </c>
      <c r="E15" s="472">
        <f t="shared" si="1"/>
        <v>2812.4570392854685</v>
      </c>
      <c r="F15" s="472">
        <f t="shared" ca="1" si="1"/>
        <v>7713.396438972597</v>
      </c>
      <c r="G15" s="472">
        <f t="shared" si="1"/>
        <v>23928.93825525821</v>
      </c>
      <c r="H15" s="472">
        <f t="shared" si="1"/>
        <v>4276.0900313101638</v>
      </c>
      <c r="I15" s="472">
        <f t="shared" si="1"/>
        <v>0</v>
      </c>
      <c r="J15" s="472">
        <f t="shared" si="1"/>
        <v>31.570971749127516</v>
      </c>
      <c r="K15" s="472">
        <f t="shared" si="1"/>
        <v>0</v>
      </c>
      <c r="L15" s="472">
        <f t="shared" ca="1" si="1"/>
        <v>0</v>
      </c>
      <c r="M15" s="472">
        <f t="shared" si="1"/>
        <v>1274.1312176682172</v>
      </c>
      <c r="N15" s="472">
        <f t="shared" ca="1" si="1"/>
        <v>8227.7964632594667</v>
      </c>
      <c r="O15" s="472">
        <f t="shared" si="1"/>
        <v>101.61666666666667</v>
      </c>
      <c r="P15" s="472">
        <f t="shared" si="1"/>
        <v>419.46666666666664</v>
      </c>
      <c r="Q15" s="472">
        <f t="shared" ca="1" si="1"/>
        <v>209716.4204211935</v>
      </c>
    </row>
    <row r="17" spans="1:17">
      <c r="A17" s="475" t="s">
        <v>569</v>
      </c>
      <c r="B17" s="781">
        <f ca="1">huishoudens!B10</f>
        <v>0.21143604742141145</v>
      </c>
      <c r="C17" s="781">
        <f ca="1">huishoudens!C10</f>
        <v>0.22444444444444447</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8242.8953320012461</v>
      </c>
      <c r="C22" s="462">
        <f t="shared" ref="C22:C32" ca="1" si="3">C4*$C$17</f>
        <v>0</v>
      </c>
      <c r="D22" s="462">
        <f t="shared" ref="D22:D32" si="4">D4*$D$17</f>
        <v>14046.486582950665</v>
      </c>
      <c r="E22" s="462">
        <f t="shared" ref="E22:E32" si="5">E4*$E$17</f>
        <v>322.09682419663648</v>
      </c>
      <c r="F22" s="462">
        <f t="shared" ref="F22:F32" si="6">F4*$F$17</f>
        <v>0</v>
      </c>
      <c r="G22" s="462">
        <f t="shared" ref="G22:G32" si="7">G4*$G$17</f>
        <v>0</v>
      </c>
      <c r="H22" s="462">
        <f t="shared" ref="H22:H32" si="8">H4*$H$17</f>
        <v>0</v>
      </c>
      <c r="I22" s="462">
        <f t="shared" ref="I22:I32" si="9">I4*$I$17</f>
        <v>0</v>
      </c>
      <c r="J22" s="462">
        <f t="shared" ref="J22:J32" si="10">J4*$J$17</f>
        <v>0</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22611.478739148548</v>
      </c>
    </row>
    <row r="23" spans="1:17">
      <c r="A23" s="461" t="s">
        <v>156</v>
      </c>
      <c r="B23" s="462">
        <f t="shared" ca="1" si="2"/>
        <v>3729.5882170648611</v>
      </c>
      <c r="C23" s="462">
        <f t="shared" ca="1" si="3"/>
        <v>0</v>
      </c>
      <c r="D23" s="462">
        <f t="shared" ca="1" si="4"/>
        <v>3410.0758548272511</v>
      </c>
      <c r="E23" s="462">
        <f t="shared" si="5"/>
        <v>111.03455195853705</v>
      </c>
      <c r="F23" s="462">
        <f t="shared" ca="1" si="6"/>
        <v>1046.8120946701306</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8297.5107185207798</v>
      </c>
    </row>
    <row r="24" spans="1:17">
      <c r="A24" s="461" t="s">
        <v>194</v>
      </c>
      <c r="B24" s="462">
        <f t="shared" ca="1" si="2"/>
        <v>356.86789248323345</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356.86789248323345</v>
      </c>
    </row>
    <row r="25" spans="1:17">
      <c r="A25" s="461" t="s">
        <v>112</v>
      </c>
      <c r="B25" s="462">
        <f t="shared" ca="1" si="2"/>
        <v>27.214928865584486</v>
      </c>
      <c r="C25" s="462">
        <f t="shared" ca="1" si="3"/>
        <v>5.0500000000000007</v>
      </c>
      <c r="D25" s="462">
        <f t="shared" si="4"/>
        <v>8.5566503478939335</v>
      </c>
      <c r="E25" s="462">
        <f t="shared" si="5"/>
        <v>0.36818744533365938</v>
      </c>
      <c r="F25" s="462">
        <f t="shared" si="6"/>
        <v>118.57416163776985</v>
      </c>
      <c r="G25" s="462">
        <f t="shared" si="7"/>
        <v>0</v>
      </c>
      <c r="H25" s="462">
        <f t="shared" si="8"/>
        <v>0</v>
      </c>
      <c r="I25" s="462">
        <f t="shared" si="9"/>
        <v>0</v>
      </c>
      <c r="J25" s="462">
        <f t="shared" si="10"/>
        <v>6.8524589725761205</v>
      </c>
      <c r="K25" s="462">
        <f t="shared" si="11"/>
        <v>0</v>
      </c>
      <c r="L25" s="462">
        <f t="shared" si="12"/>
        <v>0</v>
      </c>
      <c r="M25" s="462">
        <f t="shared" si="13"/>
        <v>0</v>
      </c>
      <c r="N25" s="462">
        <f t="shared" si="14"/>
        <v>0</v>
      </c>
      <c r="O25" s="462">
        <f t="shared" si="15"/>
        <v>0</v>
      </c>
      <c r="P25" s="463">
        <f t="shared" si="16"/>
        <v>0</v>
      </c>
      <c r="Q25" s="461">
        <f t="shared" ca="1" si="17"/>
        <v>166.61638726915805</v>
      </c>
    </row>
    <row r="26" spans="1:17">
      <c r="A26" s="461" t="s">
        <v>657</v>
      </c>
      <c r="B26" s="462">
        <f t="shared" ca="1" si="2"/>
        <v>1546.4137775019781</v>
      </c>
      <c r="C26" s="462">
        <f t="shared" ca="1" si="3"/>
        <v>0</v>
      </c>
      <c r="D26" s="462">
        <f t="shared" si="4"/>
        <v>898.22552693936871</v>
      </c>
      <c r="E26" s="462">
        <f t="shared" si="5"/>
        <v>185.04393242700428</v>
      </c>
      <c r="F26" s="462">
        <f t="shared" si="6"/>
        <v>894.09059289778327</v>
      </c>
      <c r="G26" s="462">
        <f t="shared" si="7"/>
        <v>0</v>
      </c>
      <c r="H26" s="462">
        <f t="shared" si="8"/>
        <v>0</v>
      </c>
      <c r="I26" s="462">
        <f t="shared" si="9"/>
        <v>0</v>
      </c>
      <c r="J26" s="462">
        <f t="shared" si="10"/>
        <v>4.3236650266150196</v>
      </c>
      <c r="K26" s="462">
        <f t="shared" si="11"/>
        <v>0</v>
      </c>
      <c r="L26" s="462">
        <f t="shared" si="12"/>
        <v>0</v>
      </c>
      <c r="M26" s="462">
        <f t="shared" si="13"/>
        <v>0</v>
      </c>
      <c r="N26" s="462">
        <f t="shared" si="14"/>
        <v>0</v>
      </c>
      <c r="O26" s="462">
        <f t="shared" si="15"/>
        <v>0</v>
      </c>
      <c r="P26" s="463">
        <f t="shared" si="16"/>
        <v>0</v>
      </c>
      <c r="Q26" s="461">
        <f t="shared" ca="1" si="17"/>
        <v>3528.0974947927489</v>
      </c>
    </row>
    <row r="27" spans="1:17" s="467" customFormat="1">
      <c r="A27" s="465" t="s">
        <v>574</v>
      </c>
      <c r="B27" s="775">
        <f t="shared" ca="1" si="2"/>
        <v>0.3718213122365891</v>
      </c>
      <c r="C27" s="466">
        <f t="shared" ca="1" si="3"/>
        <v>0</v>
      </c>
      <c r="D27" s="466">
        <f t="shared" si="4"/>
        <v>0.57662921661710398</v>
      </c>
      <c r="E27" s="466">
        <f t="shared" si="5"/>
        <v>19.884251890289836</v>
      </c>
      <c r="F27" s="466">
        <f t="shared" si="6"/>
        <v>0</v>
      </c>
      <c r="G27" s="466">
        <f t="shared" si="7"/>
        <v>6013.5658039563586</v>
      </c>
      <c r="H27" s="466">
        <f t="shared" si="8"/>
        <v>1064.7464177962308</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7099.1449241717337</v>
      </c>
    </row>
    <row r="28" spans="1:17">
      <c r="A28" s="461" t="s">
        <v>564</v>
      </c>
      <c r="B28" s="462">
        <f t="shared" ca="1" si="2"/>
        <v>71.806536425362737</v>
      </c>
      <c r="C28" s="462">
        <f t="shared" ca="1" si="3"/>
        <v>0</v>
      </c>
      <c r="D28" s="462">
        <f t="shared" si="4"/>
        <v>0</v>
      </c>
      <c r="E28" s="462">
        <f t="shared" si="5"/>
        <v>0</v>
      </c>
      <c r="F28" s="462">
        <f t="shared" si="6"/>
        <v>0</v>
      </c>
      <c r="G28" s="462">
        <f t="shared" si="7"/>
        <v>375.46071019758335</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447.26724662294612</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310.79359254490942</v>
      </c>
      <c r="C32" s="462">
        <f t="shared" ca="1" si="3"/>
        <v>0</v>
      </c>
      <c r="D32" s="462">
        <f t="shared" si="4"/>
        <v>491.19374649373003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801.98733903863945</v>
      </c>
    </row>
    <row r="33" spans="1:17" s="474" customFormat="1">
      <c r="A33" s="471" t="s">
        <v>568</v>
      </c>
      <c r="B33" s="472">
        <f ca="1">SUM(B22:B32)</f>
        <v>14285.95209819941</v>
      </c>
      <c r="C33" s="472">
        <f t="shared" ref="C33:Q33" ca="1" si="18">SUM(C22:C32)</f>
        <v>5.0500000000000007</v>
      </c>
      <c r="D33" s="472">
        <f t="shared" ca="1" si="18"/>
        <v>18855.114990775524</v>
      </c>
      <c r="E33" s="472">
        <f t="shared" si="18"/>
        <v>638.42774791780141</v>
      </c>
      <c r="F33" s="472">
        <f t="shared" ca="1" si="18"/>
        <v>2059.4768492056837</v>
      </c>
      <c r="G33" s="472">
        <f t="shared" si="18"/>
        <v>6389.0265141539421</v>
      </c>
      <c r="H33" s="472">
        <f t="shared" si="18"/>
        <v>1064.7464177962308</v>
      </c>
      <c r="I33" s="472">
        <f t="shared" si="18"/>
        <v>0</v>
      </c>
      <c r="J33" s="472">
        <f t="shared" si="18"/>
        <v>11.176123999191141</v>
      </c>
      <c r="K33" s="472">
        <f t="shared" si="18"/>
        <v>0</v>
      </c>
      <c r="L33" s="472">
        <f t="shared" ca="1" si="18"/>
        <v>0</v>
      </c>
      <c r="M33" s="472">
        <f t="shared" si="18"/>
        <v>0</v>
      </c>
      <c r="N33" s="472">
        <f t="shared" ca="1" si="18"/>
        <v>0</v>
      </c>
      <c r="O33" s="472">
        <f t="shared" si="18"/>
        <v>0</v>
      </c>
      <c r="P33" s="472">
        <f t="shared" si="18"/>
        <v>0</v>
      </c>
      <c r="Q33" s="472">
        <f t="shared" ca="1" si="18"/>
        <v>43308.970742047793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2928.5562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4.5</v>
      </c>
      <c r="D8" s="1047">
        <f>'SEAP template'!D76</f>
        <v>5</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1.01</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2928.5562</v>
      </c>
      <c r="C10" s="1051">
        <f>SUM(C4:C9)</f>
        <v>4.5</v>
      </c>
      <c r="D10" s="1051">
        <f t="shared" ref="D10:H10" si="0">SUM(D8:D9)</f>
        <v>5</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1.01</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0.21143604742141145</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22.5</v>
      </c>
      <c r="D17" s="1048">
        <f>'SEAP template'!D87</f>
        <v>25</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5.0500000000000007</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22.5</v>
      </c>
      <c r="D20" s="1051">
        <f t="shared" ref="D20:H20" si="2">SUM(D17:D19)</f>
        <v>25</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5.0500000000000007</v>
      </c>
    </row>
    <row r="22" spans="1:16">
      <c r="A22" s="475" t="s">
        <v>896</v>
      </c>
      <c r="B22" s="781" t="s">
        <v>890</v>
      </c>
      <c r="C22" s="781">
        <f ca="1">'EF ele_warmte'!B22</f>
        <v>0.22444444444444447</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0.21143604742141145</v>
      </c>
      <c r="C17" s="512">
        <f ca="1">'EF ele_warmte'!B22</f>
        <v>0.22444444444444447</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2019-07-04T14:26:39Z</dcterms:modified>
</cp:coreProperties>
</file>