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I8" s="1"/>
  <c r="I10" s="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L10"/>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4"/>
  <c r="K27"/>
  <c r="K22"/>
  <c r="K31"/>
  <c r="K30"/>
  <c r="K29"/>
  <c r="K25"/>
  <c r="B7"/>
  <c r="C24" i="14"/>
  <c r="C26" s="1"/>
  <c r="D29" i="48"/>
  <c r="D30"/>
  <c r="D31"/>
  <c r="D28"/>
  <c r="D24"/>
  <c r="D32"/>
  <c r="O4"/>
  <c r="P11" i="14"/>
  <c r="I22" i="48"/>
  <c r="I31"/>
  <c r="I26"/>
  <c r="I32"/>
  <c r="I25"/>
  <c r="I27"/>
  <c r="I30"/>
  <c r="I28"/>
  <c r="I29"/>
  <c r="I24"/>
  <c r="E31"/>
  <c r="E32"/>
  <c r="E28"/>
  <c r="E24"/>
  <c r="E29"/>
  <c r="E30"/>
  <c r="M32"/>
  <c r="M26"/>
  <c r="M25"/>
  <c r="M29"/>
  <c r="M30"/>
  <c r="M24"/>
  <c r="M22"/>
  <c r="M23"/>
  <c r="J27"/>
  <c r="J29"/>
  <c r="J32"/>
  <c r="J28"/>
  <c r="J24"/>
  <c r="J31"/>
  <c r="J30"/>
  <c r="H29"/>
  <c r="H26"/>
  <c r="H32"/>
  <c r="H25"/>
  <c r="H22"/>
  <c r="H28"/>
  <c r="H30"/>
  <c r="H24"/>
  <c r="H23"/>
  <c r="D11" i="14"/>
  <c r="C4" i="48"/>
  <c r="G32"/>
  <c r="G26"/>
  <c r="G24"/>
  <c r="G25"/>
  <c r="G22"/>
  <c r="G30"/>
  <c r="G29"/>
  <c r="G23"/>
  <c r="N46" i="14"/>
  <c r="L10"/>
  <c r="L16" s="1"/>
  <c r="L27" s="1"/>
  <c r="K5" i="48"/>
  <c r="L27"/>
  <c r="L32"/>
  <c r="L29"/>
  <c r="L22"/>
  <c r="L28"/>
  <c r="L30"/>
  <c r="L31"/>
  <c r="L24"/>
  <c r="P4"/>
  <c r="Q11" i="14"/>
  <c r="E11"/>
  <c r="D4" i="48"/>
  <c r="D22" s="1"/>
  <c r="C11" i="14"/>
  <c r="B4" i="48"/>
  <c r="F32"/>
  <c r="F27"/>
  <c r="F30"/>
  <c r="F24"/>
  <c r="F29"/>
  <c r="F28"/>
  <c r="F31"/>
  <c r="N27"/>
  <c r="N31"/>
  <c r="N32"/>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K15" i="48"/>
  <c r="K23"/>
  <c r="K33" s="1"/>
  <c r="P22"/>
  <c r="P33" s="1"/>
  <c r="B9"/>
  <c r="C20" i="14"/>
  <c r="O5" i="48"/>
  <c r="O23" s="1"/>
  <c r="P10" i="14"/>
  <c r="O22" i="48"/>
  <c r="C22" i="14"/>
  <c r="E9" i="48"/>
  <c r="F20" i="14"/>
  <c r="F22" s="1"/>
  <c r="D9" i="48"/>
  <c r="D27" s="1"/>
  <c r="E20" i="14"/>
  <c r="E22" s="1"/>
  <c r="K24"/>
  <c r="K26" s="1"/>
  <c r="J7" i="48"/>
  <c r="J25" s="1"/>
  <c r="J10" i="14"/>
  <c r="J16" s="1"/>
  <c r="J27" s="1"/>
  <c r="I5" i="48"/>
  <c r="L63" i="14"/>
  <c r="Q16"/>
  <c r="Q27" s="1"/>
  <c r="Q63"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G31" i="48"/>
  <c r="Q13"/>
  <c r="H20" i="14"/>
  <c r="G9" i="48"/>
  <c r="O8"/>
  <c r="P13" i="14"/>
  <c r="N22"/>
  <c r="N27" s="1"/>
  <c r="P16"/>
  <c r="P27" s="1"/>
  <c r="M10" i="48"/>
  <c r="M28" s="1"/>
  <c r="N19" i="14"/>
  <c r="E7" i="48"/>
  <c r="E25" s="1"/>
  <c r="F24" i="14"/>
  <c r="F26" s="1"/>
  <c r="P15" i="48"/>
  <c r="H19" i="14"/>
  <c r="R19" s="1"/>
  <c r="G10" i="48"/>
  <c r="I23"/>
  <c r="I33" s="1"/>
  <c r="I15"/>
  <c r="E27"/>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G28"/>
  <c r="Q10"/>
  <c r="I20" i="14"/>
  <c r="H9" i="48"/>
  <c r="M27"/>
  <c r="M33" s="1"/>
  <c r="M15"/>
  <c r="E22"/>
  <c r="Q4"/>
  <c r="H22" i="14"/>
  <c r="H27" s="1"/>
  <c r="H63" s="1"/>
  <c r="E20" i="15"/>
  <c r="F40" i="14" s="1"/>
  <c r="E5" i="48"/>
  <c r="E23" s="1"/>
  <c r="F10" i="14"/>
  <c r="K10"/>
  <c r="R10" s="1"/>
  <c r="J5" i="48"/>
  <c r="J23" s="1"/>
  <c r="O26"/>
  <c r="O33" s="1"/>
  <c r="O15"/>
  <c r="N63" i="14"/>
  <c r="E46"/>
  <c r="E61" s="1"/>
  <c r="G27" i="48"/>
  <c r="G15"/>
  <c r="J22"/>
  <c r="R11" i="14"/>
  <c r="M61"/>
  <c r="M27"/>
  <c r="E16"/>
  <c r="E27" s="1"/>
  <c r="E63" s="1"/>
  <c r="L15" i="48"/>
  <c r="R24" i="14"/>
  <c r="R26" s="1"/>
  <c r="L33" i="48"/>
  <c r="Q7"/>
  <c r="D23"/>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27" i="48"/>
  <c r="H33" s="1"/>
  <c r="H15"/>
  <c r="G33"/>
  <c r="R20" i="14"/>
  <c r="R22" s="1"/>
  <c r="I22"/>
  <c r="I27" s="1"/>
  <c r="I63" s="1"/>
  <c r="J22" i="16"/>
  <c r="K43" i="14" s="1"/>
  <c r="K46" s="1"/>
  <c r="K61" s="1"/>
  <c r="K13"/>
  <c r="K16" s="1"/>
  <c r="K27" s="1"/>
  <c r="J8" i="48"/>
  <c r="F46" i="14"/>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<sst xmlns="http://schemas.openxmlformats.org/spreadsheetml/2006/main" count="2474" uniqueCount="934">
  <si>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</si>
  <si>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</si>
  <si>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</si>
  <si>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</si>
  <si>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</si>
  <si>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</si>
  <si>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</si>
  <si>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</si>
  <si>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</si>
  <si>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</si>
  <si>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</si>
  <si>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</si>
  <si>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</si>
  <si>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</si>
  <si>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</si>
  <si>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</si>
  <si>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</si>
  <si>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</si>
  <si>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</si>
  <si>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</si>
  <si>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</si>
  <si>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</si>
  <si>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</si>
  <si>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</si>
  <si>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</si>
  <si>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</si>
  <si>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</si>
  <si>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</si>
  <si>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</si>
  <si>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</si>
  <si>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</si>
  <si>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</si>
  <si>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</si>
  <si>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</si>
  <si>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</si>
  <si>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</si>
  <si>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</si>
  <si>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</si>
  <si>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</si>
  <si>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</si>
  <si>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</si>
  <si>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</si>
  <si>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</si>
  <si>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</si>
  <si>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</si>
  <si>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</si>
  <si>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</si>
  <si>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</si>
  <si>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</si>
  <si>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</si>
  <si>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</si>
  <si>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</si>
  <si>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</si>
  <si>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</si>
  <si>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</si>
  <si>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</si>
  <si>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</si>
  <si>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</si>
  <si>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</si>
  <si>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</si>
  <si>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</si>
  <si>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</si>
  <si>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</si>
  <si>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</si>
  <si>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</si>
  <si>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</si>
  <si>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</si>
  <si>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</si>
  <si>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</si>
  <si>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</si>
  <si>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</si>
  <si>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</si>
  <si>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</si>
  <si>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</si>
  <si>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</si>
  <si>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</si>
  <si>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</si>
  <si>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</si>
  <si>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</si>
  <si>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</si>
  <si>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</si>
  <si>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</si>
  <si>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</si>
  <si>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</si>
  <si>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</si>
  <si>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</si>
  <si>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</si>
  <si>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</si>
  <si>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</si>
  <si>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</si>
  <si>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</si>
  <si>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</si>
  <si>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</si>
  <si>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</si>
  <si>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</si>
  <si>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</si>
  <si>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</si>
  <si>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</si>
  <si>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</si>
  <si>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</si>
  <si>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</si>
  <si>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</si>
  <si>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</si>
  <si>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</si>
  <si>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</si>
  <si>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</si>
  <si>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</si>
  <si>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</si>
  <si>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</si>
  <si>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</si>
  <si>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</si>
  <si>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</si>
  <si>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</si>
  <si>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</si>
  <si>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</si>
  <si>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</si>
  <si>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</si>
  <si>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</si>
  <si>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</si>
  <si>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</si>
  <si>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</si>
  <si>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</si>
  <si>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</si>
  <si>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</si>
  <si>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</si>
  <si>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</si>
  <si>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</si>
  <si>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</si>
  <si>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</si>
  <si>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</si>
  <si>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</si>
  <si>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</si>
  <si>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</si>
  <si>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</si>
  <si>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</si>
  <si>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</si>
  <si>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</si>
  <si>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</si>
  <si>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</si>
  <si>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</si>
  <si>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</si>
  <si>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</si>
  <si>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</si>
  <si>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</si>
  <si>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</si>
  <si>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</si>
  <si>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</si>
  <si>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</si>
  <si>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</si>
  <si>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</si>
  <si>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</si>
  <si>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</si>
  <si>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</si>
  <si>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</si>
  <si>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</si>
  <si>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</si>
  <si>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</si>
  <si>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</si>
  <si>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</si>
  <si>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</si>
  <si>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</si>
  <si>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</si>
  <si>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</si>
  <si>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</si>
  <si>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</si>
  <si>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</si>
  <si>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</si>
  <si>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</si>
  <si>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</si>
  <si>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</si>
  <si>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</si>
  <si>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</si>
  <si>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</si>
  <si>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</si>
  <si>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</si>
  <si>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</si>
  <si>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</si>
  <si>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</si>
  <si>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</si>
  <si>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</si>
  <si>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</si>
  <si>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</si>
  <si>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</si>
  <si>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</si>
  <si>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</si>
  <si>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</si>
  <si>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</si>
  <si>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</si>
  <si>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</si>
  <si>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</si>
  <si>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</si>
  <si>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</si>
  <si>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</si>
  <si>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</si>
  <si>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</si>
  <si>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</si>
  <si>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</si>
  <si>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</si>
  <si>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</si>
  <si>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</si>
  <si>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</si>
  <si>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</si>
  <si>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</si>
  <si>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</si>
  <si>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</si>
  <si>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</si>
  <si>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</si>
  <si>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</si>
  <si>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</si>
  <si>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</si>
  <si>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</si>
  <si>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</si>
  <si>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</si>
  <si>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</si>
  <si>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</si>
  <si>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</si>
  <si>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</si>
  <si>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</si>
  <si>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</si>
  <si>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</si>
  <si>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</si>
  <si>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</si>
  <si>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</si>
  <si>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</si>
  <si>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</si>
  <si>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</si>
  <si>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</si>
  <si>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</si>
  <si>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</si>
  <si>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</si>
  <si>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</si>
  <si>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</si>
  <si>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</si>
  <si>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</si>
  <si>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</si>
  <si>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</si>
  <si>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</si>
  <si>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</si>
  <si>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</si>
  <si>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</si>
  <si>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</si>
  <si>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</si>
  <si>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</si>
  <si>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</si>
  <si>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</si>
  <si>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</si>
  <si>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</si>
  <si>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</si>
  <si>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</si>
  <si>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</si>
  <si>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</si>
  <si>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</si>
  <si>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</si>
  <si>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</si>
  <si>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</si>
  <si>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</si>
  <si>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</si>
  <si>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</si>
  <si>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</si>
  <si>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</si>
  <si>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</si>
  <si>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</si>
  <si>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</si>
  <si>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</si>
  <si>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</si>
  <si>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</si>
  <si>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</si>
  <si>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</si>
  <si>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</si>
  <si>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</si>
  <si>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</si>
  <si>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</si>
  <si>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</si>
  <si>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</si>
  <si>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</si>
  <si>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</si>
  <si>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</si>
  <si>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</si>
  <si>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</si>
  <si>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</si>
  <si>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</si>
  <si>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</si>
  <si>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</si>
  <si>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</si>
  <si>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</si>
  <si>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</si>
  <si>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</si>
  <si>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</si>
  <si>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</si>
  <si>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</si>
  <si>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</si>
  <si>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</si>
  <si>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</si>
  <si>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</si>
  <si>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</si>
  <si>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</si>
  <si>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</si>
  <si>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</si>
  <si>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</si>
  <si>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</si>
  <si>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</si>
  <si>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</si>
  <si>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</si>
  <si>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</si>
  <si>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</si>
  <si>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</si>
  <si>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</si>
  <si>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</si>
  <si>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</si>
  <si>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</si>
  <si>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</si>
  <si>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</si>
  <si>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</si>
  <si>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</si>
  <si>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</si>
  <si>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</si>
  <si>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</si>
  <si>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</si>
  <si>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</si>
  <si>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</si>
  <si>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</si>
  <si>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</si>
  <si>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</si>
  <si>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</si>
  <si>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</si>
  <si>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</si>
  <si>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</si>
  <si>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</si>
  <si>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</si>
  <si>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</si>
  <si>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</si>
  <si>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</si>
  <si>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</si>
  <si>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</si>
  <si>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</si>
  <si>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</si>
  <si>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</si>
  <si>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</si>
  <si>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</si>
  <si>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</si>
  <si>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</si>
  <si>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</si>
  <si>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</si>
  <si>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</si>
  <si>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</si>
  <si>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</si>
  <si>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</si>
  <si>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</si>
  <si>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</si>
  <si>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</si>
  <si>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</si>
  <si>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</si>
  <si>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</si>
  <si>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</si>
  <si>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</si>
  <si>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</si>
  <si>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</si>
  <si>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</si>
  <si>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</si>
  <si>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</si>
  <si>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</si>
  <si>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</si>
  <si>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</si>
  <si>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</si>
  <si>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</si>
  <si>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</si>
  <si>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</si>
  <si>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</si>
  <si>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</si>
  <si>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</si>
  <si>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</si>
  <si>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</si>
  <si>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</si>
  <si>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</si>
  <si>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</si>
  <si>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</si>
  <si>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</si>
  <si>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</si>
  <si>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</si>
  <si>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</si>
  <si>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</si>
  <si>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</si>
  <si>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</si>
  <si>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</si>
  <si>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</si>
  <si>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</si>
  <si>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</si>
  <si>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</si>
  <si>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</si>
  <si>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</si>
  <si>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</si>
  <si>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</si>
  <si>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</si>
  <si>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</si>
  <si>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</si>
  <si>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</si>
  <si>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</si>
  <si>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</si>
  <si>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</si>
  <si>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</si>
  <si>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</si>
  <si>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</si>
  <si>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</si>
  <si>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</si>
  <si>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</si>
  <si>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</si>
  <si>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</si>
  <si>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</si>
  <si>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</si>
  <si>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</si>
  <si>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</si>
  <si>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</si>
  <si>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</si>
  <si>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</si>
  <si>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</si>
  <si>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</si>
  <si>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</si>
  <si>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</si>
  <si>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</si>
  <si>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</si>
  <si>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</si>
  <si>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</si>
  <si>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</si>
  <si>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</si>
  <si>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</si>
  <si>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</si>
  <si>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</si>
  <si>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</si>
  <si>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</si>
  <si>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</si>
  <si>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</si>
  <si>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</si>
  <si>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</si>
  <si>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</si>
  <si>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</si>
  <si>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</si>
  <si>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</si>
  <si>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</si>
  <si>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</si>
  <si>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</si>
  <si>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</si>
  <si>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</si>
  <si>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</si>
  <si>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</si>
  <si>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</si>
  <si>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</si>
  <si>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</si>
  <si>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</si>
  <si>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</si>
  <si>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</si>
  <si>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</si>
  <si>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</si>
  <si>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</si>
  <si>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</si>
  <si>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</si>
  <si>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</si>
  <si>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</si>
  <si>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</si>
  <si>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</si>
  <si>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</si>
  <si>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</si>
  <si>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</si>
  <si>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</si>
  <si>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</si>
  <si>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</si>
  <si>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</si>
  <si>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</si>
  <si>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</si>
  <si>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</si>
  <si>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</si>
  <si>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</si>
  <si>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</si>
  <si>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</si>
  <si>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</si>
  <si>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</si>
  <si>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</si>
  <si>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</si>
  <si>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</si>
  <si>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</si>
  <si>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</si>
  <si>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</si>
  <si>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</si>
  <si>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</si>
  <si>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</si>
  <si>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</si>
  <si>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</si>
  <si>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</si>
  <si>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</si>
  <si>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</si>
  <si>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</si>
  <si>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</si>
  <si>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</si>
  <si>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</si>
  <si>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</si>
  <si>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</si>
  <si>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</si>
  <si>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</si>
  <si>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</si>
  <si>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</si>
  <si>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</si>
  <si>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</si>
  <si>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</si>
  <si>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</si>
  <si>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</si>
  <si>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</si>
  <si>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</si>
  <si>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</si>
  <si>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</si>
  <si>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</si>
  <si>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</si>
  <si>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</si>
  <si>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</si>
  <si>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</si>
  <si>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</si>
  <si>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</si>
  <si>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</si>
  <si>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</si>
  <si>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</si>
  <si>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</si>
  <si>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</si>
  <si>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</si>
  <si>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</si>
  <si>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</si>
  <si>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</si>
  <si>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</si>
  <si>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</si>
  <si>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</si>
  <si>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</si>
  <si>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</si>
  <si>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</si>
  <si>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</si>
  <si>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</si>
  <si>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</si>
  <si>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</si>
  <si>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</si>
  <si>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</si>
  <si>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</si>
  <si>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</si>
  <si>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</si>
  <si>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</si>
  <si>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</si>
  <si>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</si>
  <si>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</si>
  <si>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</si>
  <si>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</si>
  <si>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</si>
  <si>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</si>
  <si>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</si>
  <si>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</si>
  <si>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</si>
  <si>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</si>
  <si>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</si>
  <si>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</si>
  <si>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</si>
  <si>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</si>
  <si>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</si>
  <si>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</si>
  <si>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</si>
  <si>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</si>
  <si>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</si>
  <si>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</si>
  <si>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</si>
  <si>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</si>
  <si>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</si>
  <si>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</si>
  <si>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</si>
  <si>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</si>
  <si>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</si>
  <si>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</si>
  <si>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</si>
  <si>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</si>
  <si>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</si>
  <si>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</si>
  <si>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</si>
  <si>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</si>
  <si>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</si>
  <si>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</si>
  <si>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</si>
  <si>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</si>
  <si>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</si>
  <si>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</si>
  <si>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</si>
  <si>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</si>
  <si>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</si>
  <si>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</si>
  <si>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</si>
  <si>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</si>
  <si>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</si>
  <si>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</si>
  <si>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</si>
  <si>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</si>
  <si>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</si>
  <si>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</si>
  <si>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</si>
  <si>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</si>
  <si>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</si>
  <si>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</si>
  <si>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</si>
  <si>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</si>
  <si>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</si>
  <si>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</si>
  <si>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</si>
  <si>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</si>
  <si>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</si>
  <si>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</si>
  <si>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</si>
  <si>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</si>
  <si>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</si>
  <si>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</si>
  <si>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</si>
  <si>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</si>
  <si>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</si>
  <si>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</si>
  <si>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</si>
  <si>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</si>
  <si>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</si>
  <si>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</si>
  <si>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</si>
  <si>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</si>
  <si>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</si>
  <si>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</si>
  <si>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</si>
  <si>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</si>
  <si>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</si>
  <si>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</si>
  <si>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</si>
  <si>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</si>
  <si>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</si>
  <si>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</si>
  <si>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</si>
  <si>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</si>
  <si>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</si>
  <si>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</si>
  <si>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</si>
  <si>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</si>
  <si>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</si>
  <si>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</si>
  <si>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</si>
  <si>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</si>
  <si>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</si>
  <si>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</si>
  <si>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</si>
  <si>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</si>
  <si>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</si>
  <si>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</si>
  <si>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</si>
  <si>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</si>
  <si>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</si>
  <si>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</si>
  <si>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</si>
  <si>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</si>
  <si>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</si>
  <si>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</si>
  <si>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</si>
  <si>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</si>
  <si>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</si>
  <si>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</si>
  <si>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</si>
  <si>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</si>
  <si>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</si>
  <si>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</si>
  <si>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</si>
  <si>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</si>
  <si>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</si>
  <si>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</si>
  <si>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</si>
  <si>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</si>
  <si>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</si>
  <si>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</si>
  <si>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</si>
  <si>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</si>
  <si>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</si>
  <si>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</si>
  <si>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</si>
  <si>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</si>
  <si>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</si>
  <si>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</si>
  <si>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</si>
  <si>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</si>
  <si>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</si>
  <si>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</si>
  <si>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</si>
  <si>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</si>
  <si>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</si>
  <si>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</si>
  <si>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</si>
  <si>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</si>
  <si>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</si>
  <si>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</si>
  <si>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</si>
  <si>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</si>
  <si>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</si>
  <si>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</si>
  <si>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</si>
  <si>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</si>
  <si>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</si>
  <si>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</si>
  <si>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</si>
  <si>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</si>
  <si>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</si>
  <si>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</si>
  <si>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</si>
  <si>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</si>
  <si>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</si>
  <si>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</si>
  <si>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</si>
  <si>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</si>
  <si>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</si>
  <si>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</si>
  <si>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</si>
  <si>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</si>
  <si>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</si>
  <si>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</si>
  <si>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</si>
  <si>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</si>
  <si>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</si>
  <si>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</si>
  <si>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</si>
  <si>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</si>
  <si>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</si>
  <si>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</si>
  <si>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</si>
  <si>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</si>
  <si>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</si>
  <si>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</si>
  <si>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</si>
  <si>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</si>
  <si>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</si>
  <si>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</si>
  <si>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</si>
  <si>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</si>
  <si>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</si>
  <si>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</si>
  <si>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</si>
  <si>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</si>
  <si>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</si>
  <si>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</si>
  <si>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</si>
  <si>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</si>
  <si>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</si>
  <si>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</si>
  <si>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</si>
  <si>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</si>
  <si>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</si>
  <si>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</si>
  <si>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</si>
  <si>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</si>
  <si>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</si>
  <si>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</si>
  <si>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</si>
  <si>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</si>
  <si>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</si>
  <si>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</si>
  <si>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</si>
  <si>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</si>
  <si>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</si>
  <si>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</si>
  <si>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</si>
  <si>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</si>
  <si>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</si>
  <si>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</si>
  <si>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</si>
  <si>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</si>
  <si>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</si>
  <si>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</si>
  <si>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</si>
  <si>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</si>
  <si>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</si>
  <si>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</si>
  <si>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</si>
  <si>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</si>
  <si>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</si>
  <si>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</si>
  <si>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</si>
  <si>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</si>
  <si>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</si>
  <si>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</si>
  <si>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</si>
  <si>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</si>
  <si>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</si>
  <si>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</si>
  <si>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</si>
  <si>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</si>
  <si>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</si>
  <si>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</si>
  <si>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</si>
  <si>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</si>
  <si>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</si>
  <si>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</si>
  <si>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</si>
  <si>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</si>
  <si>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</si>
  <si>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</si>
  <si>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</si>
  <si>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</si>
  <si>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</si>
  <si>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</si>
  <si>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</si>
  <si>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</si>
  <si>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</si>
  <si>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</si>
  <si>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</si>
  <si>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</si>
  <si>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</si>
  <si>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</si>
  <si>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</si>
  <si>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</si>
  <si>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</si>
  <si>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</si>
  <si>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</si>
  <si>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</si>
  <si>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</si>
  <si>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</si>
  <si>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</si>
  <si>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</si>
  <si>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</si>
  <si>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</si>
  <si>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</si>
  <si>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</si>
  <si>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</si>
  <si>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</si>
  <si>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</si>
  <si>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</si>
  <si>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</si>
  <si>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</si>
  <si>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</si>
  <si>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</si>
  <si>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</si>
  <si>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</si>
  <si>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</si>
  <si>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</si>
  <si>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</si>
  <si>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</si>
  <si>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</si>
  <si>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</si>
  <si>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</si>
  <si>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</si>
  <si>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</si>
  <si>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</si>
  <si>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</si>
  <si>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</si>
  <si>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</si>
  <si>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</si>
  <si>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</si>
  <si>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</si>
  <si>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</si>
  <si>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</si>
  <si>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</si>
  <si>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</si>
  <si>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</si>
  <si>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</si>
  <si>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</si>
  <si>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</si>
  <si>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</si>
  <si>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</si>
  <si>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</si>
  <si>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</si>
  <si>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</si>
  <si>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</si>
  <si>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</si>
  <si>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</si>
  <si>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</si>
  <si>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</si>
  <si>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</si>
  <si>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</si>
  <si>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</si>
  <si>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</si>
  <si>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</si>
  <si>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</si>
  <si>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</si>
  <si>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</si>
  <si>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</si>
  <si>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</si>
  <si>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</si>
  <si>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</si>
  <si>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</si>
  <si>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</si>
  <si>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</si>
  <si>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</si>
  <si>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</si>
  <si>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</si>
  <si>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</si>
  <si>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</si>
  <si>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</si>
  <si>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</si>
  <si>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</si>
  <si>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</si>
  <si>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</si>
  <si>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</si>
  <si>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</si>
  <si>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</si>
  <si>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</si>
  <si>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</si>
  <si>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</si>
  <si>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</si>
  <si>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</si>
  <si>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</si>
  <si>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</si>
  <si>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</si>
  <si>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</si>
  <si>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</si>
  <si>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</si>
  <si>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</si>
  <si>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34013</t>
  </si>
  <si>
    <t>HARELBEKE</t>
  </si>
  <si>
    <t>Cultuurgrond (ha)</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</si>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</sst>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208387.56261479278</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208387.56261479278</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38669.929879737429</c:v>
                </c:pt>
                <c:pt idx="2">
                  <c:v>32667.255488408253</c:v>
                </c:pt>
                <c:pt idx="3">
                  <c:v>458.69347752662594</c:v>
                </c:pt>
                <c:pt idx="4">
                  <c:v>8941.2364365900794</c:v>
                </c:pt>
                <c:pt idx="5">
                  <c:v>29732.376112534257</c:v>
                </c:pt>
                <c:pt idx="6">
                  <c:v>48449.079034537775</c:v>
                </c:pt>
                <c:pt idx="7">
                  <c:v>380.87385687428798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86336"/>
      </c:barChart>
      <c:catAx>
        <c:axId val="181480448"/>
        <c:scaling>
          <c:orientation val="minMax"/>
        </c:scaling>
        <c:axPos val="b"/>
        <c:numFmt formatCode="General" sourceLinked="0"/>
        <c:tickLblPos val="nextTo"/>
        <c:crossAx val="181486336"/>
        <c:crosses val="autoZero"/>
        <c:auto val="1"/>
        <c:lblAlgn val="ctr"/>
        <c:lblOffset val="100"/>
      </c:catAx>
      <c:valAx>
        <c:axId val="181486336"/>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38669.929879737429</c:v>
                </c:pt>
                <c:pt idx="2">
                  <c:v>32667.255488408253</c:v>
                </c:pt>
                <c:pt idx="3">
                  <c:v>458.69347752662594</c:v>
                </c:pt>
                <c:pt idx="4">
                  <c:v>8941.2364365900794</c:v>
                </c:pt>
                <c:pt idx="5">
                  <c:v>29732.376112534257</c:v>
                </c:pt>
                <c:pt idx="6">
                  <c:v>48449.079034537775</c:v>
                </c:pt>
                <c:pt idx="7">
                  <c:v>380.87385687428798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34013</v>
      </c>
      <c r="B6" s="398"/>
      <c r="C6" s="399"/>
    </row>
    <row r="7" spans="1:7" s="396" customFormat="1" ht="15.75" customHeight="1">
      <c r="A7" s="400" t="str">
        <f>txtMunicipality</f>
        <v>HARELBEKE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0.20664753975853653</v>
      </c>
      <c r="C17" s="512">
        <f ca="1">'EF ele_warmte'!B22</f>
        <v>0.21028503682776717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0.20664753975853653</v>
      </c>
      <c r="C29" s="513">
        <f ca="1">'EF ele_warmte'!B22</f>
        <v>0.21028503682776717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34013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11507</v>
      </c>
      <c r="C9" s="338">
        <v>11608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1141</v>
      </c>
    </row>
    <row r="15" spans="1:6">
      <c r="A15" s="1295" t="s">
        <v>184</v>
      </c>
      <c r="B15" s="335">
        <v>14</v>
      </c>
    </row>
    <row r="16" spans="1:6">
      <c r="A16" s="1295" t="s">
        <v>6</v>
      </c>
      <c r="B16" s="335">
        <v>402</v>
      </c>
    </row>
    <row r="17" spans="1:6">
      <c r="A17" s="1295" t="s">
        <v>7</v>
      </c>
      <c r="B17" s="335">
        <v>412</v>
      </c>
    </row>
    <row r="18" spans="1:6">
      <c r="A18" s="1295" t="s">
        <v>8</v>
      </c>
      <c r="B18" s="335">
        <v>621</v>
      </c>
    </row>
    <row r="19" spans="1:6">
      <c r="A19" s="1295" t="s">
        <v>9</v>
      </c>
      <c r="B19" s="335">
        <v>591</v>
      </c>
    </row>
    <row r="20" spans="1:6">
      <c r="A20" s="1295" t="s">
        <v>10</v>
      </c>
      <c r="B20" s="335">
        <v>526</v>
      </c>
    </row>
    <row r="21" spans="1:6">
      <c r="A21" s="1295" t="s">
        <v>11</v>
      </c>
      <c r="B21" s="335">
        <v>1547</v>
      </c>
    </row>
    <row r="22" spans="1:6">
      <c r="A22" s="1295" t="s">
        <v>12</v>
      </c>
      <c r="B22" s="335">
        <v>6657</v>
      </c>
    </row>
    <row r="23" spans="1:6">
      <c r="A23" s="1295" t="s">
        <v>13</v>
      </c>
      <c r="B23" s="335">
        <v>81</v>
      </c>
    </row>
    <row r="24" spans="1:6">
      <c r="A24" s="1295" t="s">
        <v>14</v>
      </c>
      <c r="B24" s="335">
        <v>4</v>
      </c>
    </row>
    <row r="25" spans="1:6">
      <c r="A25" s="1295" t="s">
        <v>15</v>
      </c>
      <c r="B25" s="335">
        <v>423</v>
      </c>
    </row>
    <row r="26" spans="1:6">
      <c r="A26" s="1295" t="s">
        <v>16</v>
      </c>
      <c r="B26" s="335">
        <v>88</v>
      </c>
    </row>
    <row r="27" spans="1:6">
      <c r="A27" s="1295" t="s">
        <v>17</v>
      </c>
      <c r="B27" s="335">
        <v>1</v>
      </c>
    </row>
    <row r="28" spans="1:6" s="341" customFormat="1">
      <c r="A28" s="1296" t="s">
        <v>18</v>
      </c>
      <c r="B28" s="1296">
        <v>120630</v>
      </c>
    </row>
    <row r="29" spans="1:6">
      <c r="A29" s="1296" t="s">
        <v>906</v>
      </c>
      <c r="B29" s="1296">
        <v>41</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4</v>
      </c>
      <c r="D35" s="335">
        <v>1384030</v>
      </c>
      <c r="E35" s="335">
        <v>0</v>
      </c>
      <c r="F35" s="335">
        <v>0</v>
      </c>
    </row>
    <row r="36" spans="1:6">
      <c r="A36" s="1295" t="s">
        <v>25</v>
      </c>
      <c r="B36" s="1295" t="s">
        <v>27</v>
      </c>
      <c r="C36" s="335">
        <v>0</v>
      </c>
      <c r="D36" s="335">
        <v>0</v>
      </c>
      <c r="E36" s="335">
        <v>12</v>
      </c>
      <c r="F36" s="335">
        <v>29007</v>
      </c>
    </row>
    <row r="37" spans="1:6">
      <c r="A37" s="1295" t="s">
        <v>25</v>
      </c>
      <c r="B37" s="1295" t="s">
        <v>28</v>
      </c>
      <c r="C37" s="335">
        <v>0</v>
      </c>
      <c r="D37" s="335">
        <v>0</v>
      </c>
      <c r="E37" s="335">
        <v>0</v>
      </c>
      <c r="F37" s="335">
        <v>0</v>
      </c>
    </row>
    <row r="38" spans="1:6">
      <c r="A38" s="1295" t="s">
        <v>25</v>
      </c>
      <c r="B38" s="1295" t="s">
        <v>29</v>
      </c>
      <c r="C38" s="335">
        <v>2</v>
      </c>
      <c r="D38" s="335">
        <v>237815</v>
      </c>
      <c r="E38" s="335">
        <v>1</v>
      </c>
      <c r="F38" s="335">
        <v>11208</v>
      </c>
    </row>
    <row r="39" spans="1:6">
      <c r="A39" s="1295" t="s">
        <v>30</v>
      </c>
      <c r="B39" s="1295" t="s">
        <v>31</v>
      </c>
      <c r="C39" s="335">
        <v>8868</v>
      </c>
      <c r="D39" s="335">
        <v>142554143</v>
      </c>
      <c r="E39" s="335">
        <v>11603</v>
      </c>
      <c r="F39" s="335">
        <v>42806884</v>
      </c>
    </row>
    <row r="40" spans="1:6">
      <c r="A40" s="1295" t="s">
        <v>30</v>
      </c>
      <c r="B40" s="1295" t="s">
        <v>29</v>
      </c>
      <c r="C40" s="335">
        <v>0</v>
      </c>
      <c r="D40" s="335">
        <v>0</v>
      </c>
      <c r="E40" s="335">
        <v>0</v>
      </c>
      <c r="F40" s="335">
        <v>0</v>
      </c>
    </row>
    <row r="41" spans="1:6">
      <c r="A41" s="1295" t="s">
        <v>32</v>
      </c>
      <c r="B41" s="1295" t="s">
        <v>33</v>
      </c>
      <c r="C41" s="335">
        <v>113</v>
      </c>
      <c r="D41" s="335">
        <v>6909424</v>
      </c>
      <c r="E41" s="335">
        <v>300</v>
      </c>
      <c r="F41" s="335">
        <v>12985368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16</v>
      </c>
      <c r="D44" s="335">
        <v>4891548</v>
      </c>
      <c r="E44" s="335">
        <v>51</v>
      </c>
      <c r="F44" s="335">
        <v>5703802</v>
      </c>
    </row>
    <row r="45" spans="1:6">
      <c r="A45" s="1295" t="s">
        <v>32</v>
      </c>
      <c r="B45" s="1295" t="s">
        <v>37</v>
      </c>
      <c r="C45" s="335">
        <v>3</v>
      </c>
      <c r="D45" s="335">
        <v>151061</v>
      </c>
      <c r="E45" s="335">
        <v>10</v>
      </c>
      <c r="F45" s="335">
        <v>3571676</v>
      </c>
    </row>
    <row r="46" spans="1:6">
      <c r="A46" s="1295" t="s">
        <v>32</v>
      </c>
      <c r="B46" s="1295" t="s">
        <v>38</v>
      </c>
      <c r="C46" s="335">
        <v>0</v>
      </c>
      <c r="D46" s="335">
        <v>0</v>
      </c>
      <c r="E46" s="335">
        <v>4</v>
      </c>
      <c r="F46" s="335">
        <v>85377</v>
      </c>
    </row>
    <row r="47" spans="1:6">
      <c r="A47" s="1295" t="s">
        <v>32</v>
      </c>
      <c r="B47" s="1295" t="s">
        <v>39</v>
      </c>
      <c r="C47" s="335">
        <v>10</v>
      </c>
      <c r="D47" s="335">
        <v>6847039</v>
      </c>
      <c r="E47" s="335">
        <v>14</v>
      </c>
      <c r="F47" s="335">
        <v>1835728</v>
      </c>
    </row>
    <row r="48" spans="1:6">
      <c r="A48" s="1295" t="s">
        <v>32</v>
      </c>
      <c r="B48" s="1295" t="s">
        <v>29</v>
      </c>
      <c r="C48" s="335">
        <v>1</v>
      </c>
      <c r="D48" s="335">
        <v>212107</v>
      </c>
      <c r="E48" s="335">
        <v>1</v>
      </c>
      <c r="F48" s="335">
        <v>31588</v>
      </c>
    </row>
    <row r="49" spans="1:6">
      <c r="A49" s="1295" t="s">
        <v>32</v>
      </c>
      <c r="B49" s="1295" t="s">
        <v>40</v>
      </c>
      <c r="C49" s="335">
        <v>13</v>
      </c>
      <c r="D49" s="335">
        <v>49833961</v>
      </c>
      <c r="E49" s="335">
        <v>26</v>
      </c>
      <c r="F49" s="335">
        <v>16650811</v>
      </c>
    </row>
    <row r="50" spans="1:6">
      <c r="A50" s="1295" t="s">
        <v>32</v>
      </c>
      <c r="B50" s="1295" t="s">
        <v>41</v>
      </c>
      <c r="C50" s="335">
        <v>23</v>
      </c>
      <c r="D50" s="335">
        <v>10308761</v>
      </c>
      <c r="E50" s="335">
        <v>38</v>
      </c>
      <c r="F50" s="335">
        <v>4388033</v>
      </c>
    </row>
    <row r="51" spans="1:6">
      <c r="A51" s="1295" t="s">
        <v>42</v>
      </c>
      <c r="B51" s="1295" t="s">
        <v>43</v>
      </c>
      <c r="C51" s="335">
        <v>15</v>
      </c>
      <c r="D51" s="335">
        <v>44828484</v>
      </c>
      <c r="E51" s="335">
        <v>80</v>
      </c>
      <c r="F51" s="335">
        <v>2226667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104</v>
      </c>
      <c r="F54" s="335">
        <v>2219690</v>
      </c>
    </row>
    <row r="55" spans="1:6">
      <c r="A55" s="1295" t="s">
        <v>46</v>
      </c>
      <c r="B55" s="1295" t="s">
        <v>29</v>
      </c>
      <c r="C55" s="335">
        <v>0</v>
      </c>
      <c r="D55" s="335">
        <v>0</v>
      </c>
      <c r="E55" s="335">
        <v>0</v>
      </c>
      <c r="F55" s="335">
        <v>0</v>
      </c>
    </row>
    <row r="56" spans="1:6">
      <c r="A56" s="1295" t="s">
        <v>48</v>
      </c>
      <c r="B56" s="1295" t="s">
        <v>29</v>
      </c>
      <c r="C56" s="335">
        <v>161</v>
      </c>
      <c r="D56" s="335">
        <v>12745741</v>
      </c>
      <c r="E56" s="335">
        <v>217</v>
      </c>
      <c r="F56" s="335">
        <v>1565191</v>
      </c>
    </row>
    <row r="57" spans="1:6">
      <c r="A57" s="1295" t="s">
        <v>49</v>
      </c>
      <c r="B57" s="1295" t="s">
        <v>50</v>
      </c>
      <c r="C57" s="335">
        <v>73</v>
      </c>
      <c r="D57" s="335">
        <v>9343053</v>
      </c>
      <c r="E57" s="335">
        <v>199</v>
      </c>
      <c r="F57" s="335">
        <v>12110582</v>
      </c>
    </row>
    <row r="58" spans="1:6">
      <c r="A58" s="1295" t="s">
        <v>49</v>
      </c>
      <c r="B58" s="1295" t="s">
        <v>51</v>
      </c>
      <c r="C58" s="335">
        <v>24</v>
      </c>
      <c r="D58" s="335">
        <v>996300</v>
      </c>
      <c r="E58" s="335">
        <v>45</v>
      </c>
      <c r="F58" s="335">
        <v>924722</v>
      </c>
    </row>
    <row r="59" spans="1:6">
      <c r="A59" s="1295" t="s">
        <v>49</v>
      </c>
      <c r="B59" s="1295" t="s">
        <v>52</v>
      </c>
      <c r="C59" s="335">
        <v>171</v>
      </c>
      <c r="D59" s="335">
        <v>67390319</v>
      </c>
      <c r="E59" s="335">
        <v>391</v>
      </c>
      <c r="F59" s="335">
        <v>33428309</v>
      </c>
    </row>
    <row r="60" spans="1:6">
      <c r="A60" s="1295" t="s">
        <v>49</v>
      </c>
      <c r="B60" s="1295" t="s">
        <v>53</v>
      </c>
      <c r="C60" s="335">
        <v>53</v>
      </c>
      <c r="D60" s="335">
        <v>3480757</v>
      </c>
      <c r="E60" s="335">
        <v>94</v>
      </c>
      <c r="F60" s="335">
        <v>1924106</v>
      </c>
    </row>
    <row r="61" spans="1:6">
      <c r="A61" s="1295" t="s">
        <v>49</v>
      </c>
      <c r="B61" s="1295" t="s">
        <v>54</v>
      </c>
      <c r="C61" s="335">
        <v>207</v>
      </c>
      <c r="D61" s="335">
        <v>11108086</v>
      </c>
      <c r="E61" s="335">
        <v>466</v>
      </c>
      <c r="F61" s="335">
        <v>8800809</v>
      </c>
    </row>
    <row r="62" spans="1:6">
      <c r="A62" s="1295" t="s">
        <v>49</v>
      </c>
      <c r="B62" s="1295" t="s">
        <v>55</v>
      </c>
      <c r="C62" s="335">
        <v>15</v>
      </c>
      <c r="D62" s="335">
        <v>1920774</v>
      </c>
      <c r="E62" s="335">
        <v>21</v>
      </c>
      <c r="F62" s="335">
        <v>603252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4139</v>
      </c>
      <c r="E65" s="335">
        <v>1</v>
      </c>
      <c r="F65" s="335">
        <v>1223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122807</v>
      </c>
      <c r="E68" s="335">
        <v>13</v>
      </c>
      <c r="F68" s="335">
        <v>140148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59445147</v>
      </c>
      <c r="E73" s="335">
        <v>66159082.633877918</v>
      </c>
    </row>
    <row r="74" spans="1:6">
      <c r="A74" s="1295" t="s">
        <v>64</v>
      </c>
      <c r="B74" s="1295" t="s">
        <v>727</v>
      </c>
      <c r="C74" s="1295" t="s">
        <v>728</v>
      </c>
      <c r="D74" s="335">
        <v>7675297.6661251821</v>
      </c>
      <c r="E74" s="335">
        <v>8279919.3679853212</v>
      </c>
    </row>
    <row r="75" spans="1:6">
      <c r="A75" s="1295" t="s">
        <v>65</v>
      </c>
      <c r="B75" s="1295" t="s">
        <v>725</v>
      </c>
      <c r="C75" s="1295" t="s">
        <v>729</v>
      </c>
      <c r="D75" s="335">
        <v>35546553</v>
      </c>
      <c r="E75" s="335">
        <v>48448621.592606574</v>
      </c>
    </row>
    <row r="76" spans="1:6">
      <c r="A76" s="1295" t="s">
        <v>65</v>
      </c>
      <c r="B76" s="1295" t="s">
        <v>727</v>
      </c>
      <c r="C76" s="1295" t="s">
        <v>730</v>
      </c>
      <c r="D76" s="335">
        <v>2658638.6661251821</v>
      </c>
      <c r="E76" s="335">
        <v>2898209.3977296893</v>
      </c>
    </row>
    <row r="77" spans="1:6">
      <c r="A77" s="1295" t="s">
        <v>66</v>
      </c>
      <c r="B77" s="1295" t="s">
        <v>725</v>
      </c>
      <c r="C77" s="1295" t="s">
        <v>731</v>
      </c>
      <c r="D77" s="335">
        <v>70750201</v>
      </c>
      <c r="E77" s="335">
        <v>82623082.869549736</v>
      </c>
    </row>
    <row r="78" spans="1:6">
      <c r="A78" s="1291" t="s">
        <v>66</v>
      </c>
      <c r="B78" s="1291" t="s">
        <v>727</v>
      </c>
      <c r="C78" s="1291" t="s">
        <v>732</v>
      </c>
      <c r="D78" s="1291">
        <v>17573897</v>
      </c>
      <c r="E78" s="1291">
        <v>19318076.508606836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393622.66774963564</v>
      </c>
      <c r="C83" s="335">
        <v>395971.02595365379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11224.94277</v>
      </c>
    </row>
    <row r="91" spans="1:6">
      <c r="A91" s="1295" t="s">
        <v>68</v>
      </c>
      <c r="B91" s="335">
        <v>4139.25</v>
      </c>
    </row>
    <row r="92" spans="1:6">
      <c r="A92" s="1291" t="s">
        <v>69</v>
      </c>
      <c r="B92" s="338">
        <v>11067.67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6352</v>
      </c>
    </row>
    <row r="98" spans="1:6">
      <c r="A98" s="1295" t="s">
        <v>72</v>
      </c>
      <c r="B98" s="335">
        <v>0</v>
      </c>
    </row>
    <row r="99" spans="1:6">
      <c r="A99" s="1295" t="s">
        <v>73</v>
      </c>
      <c r="B99" s="335">
        <v>112</v>
      </c>
    </row>
    <row r="100" spans="1:6">
      <c r="A100" s="1295" t="s">
        <v>74</v>
      </c>
      <c r="B100" s="335">
        <v>800</v>
      </c>
    </row>
    <row r="101" spans="1:6">
      <c r="A101" s="1295" t="s">
        <v>75</v>
      </c>
      <c r="B101" s="335">
        <v>112</v>
      </c>
    </row>
    <row r="102" spans="1:6">
      <c r="A102" s="1295" t="s">
        <v>76</v>
      </c>
      <c r="B102" s="335">
        <v>177</v>
      </c>
    </row>
    <row r="103" spans="1:6">
      <c r="A103" s="1295" t="s">
        <v>77</v>
      </c>
      <c r="B103" s="335">
        <v>204</v>
      </c>
    </row>
    <row r="104" spans="1:6">
      <c r="A104" s="1295" t="s">
        <v>78</v>
      </c>
      <c r="B104" s="335">
        <v>2528</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35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131</v>
      </c>
    </row>
    <row r="130" spans="1:6">
      <c r="A130" s="1295" t="s">
        <v>295</v>
      </c>
      <c r="B130" s="335">
        <v>0</v>
      </c>
    </row>
    <row r="131" spans="1:6">
      <c r="A131" s="1295" t="s">
        <v>296</v>
      </c>
      <c r="B131" s="335">
        <v>6</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157351.89516181112</v>
      </c>
      <c r="C3" s="43" t="s">
        <v>170</v>
      </c>
      <c r="D3" s="43"/>
      <c r="E3" s="156"/>
      <c r="F3" s="43"/>
      <c r="G3" s="43"/>
      <c r="H3" s="43"/>
      <c r="I3" s="43"/>
      <c r="J3" s="43"/>
      <c r="K3" s="96"/>
    </row>
    <row r="4" spans="1:11">
      <c r="A4" s="366" t="s">
        <v>171</v>
      </c>
      <c r="B4" s="49">
        <f>IF(ISERROR('SEAP template'!B78),0,'SEAP template'!B78)</f>
        <v>30189.36277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4413.4623529411774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0.20664753975853653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6304.9462184873964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29982.857142857145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0.21028503682776717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2219.69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2219.69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0.20664753975853653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458.69347752662594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42806.883999999998</v>
      </c>
      <c r="C5" s="17">
        <f>IF(ISERROR('Eigen informatie GS &amp; warmtenet'!B57),0,'Eigen informatie GS &amp; warmtenet'!B57)</f>
        <v>0</v>
      </c>
      <c r="D5" s="30">
        <f>(SUM(HH_hh_gas_kWh,HH_rest_gas_kWh)/1000)*0.902</f>
        <v>128583.83698600001</v>
      </c>
      <c r="E5" s="17">
        <f>B46*B57</f>
        <v>5352.2942997371392</v>
      </c>
      <c r="F5" s="17">
        <f>B51*B62</f>
        <v>6665.6213867060469</v>
      </c>
      <c r="G5" s="18"/>
      <c r="H5" s="17"/>
      <c r="I5" s="17"/>
      <c r="J5" s="17">
        <f>B50*B61+C50*C61</f>
        <v>0</v>
      </c>
      <c r="K5" s="17"/>
      <c r="L5" s="17"/>
      <c r="M5" s="17"/>
      <c r="N5" s="17">
        <f>B48*B59+C48*C59</f>
        <v>20065.362609016269</v>
      </c>
      <c r="O5" s="17">
        <f>B69*B70*B71</f>
        <v>259.51333333333338</v>
      </c>
      <c r="P5" s="17">
        <f>B77*B78*B79/1000-B77*B78*B79/1000/B80</f>
        <v>514.79999999999995</v>
      </c>
    </row>
    <row r="6" spans="1:16">
      <c r="A6" s="16" t="s">
        <v>634</v>
      </c>
      <c r="B6" s="783">
        <f>kWh_PV_kleiner_dan_10kW</f>
        <v>4139.25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46946.133999999998</v>
      </c>
      <c r="C8" s="21">
        <f>C5</f>
        <v>0</v>
      </c>
      <c r="D8" s="21">
        <f>D5</f>
        <v>128583.83698600001</v>
      </c>
      <c r="E8" s="21">
        <f>E5</f>
        <v>5352.2942997371392</v>
      </c>
      <c r="F8" s="21">
        <f>F5</f>
        <v>6665.6213867060469</v>
      </c>
      <c r="G8" s="21"/>
      <c r="H8" s="21"/>
      <c r="I8" s="21"/>
      <c r="J8" s="21">
        <f>J5</f>
        <v>0</v>
      </c>
      <c r="K8" s="21"/>
      <c r="L8" s="21">
        <f>L5</f>
        <v>0</v>
      </c>
      <c r="M8" s="21">
        <f>M5</f>
        <v>0</v>
      </c>
      <c r="N8" s="21">
        <f>N5</f>
        <v>20065.362609016269</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0.20664753975853653</v>
      </c>
      <c r="C10" s="25">
        <f ca="1">'EF ele_warmte'!B22</f>
        <v>0.21028503682776717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9701.3030922745838</v>
      </c>
      <c r="C12" s="23">
        <f ca="1">C10*C8</f>
        <v>0</v>
      </c>
      <c r="D12" s="23">
        <f>D8*D10</f>
        <v>25973.935071172004</v>
      </c>
      <c r="E12" s="23">
        <f>E10*E8</f>
        <v>1214.9708060403307</v>
      </c>
      <c r="F12" s="23">
        <f>F10*F8</f>
        <v>1779.7209102505146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6352</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10.9375</v>
      </c>
      <c r="D20" s="231"/>
      <c r="E20" s="15"/>
    </row>
    <row r="21" spans="1:7">
      <c r="A21" s="173" t="s">
        <v>74</v>
      </c>
      <c r="B21" s="37">
        <f>aantalw2001_elektriciteit</f>
        <v>800</v>
      </c>
      <c r="C21" s="169">
        <f>IF(ISERROR(B21/SUM($B$20,$B$21,$B$22)*100),0,B21/SUM($B$20,$B$21,$B$22)*100)</f>
        <v>78.125</v>
      </c>
      <c r="D21" s="231"/>
      <c r="E21" s="15"/>
    </row>
    <row r="22" spans="1:7">
      <c r="A22" s="173" t="s">
        <v>75</v>
      </c>
      <c r="B22" s="37">
        <f>aantalw2001_hout</f>
        <v>112</v>
      </c>
      <c r="C22" s="169">
        <f>IF(ISERROR(B22/SUM($B$20,$B$21,$B$22)*100),0,B22/SUM($B$20,$B$21,$B$22)*100)</f>
        <v>10.9375</v>
      </c>
      <c r="D22" s="231"/>
      <c r="E22" s="15"/>
    </row>
    <row r="23" spans="1:7">
      <c r="A23" s="173" t="s">
        <v>76</v>
      </c>
      <c r="B23" s="37">
        <f>aantalw2001_niet_gespec</f>
        <v>177</v>
      </c>
      <c r="C23" s="168" t="s">
        <v>111</v>
      </c>
      <c r="D23" s="230"/>
      <c r="E23" s="15"/>
    </row>
    <row r="24" spans="1:7">
      <c r="A24" s="173" t="s">
        <v>77</v>
      </c>
      <c r="B24" s="37">
        <f>aantalw2001_steenkool</f>
        <v>204</v>
      </c>
      <c r="C24" s="168" t="s">
        <v>111</v>
      </c>
      <c r="D24" s="231"/>
      <c r="E24" s="15"/>
    </row>
    <row r="25" spans="1:7">
      <c r="A25" s="173" t="s">
        <v>78</v>
      </c>
      <c r="B25" s="37">
        <f>aantalw2001_stookolie</f>
        <v>2528</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11507</v>
      </c>
      <c r="C28" s="36"/>
      <c r="D28" s="230"/>
    </row>
    <row r="29" spans="1:7" s="15" customFormat="1">
      <c r="A29" s="232" t="s">
        <v>746</v>
      </c>
      <c r="B29" s="37">
        <f>SUM(HH_hh_gas_aantal,HH_rest_gas_aantal)</f>
        <v>8868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8868</v>
      </c>
      <c r="C32" s="169">
        <f>IF(ISERROR(B32/SUM($B$32,$B$34,$B$35,$B$36,$B$38,$B$39)*100),0,B32/SUM($B$32,$B$34,$B$35,$B$36,$B$38,$B$39)*100)</f>
        <v>77.247386759581872</v>
      </c>
      <c r="D32" s="235"/>
      <c r="G32" s="15"/>
    </row>
    <row r="33" spans="1:7">
      <c r="A33" s="173" t="s">
        <v>72</v>
      </c>
      <c r="B33" s="34" t="s">
        <v>111</v>
      </c>
      <c r="C33" s="169"/>
      <c r="D33" s="235"/>
      <c r="G33" s="15"/>
    </row>
    <row r="34" spans="1:7">
      <c r="A34" s="173" t="s">
        <v>73</v>
      </c>
      <c r="B34" s="33">
        <f>IF((($B$28-$B$32-$B$39-$B$77-$B$38)*C20/100)&lt;0,0,($B$28-$B$32-$B$39-$B$77-$B$38)*C20/100)</f>
        <v>256.85624999999999</v>
      </c>
      <c r="C34" s="169">
        <f>IF(ISERROR(B34/SUM($B$32,$B$34,$B$35,$B$36,$B$38,$B$39)*100),0,B34/SUM($B$32,$B$34,$B$35,$B$36,$B$38,$B$39)*100)</f>
        <v>2.2374237804878043</v>
      </c>
      <c r="D34" s="235"/>
      <c r="G34" s="15"/>
    </row>
    <row r="35" spans="1:7">
      <c r="A35" s="173" t="s">
        <v>74</v>
      </c>
      <c r="B35" s="33">
        <f>IF((($B$28-$B$32-$B$39-$B$77-$B$38)*C21/100)&lt;0,0,($B$28-$B$32-$B$39-$B$77-$B$38)*C21/100)</f>
        <v>1834.6875</v>
      </c>
      <c r="C35" s="169">
        <f>IF(ISERROR(B35/SUM($B$32,$B$34,$B$35,$B$36,$B$38,$B$39)*100),0,B35/SUM($B$32,$B$34,$B$35,$B$36,$B$38,$B$39)*100)</f>
        <v>15.981598432055746</v>
      </c>
      <c r="D35" s="235"/>
      <c r="G35" s="15"/>
    </row>
    <row r="36" spans="1:7">
      <c r="A36" s="173" t="s">
        <v>75</v>
      </c>
      <c r="B36" s="33">
        <f>IF((($B$28-$B$32-$B$39-$B$77-$B$38)*C22/100)&lt;0,0,($B$28-$B$32-$B$39-$B$77-$B$38)*C22/100)</f>
        <v>256.85624999999999</v>
      </c>
      <c r="C36" s="169">
        <f>IF(ISERROR(B36/SUM($B$32,$B$34,$B$35,$B$36,$B$38,$B$39)*100),0,B36/SUM($B$32,$B$34,$B$35,$B$36,$B$38,$B$39)*100)</f>
        <v>2.2374237804878043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263.59999999999991</v>
      </c>
      <c r="C39" s="169">
        <f>IF(ISERROR(B39/SUM($B$32,$B$34,$B$35,$B$36,$B$38,$B$39)*100),0,B39/SUM($B$32,$B$34,$B$35,$B$36,$B$38,$B$39)*100)</f>
        <v>2.2961672473867583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8868</v>
      </c>
      <c r="C44" s="34" t="s">
        <v>111</v>
      </c>
      <c r="D44" s="176"/>
    </row>
    <row r="45" spans="1:7">
      <c r="A45" s="173" t="s">
        <v>72</v>
      </c>
      <c r="B45" s="33" t="str">
        <f t="shared" si="0"/>
        <v>-</v>
      </c>
      <c r="C45" s="34" t="s">
        <v>111</v>
      </c>
      <c r="D45" s="176"/>
    </row>
    <row r="46" spans="1:7">
      <c r="A46" s="173" t="s">
        <v>73</v>
      </c>
      <c r="B46" s="33">
        <f t="shared" si="0"/>
        <v>256.85624999999999</v>
      </c>
      <c r="C46" s="34" t="s">
        <v>111</v>
      </c>
      <c r="D46" s="176"/>
    </row>
    <row r="47" spans="1:7">
      <c r="A47" s="173" t="s">
        <v>74</v>
      </c>
      <c r="B47" s="33">
        <f t="shared" si="0"/>
        <v>1834.6875</v>
      </c>
      <c r="C47" s="34" t="s">
        <v>111</v>
      </c>
      <c r="D47" s="176"/>
    </row>
    <row r="48" spans="1:7">
      <c r="A48" s="173" t="s">
        <v>75</v>
      </c>
      <c r="B48" s="33">
        <f t="shared" si="0"/>
        <v>256.85624999999999</v>
      </c>
      <c r="C48" s="33">
        <f>B48*10</f>
        <v>2568.5625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263.59999999999991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57791.780000000006</v>
      </c>
      <c r="C5" s="17">
        <f>IF(ISERROR('Eigen informatie GS &amp; warmtenet'!B58),0,'Eigen informatie GS &amp; warmtenet'!B58)</f>
        <v>0</v>
      </c>
      <c r="D5" s="30">
        <f>SUM(D6:D12)</f>
        <v>85003.838678000015</v>
      </c>
      <c r="E5" s="17">
        <f>SUM(E6:E12)</f>
        <v>681.63591806614636</v>
      </c>
      <c r="F5" s="17">
        <f>SUM(F6:F12)</f>
        <v>11693.277962428614</v>
      </c>
      <c r="G5" s="18"/>
      <c r="H5" s="17"/>
      <c r="I5" s="17"/>
      <c r="J5" s="17">
        <f>SUM(J6:J12)</f>
        <v>0</v>
      </c>
      <c r="K5" s="17"/>
      <c r="L5" s="17"/>
      <c r="M5" s="17"/>
      <c r="N5" s="17">
        <f>SUM(N6:N12)</f>
        <v>8544.8204569991794</v>
      </c>
      <c r="O5" s="17">
        <f>B38*B39*B40</f>
        <v>0</v>
      </c>
      <c r="P5" s="17">
        <f>B46*B47*B48/1000-B46*B47*B48/1000/B49</f>
        <v>114.4</v>
      </c>
      <c r="R5" s="32"/>
    </row>
    <row r="6" spans="1:18">
      <c r="A6" s="32" t="s">
        <v>54</v>
      </c>
      <c r="B6" s="37">
        <f>B26</f>
        <v>8800.8089999999993</v>
      </c>
      <c r="C6" s="33"/>
      <c r="D6" s="37">
        <f>IF(ISERROR(TER_kantoor_gas_kWh/1000),0,TER_kantoor_gas_kWh/1000)*0.902</f>
        <v>10019.493571999999</v>
      </c>
      <c r="E6" s="33">
        <f>$C$26*'E Balans VL '!I12/100/3.6*1000000</f>
        <v>34.193006204826673</v>
      </c>
      <c r="F6" s="33">
        <f>$C$26*('E Balans VL '!L12+'E Balans VL '!N12)/100/3.6*1000000</f>
        <v>1338.5229679227093</v>
      </c>
      <c r="G6" s="34"/>
      <c r="H6" s="33"/>
      <c r="I6" s="33"/>
      <c r="J6" s="33">
        <f>$C$26*('E Balans VL '!D12+'E Balans VL '!E12)/100/3.6*1000000</f>
        <v>0</v>
      </c>
      <c r="K6" s="33"/>
      <c r="L6" s="33"/>
      <c r="M6" s="33"/>
      <c r="N6" s="33">
        <f>$C$26*'E Balans VL '!Y12/100/3.6*1000000</f>
        <v>4.8503000699537431</v>
      </c>
      <c r="O6" s="33"/>
      <c r="P6" s="33"/>
      <c r="R6" s="32"/>
    </row>
    <row r="7" spans="1:18">
      <c r="A7" s="32" t="s">
        <v>53</v>
      </c>
      <c r="B7" s="37">
        <f t="shared" ref="B7:B12" si="0">B27</f>
        <v>1924.106</v>
      </c>
      <c r="C7" s="33"/>
      <c r="D7" s="37">
        <f>IF(ISERROR(TER_horeca_gas_kWh/1000),0,TER_horeca_gas_kWh/1000)*0.902</f>
        <v>3139.6428140000003</v>
      </c>
      <c r="E7" s="33">
        <f>$C$27*'E Balans VL '!I9/100/3.6*1000000</f>
        <v>108.38540540071388</v>
      </c>
      <c r="F7" s="33">
        <f>$C$27*('E Balans VL '!L9+'E Balans VL '!N9)/100/3.6*1000000</f>
        <v>554.7969765253473</v>
      </c>
      <c r="G7" s="34"/>
      <c r="H7" s="33"/>
      <c r="I7" s="33"/>
      <c r="J7" s="33">
        <f>$C$27*('E Balans VL '!D9+'E Balans VL '!E9)/100/3.6*1000000</f>
        <v>0</v>
      </c>
      <c r="K7" s="33"/>
      <c r="L7" s="33"/>
      <c r="M7" s="33"/>
      <c r="N7" s="33">
        <f>$C$27*'E Balans VL '!Y9/100/3.6*1000000</f>
        <v>0.53123566800448685</v>
      </c>
      <c r="O7" s="33"/>
      <c r="P7" s="33"/>
      <c r="R7" s="32"/>
    </row>
    <row r="8" spans="1:18">
      <c r="A8" s="6" t="s">
        <v>52</v>
      </c>
      <c r="B8" s="37">
        <f t="shared" si="0"/>
        <v>33428.309000000001</v>
      </c>
      <c r="C8" s="33"/>
      <c r="D8" s="37">
        <f>IF(ISERROR(TER_handel_gas_kWh/1000),0,TER_handel_gas_kWh/1000)*0.902</f>
        <v>60786.067738000005</v>
      </c>
      <c r="E8" s="33">
        <f>$C$28*'E Balans VL '!I13/100/3.6*1000000</f>
        <v>481.81534366080393</v>
      </c>
      <c r="F8" s="33">
        <f>$C$28*('E Balans VL '!L13+'E Balans VL '!N13)/100/3.6*1000000</f>
        <v>5807.2757660848101</v>
      </c>
      <c r="G8" s="34"/>
      <c r="H8" s="33"/>
      <c r="I8" s="33"/>
      <c r="J8" s="33">
        <f>$C$28*('E Balans VL '!D13+'E Balans VL '!E13)/100/3.6*1000000</f>
        <v>0</v>
      </c>
      <c r="K8" s="33"/>
      <c r="L8" s="33"/>
      <c r="M8" s="33"/>
      <c r="N8" s="33">
        <f>$C$28*'E Balans VL '!Y13/100/3.6*1000000</f>
        <v>100.15493508001755</v>
      </c>
      <c r="O8" s="33"/>
      <c r="P8" s="33"/>
      <c r="R8" s="32"/>
    </row>
    <row r="9" spans="1:18">
      <c r="A9" s="32" t="s">
        <v>51</v>
      </c>
      <c r="B9" s="37">
        <f t="shared" si="0"/>
        <v>924.72199999999998</v>
      </c>
      <c r="C9" s="33"/>
      <c r="D9" s="37">
        <f>IF(ISERROR(TER_gezond_gas_kWh/1000),0,TER_gezond_gas_kWh/1000)*0.902</f>
        <v>898.6626</v>
      </c>
      <c r="E9" s="33">
        <f>$C$29*'E Balans VL '!I10/100/3.6*1000000</f>
        <v>0.98784277514046237</v>
      </c>
      <c r="F9" s="33">
        <f>$C$29*('E Balans VL '!L10+'E Balans VL '!N10)/100/3.6*1000000</f>
        <v>150.85026155616515</v>
      </c>
      <c r="G9" s="34"/>
      <c r="H9" s="33"/>
      <c r="I9" s="33"/>
      <c r="J9" s="33">
        <f>$C$29*('E Balans VL '!D10+'E Balans VL '!E10)/100/3.6*1000000</f>
        <v>0</v>
      </c>
      <c r="K9" s="33"/>
      <c r="L9" s="33"/>
      <c r="M9" s="33"/>
      <c r="N9" s="33">
        <f>$C$29*'E Balans VL '!Y10/100/3.6*1000000</f>
        <v>9.5194853541532964</v>
      </c>
      <c r="O9" s="33"/>
      <c r="P9" s="33"/>
      <c r="R9" s="32"/>
    </row>
    <row r="10" spans="1:18">
      <c r="A10" s="32" t="s">
        <v>50</v>
      </c>
      <c r="B10" s="37">
        <f t="shared" si="0"/>
        <v>12110.582</v>
      </c>
      <c r="C10" s="33"/>
      <c r="D10" s="37">
        <f>IF(ISERROR(TER_ander_gas_kWh/1000),0,TER_ander_gas_kWh/1000)*0.902</f>
        <v>8427.4338060000009</v>
      </c>
      <c r="E10" s="33">
        <f>$C$30*'E Balans VL '!I14/100/3.6*1000000</f>
        <v>55.694724461727859</v>
      </c>
      <c r="F10" s="33">
        <f>$C$30*('E Balans VL '!L14+'E Balans VL '!N14)/100/3.6*1000000</f>
        <v>3629.9234274899786</v>
      </c>
      <c r="G10" s="34"/>
      <c r="H10" s="33"/>
      <c r="I10" s="33"/>
      <c r="J10" s="33">
        <f>$C$30*('E Balans VL '!D14+'E Balans VL '!E14)/100/3.6*1000000</f>
        <v>0</v>
      </c>
      <c r="K10" s="33"/>
      <c r="L10" s="33"/>
      <c r="M10" s="33"/>
      <c r="N10" s="33">
        <f>$C$30*'E Balans VL '!Y14/100/3.6*1000000</f>
        <v>8429.7645008270501</v>
      </c>
      <c r="O10" s="33"/>
      <c r="P10" s="33"/>
      <c r="R10" s="32"/>
    </row>
    <row r="11" spans="1:18">
      <c r="A11" s="32" t="s">
        <v>55</v>
      </c>
      <c r="B11" s="37">
        <f t="shared" si="0"/>
        <v>603.25199999999995</v>
      </c>
      <c r="C11" s="33"/>
      <c r="D11" s="37">
        <f>IF(ISERROR(TER_onderwijs_gas_kWh/1000),0,TER_onderwijs_gas_kWh/1000)*0.902</f>
        <v>1732.5381479999999</v>
      </c>
      <c r="E11" s="33">
        <f>$C$31*'E Balans VL '!I11/100/3.6*1000000</f>
        <v>0.55959556293348078</v>
      </c>
      <c r="F11" s="33">
        <f>$C$31*('E Balans VL '!L11+'E Balans VL '!N11)/100/3.6*1000000</f>
        <v>211.90856284960296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1341</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59132.780000000006</v>
      </c>
      <c r="C16" s="21">
        <f t="shared" ca="1" si="1"/>
        <v>0</v>
      </c>
      <c r="D16" s="21">
        <f t="shared" ca="1" si="1"/>
        <v>85003.838678000015</v>
      </c>
      <c r="E16" s="21">
        <f t="shared" si="1"/>
        <v>681.63591806614636</v>
      </c>
      <c r="F16" s="21">
        <f t="shared" ca="1" si="1"/>
        <v>11693.277962428614</v>
      </c>
      <c r="G16" s="21">
        <f t="shared" si="1"/>
        <v>0</v>
      </c>
      <c r="H16" s="21">
        <f t="shared" si="1"/>
        <v>0</v>
      </c>
      <c r="I16" s="21">
        <f t="shared" si="1"/>
        <v>0</v>
      </c>
      <c r="J16" s="21">
        <f t="shared" si="1"/>
        <v>0</v>
      </c>
      <c r="K16" s="21">
        <f t="shared" si="1"/>
        <v>0</v>
      </c>
      <c r="L16" s="21">
        <f t="shared" ca="1" si="1"/>
        <v>0</v>
      </c>
      <c r="M16" s="21">
        <f t="shared" si="1"/>
        <v>0</v>
      </c>
      <c r="N16" s="21">
        <f t="shared" ca="1" si="1"/>
        <v>4713.3918855706079</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0.20664753975853653</v>
      </c>
      <c r="C18" s="25">
        <f ca="1">'EF ele_warmte'!B22</f>
        <v>0.21028503682776717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12219.643506082795</v>
      </c>
      <c r="C20" s="23">
        <f t="shared" ref="C20:P20" ca="1" si="2">C16*C18</f>
        <v>0</v>
      </c>
      <c r="D20" s="23">
        <f t="shared" ca="1" si="2"/>
        <v>17170.775412956005</v>
      </c>
      <c r="E20" s="23">
        <f t="shared" si="2"/>
        <v>154.73135340101524</v>
      </c>
      <c r="F20" s="23">
        <f t="shared" ca="1" si="2"/>
        <v>3122.10521596844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8800.8089999999993</v>
      </c>
      <c r="C26" s="39">
        <f>IF(ISERROR(B26*3.6/1000000/'E Balans VL '!Z12*100),0,B26*3.6/1000000/'E Balans VL '!Z12*100)</f>
        <v>0.18693354251407029</v>
      </c>
      <c r="D26" s="239" t="s">
        <v>692</v>
      </c>
      <c r="F26" s="6"/>
    </row>
    <row r="27" spans="1:18">
      <c r="A27" s="233" t="s">
        <v>53</v>
      </c>
      <c r="B27" s="33">
        <f>IF(ISERROR(TER_horeca_ele_kWh/1000),0,TER_horeca_ele_kWh/1000)</f>
        <v>1924.106</v>
      </c>
      <c r="C27" s="39">
        <f>IF(ISERROR(B27*3.6/1000000/'E Balans VL '!Z9*100),0,B27*3.6/1000000/'E Balans VL '!Z9*100)</f>
        <v>0.14961095945618938</v>
      </c>
      <c r="D27" s="239" t="s">
        <v>692</v>
      </c>
      <c r="F27" s="6"/>
    </row>
    <row r="28" spans="1:18">
      <c r="A28" s="173" t="s">
        <v>52</v>
      </c>
      <c r="B28" s="33">
        <f>IF(ISERROR(TER_handel_ele_kWh/1000),0,TER_handel_ele_kWh/1000)</f>
        <v>33428.309000000001</v>
      </c>
      <c r="C28" s="39">
        <f>IF(ISERROR(B28*3.6/1000000/'E Balans VL '!Z13*100),0,B28*3.6/1000000/'E Balans VL '!Z13*100)</f>
        <v>0.95642326167419445</v>
      </c>
      <c r="D28" s="239" t="s">
        <v>692</v>
      </c>
      <c r="F28" s="6"/>
    </row>
    <row r="29" spans="1:18">
      <c r="A29" s="233" t="s">
        <v>51</v>
      </c>
      <c r="B29" s="33">
        <f>IF(ISERROR(TER_gezond_ele_kWh/1000),0,TER_gezond_ele_kWh/1000)</f>
        <v>924.72199999999998</v>
      </c>
      <c r="C29" s="39">
        <f>IF(ISERROR(B29*3.6/1000000/'E Balans VL '!Z10*100),0,B29*3.6/1000000/'E Balans VL '!Z10*100)</f>
        <v>0.10081618596218946</v>
      </c>
      <c r="D29" s="239" t="s">
        <v>692</v>
      </c>
      <c r="F29" s="6"/>
    </row>
    <row r="30" spans="1:18">
      <c r="A30" s="233" t="s">
        <v>50</v>
      </c>
      <c r="B30" s="33">
        <f>IF(ISERROR(TER_ander_ele_kWh/1000),0,TER_ander_ele_kWh/1000)</f>
        <v>12110.582</v>
      </c>
      <c r="C30" s="39">
        <f>IF(ISERROR(B30*3.6/1000000/'E Balans VL '!Z14*100),0,B30*3.6/1000000/'E Balans VL '!Z14*100)</f>
        <v>0.88622491855597407</v>
      </c>
      <c r="D30" s="239" t="s">
        <v>692</v>
      </c>
      <c r="F30" s="6"/>
    </row>
    <row r="31" spans="1:18">
      <c r="A31" s="233" t="s">
        <v>55</v>
      </c>
      <c r="B31" s="33">
        <f>IF(ISERROR(TER_onderwijs_ele_kWh/1000),0,TER_onderwijs_ele_kWh/1000)</f>
        <v>603.25199999999995</v>
      </c>
      <c r="C31" s="39">
        <f>IF(ISERROR(B31*3.6/1000000/'E Balans VL '!Z11*100),0,B31*3.6/1000000/'E Balans VL '!Z11*100)</f>
        <v>0.12116361216258265</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45252.383000000009</v>
      </c>
      <c r="C5" s="17">
        <f>IF(ISERROR('Eigen informatie GS &amp; warmtenet'!B59),0,'Eigen informatie GS &amp; warmtenet'!B59)</f>
        <v>0</v>
      </c>
      <c r="D5" s="30">
        <f>SUM(D6:D15)</f>
        <v>71396.818702000019</v>
      </c>
      <c r="E5" s="17">
        <f>SUM(E6:E15)</f>
        <v>4088.6906219285052</v>
      </c>
      <c r="F5" s="17">
        <f>SUM(F6:F15)</f>
        <v>18779.594345327492</v>
      </c>
      <c r="G5" s="18"/>
      <c r="H5" s="17"/>
      <c r="I5" s="17"/>
      <c r="J5" s="17">
        <f>SUM(J6:J15)</f>
        <v>47.00750900851282</v>
      </c>
      <c r="K5" s="17"/>
      <c r="L5" s="17"/>
      <c r="M5" s="17"/>
      <c r="N5" s="17">
        <f>SUM(N6:N15)</f>
        <v>9690.7243764937411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85.376999999999995</v>
      </c>
      <c r="C7" s="33"/>
      <c r="D7" s="37">
        <f>IF( ISERROR(IND_nonf_gas_kWhh/1000),0,IND_nonf_gas_kWh/1000)*0.902</f>
        <v>0</v>
      </c>
      <c r="E7" s="33">
        <f>C29*'E Balans VL '!I17/100/3.6*1000000</f>
        <v>2.0179623844915239E-2</v>
      </c>
      <c r="F7" s="33">
        <f>C29*'E Balans VL '!L17/100/3.6*1000000+C29*'E Balans VL '!N17/100/3.6*1000000</f>
        <v>19.4000817184473</v>
      </c>
      <c r="G7" s="34"/>
      <c r="H7" s="33"/>
      <c r="I7" s="33"/>
      <c r="J7" s="40">
        <f>C29*'E Balans VL '!D17/100/3.6*1000000+C29*'E Balans VL '!E17/100/3.6*1000000</f>
        <v>27.224592909918698</v>
      </c>
      <c r="K7" s="33"/>
      <c r="L7" s="33"/>
      <c r="M7" s="33"/>
      <c r="N7" s="33">
        <f>C29*'E Balans VL '!Y17/100/3.6*1000000</f>
        <v>0</v>
      </c>
      <c r="O7" s="33"/>
      <c r="P7" s="33"/>
      <c r="R7" s="32"/>
    </row>
    <row r="8" spans="1:18">
      <c r="A8" s="6" t="s">
        <v>36</v>
      </c>
      <c r="B8" s="37">
        <f t="shared" si="0"/>
        <v>5703.8019999999997</v>
      </c>
      <c r="C8" s="33"/>
      <c r="D8" s="37">
        <f>IF( ISERROR(IND_metaal_Gas_kWH/1000),0,IND_metaal_Gas_kWH/1000)*0.902</f>
        <v>4412.1762959999996</v>
      </c>
      <c r="E8" s="33">
        <f>C30*'E Balans VL '!I18/100/3.6*1000000</f>
        <v>163.83460288622803</v>
      </c>
      <c r="F8" s="33">
        <f>C30*'E Balans VL '!L18/100/3.6*1000000+C30*'E Balans VL '!N18/100/3.6*1000000</f>
        <v>1462.9155131224297</v>
      </c>
      <c r="G8" s="34"/>
      <c r="H8" s="33"/>
      <c r="I8" s="33"/>
      <c r="J8" s="40">
        <f>C30*'E Balans VL '!D18/100/3.6*1000000+C30*'E Balans VL '!E18/100/3.6*1000000</f>
        <v>0</v>
      </c>
      <c r="K8" s="33"/>
      <c r="L8" s="33"/>
      <c r="M8" s="33"/>
      <c r="N8" s="33">
        <f>C30*'E Balans VL '!Y18/100/3.6*1000000</f>
        <v>154.86986740945122</v>
      </c>
      <c r="O8" s="33"/>
      <c r="P8" s="33"/>
      <c r="R8" s="32"/>
    </row>
    <row r="9" spans="1:18">
      <c r="A9" s="6" t="s">
        <v>33</v>
      </c>
      <c r="B9" s="37">
        <f t="shared" si="0"/>
        <v>12985.368</v>
      </c>
      <c r="C9" s="33"/>
      <c r="D9" s="37">
        <f>IF( ISERROR(IND_andere_gas_kWh/1000),0,IND_andere_gas_kWh/1000)*0.902</f>
        <v>6232.300448</v>
      </c>
      <c r="E9" s="33">
        <f>C31*'E Balans VL '!I19/100/3.6*1000000</f>
        <v>3514.8198458317802</v>
      </c>
      <c r="F9" s="33">
        <f>C31*'E Balans VL '!L19/100/3.6*1000000+C31*'E Balans VL '!N19/100/3.6*1000000</f>
        <v>8649.6292269786354</v>
      </c>
      <c r="G9" s="34"/>
      <c r="H9" s="33"/>
      <c r="I9" s="33"/>
      <c r="J9" s="40">
        <f>C31*'E Balans VL '!D19/100/3.6*1000000+C31*'E Balans VL '!E19/100/3.6*1000000</f>
        <v>0</v>
      </c>
      <c r="K9" s="33"/>
      <c r="L9" s="33"/>
      <c r="M9" s="33"/>
      <c r="N9" s="33">
        <f>C31*'E Balans VL '!Y19/100/3.6*1000000</f>
        <v>4239.5069465707611</v>
      </c>
      <c r="O9" s="33"/>
      <c r="P9" s="33"/>
      <c r="R9" s="32"/>
    </row>
    <row r="10" spans="1:18">
      <c r="A10" s="6" t="s">
        <v>41</v>
      </c>
      <c r="B10" s="37">
        <f t="shared" si="0"/>
        <v>4388.0330000000004</v>
      </c>
      <c r="C10" s="33"/>
      <c r="D10" s="37">
        <f>IF( ISERROR(IND_voed_gas_kWh/1000),0,IND_voed_gas_kWh/1000)*0.902</f>
        <v>9298.5024220000014</v>
      </c>
      <c r="E10" s="33">
        <f>C32*'E Balans VL '!I20/100/3.6*1000000</f>
        <v>357.89805272348985</v>
      </c>
      <c r="F10" s="33">
        <f>C32*'E Balans VL '!L20/100/3.6*1000000+C32*'E Balans VL '!N20/100/3.6*1000000</f>
        <v>6542.9553202373063</v>
      </c>
      <c r="G10" s="34"/>
      <c r="H10" s="33"/>
      <c r="I10" s="33"/>
      <c r="J10" s="40">
        <f>C32*'E Balans VL '!D20/100/3.6*1000000+C32*'E Balans VL '!E20/100/3.6*1000000</f>
        <v>5.8048350232472123E-2</v>
      </c>
      <c r="K10" s="33"/>
      <c r="L10" s="33"/>
      <c r="M10" s="33"/>
      <c r="N10" s="33">
        <f>C32*'E Balans VL '!Y20/100/3.6*1000000</f>
        <v>1289.049258411171</v>
      </c>
      <c r="O10" s="33"/>
      <c r="P10" s="33"/>
      <c r="R10" s="32"/>
    </row>
    <row r="11" spans="1:18">
      <c r="A11" s="6" t="s">
        <v>40</v>
      </c>
      <c r="B11" s="37">
        <f t="shared" si="0"/>
        <v>16650.811000000002</v>
      </c>
      <c r="C11" s="33"/>
      <c r="D11" s="37">
        <f>IF( ISERROR(IND_textiel_gas_kWh/1000),0,IND_textiel_gas_kWh/1000)*0.902</f>
        <v>44950.232822000005</v>
      </c>
      <c r="E11" s="33">
        <f>C33*'E Balans VL '!I21/100/3.6*1000000</f>
        <v>3.3005314109601094</v>
      </c>
      <c r="F11" s="33">
        <f>C33*'E Balans VL '!L21/100/3.6*1000000+C33*'E Balans VL '!N21/100/3.6*1000000</f>
        <v>613.26945839760288</v>
      </c>
      <c r="G11" s="34"/>
      <c r="H11" s="33"/>
      <c r="I11" s="33"/>
      <c r="J11" s="40">
        <f>C33*'E Balans VL '!D21/100/3.6*1000000+C33*'E Balans VL '!E21/100/3.6*1000000</f>
        <v>0</v>
      </c>
      <c r="K11" s="33"/>
      <c r="L11" s="33"/>
      <c r="M11" s="33"/>
      <c r="N11" s="33">
        <f>C33*'E Balans VL '!Y21/100/3.6*1000000</f>
        <v>77.422067788522739</v>
      </c>
      <c r="O11" s="33"/>
      <c r="P11" s="33"/>
      <c r="R11" s="32"/>
    </row>
    <row r="12" spans="1:18">
      <c r="A12" s="6" t="s">
        <v>37</v>
      </c>
      <c r="B12" s="37">
        <f t="shared" si="0"/>
        <v>3571.6759999999999</v>
      </c>
      <c r="C12" s="33"/>
      <c r="D12" s="37">
        <f>IF( ISERROR(IND_min_gas_kWh/1000),0,IND_min_gas_kWh/1000)*0.902</f>
        <v>136.25702200000001</v>
      </c>
      <c r="E12" s="33">
        <f>C34*'E Balans VL '!I22/100/3.6*1000000</f>
        <v>27.822577804925601</v>
      </c>
      <c r="F12" s="33">
        <f>C34*'E Balans VL '!L22/100/3.6*1000000+C34*'E Balans VL '!N22/100/3.6*1000000</f>
        <v>1347.0167010061991</v>
      </c>
      <c r="G12" s="34"/>
      <c r="H12" s="33"/>
      <c r="I12" s="33"/>
      <c r="J12" s="40">
        <f>C34*'E Balans VL '!D22/100/3.6*1000000+C34*'E Balans VL '!E22/100/3.6*1000000</f>
        <v>19.643905717911469</v>
      </c>
      <c r="K12" s="33"/>
      <c r="L12" s="33"/>
      <c r="M12" s="33"/>
      <c r="N12" s="33">
        <f>C34*'E Balans VL '!Y22/100/3.6*1000000</f>
        <v>0</v>
      </c>
      <c r="O12" s="33"/>
      <c r="P12" s="33"/>
      <c r="R12" s="32"/>
    </row>
    <row r="13" spans="1:18">
      <c r="A13" s="6" t="s">
        <v>39</v>
      </c>
      <c r="B13" s="37">
        <f t="shared" si="0"/>
        <v>1835.7280000000001</v>
      </c>
      <c r="C13" s="33"/>
      <c r="D13" s="37">
        <f>IF( ISERROR(IND_papier_gas_kWh/1000),0,IND_papier_gas_kWh/1000)*0.902</f>
        <v>6176.0291779999998</v>
      </c>
      <c r="E13" s="33">
        <f>C35*'E Balans VL '!I23/100/3.6*1000000</f>
        <v>19.232595088278206</v>
      </c>
      <c r="F13" s="33">
        <f>C35*'E Balans VL '!L23/100/3.6*1000000+C35*'E Balans VL '!N23/100/3.6*1000000</f>
        <v>136.98234873550567</v>
      </c>
      <c r="G13" s="34"/>
      <c r="H13" s="33"/>
      <c r="I13" s="33"/>
      <c r="J13" s="40">
        <f>C35*'E Balans VL '!D23/100/3.6*1000000+C35*'E Balans VL '!E23/100/3.6*1000000</f>
        <v>0</v>
      </c>
      <c r="K13" s="33"/>
      <c r="L13" s="33"/>
      <c r="M13" s="33"/>
      <c r="N13" s="33">
        <f>C35*'E Balans VL '!Y23/100/3.6*1000000</f>
        <v>3923.6769925331523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31.588000000000001</v>
      </c>
      <c r="C15" s="33"/>
      <c r="D15" s="37">
        <f>IF( ISERROR(IND_rest_gas_kWh/1000),0,IND_rest_gas_kWh/1000)*0.902</f>
        <v>191.320514</v>
      </c>
      <c r="E15" s="33">
        <f>C37*'E Balans VL '!I15/100/3.6*1000000</f>
        <v>1.7622365589981861</v>
      </c>
      <c r="F15" s="33">
        <f>C37*'E Balans VL '!L15/100/3.6*1000000+C37*'E Balans VL '!N15/100/3.6*1000000</f>
        <v>7.4256951313661208</v>
      </c>
      <c r="G15" s="34"/>
      <c r="H15" s="33"/>
      <c r="I15" s="33"/>
      <c r="J15" s="40">
        <f>C37*'E Balans VL '!D15/100/3.6*1000000+C37*'E Balans VL '!E15/100/3.6*1000000</f>
        <v>8.0962030450183881E-2</v>
      </c>
      <c r="K15" s="33"/>
      <c r="L15" s="33"/>
      <c r="M15" s="33"/>
      <c r="N15" s="33">
        <f>C37*'E Balans VL '!Y15/100/3.6*1000000</f>
        <v>6.1992437806846672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45252.383000000009</v>
      </c>
      <c r="C18" s="21">
        <f>C5+C16</f>
        <v>0</v>
      </c>
      <c r="D18" s="21">
        <f>MAX((D5+D16),0)</f>
        <v>71396.818702000019</v>
      </c>
      <c r="E18" s="21">
        <f>MAX((E5+E16),0)</f>
        <v>4088.6906219285052</v>
      </c>
      <c r="F18" s="21">
        <f>MAX((F5+F16),0)</f>
        <v>18779.594345327492</v>
      </c>
      <c r="G18" s="21"/>
      <c r="H18" s="21"/>
      <c r="I18" s="21"/>
      <c r="J18" s="21">
        <f>MAX((J5+J16),0)</f>
        <v>47.00750900851282</v>
      </c>
      <c r="K18" s="21"/>
      <c r="L18" s="21">
        <f>MAX((L5+L16),0)</f>
        <v>0</v>
      </c>
      <c r="M18" s="21"/>
      <c r="N18" s="21">
        <f>MAX((N5+N16),0)</f>
        <v>9690.7243764937411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0.20664753975853653</v>
      </c>
      <c r="C20" s="25">
        <f ca="1">'EF ele_warmte'!B22</f>
        <v>0.21028503682776717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9351.2936151610247</v>
      </c>
      <c r="C22" s="23">
        <f ca="1">C18*C20</f>
        <v>0</v>
      </c>
      <c r="D22" s="23">
        <f>D18*D20</f>
        <v>14422.157377804006</v>
      </c>
      <c r="E22" s="23">
        <f>E18*E20</f>
        <v>928.13277117777068</v>
      </c>
      <c r="F22" s="23">
        <f>F18*F20</f>
        <v>5014.1516902024405</v>
      </c>
      <c r="G22" s="23"/>
      <c r="H22" s="23"/>
      <c r="I22" s="23"/>
      <c r="J22" s="23">
        <f>J18*J20</f>
        <v>16.640658189013536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85.376999999999995</v>
      </c>
      <c r="C29" s="39">
        <f>IF(ISERROR(B29*3.6/1000000/'E Balans VL '!Z17*100),0,B29*3.6/1000000/'E Balans VL '!Z17*100)</f>
        <v>9.2786256283710664E-2</v>
      </c>
      <c r="D29" s="239" t="s">
        <v>692</v>
      </c>
    </row>
    <row r="30" spans="1:18">
      <c r="A30" s="173" t="s">
        <v>36</v>
      </c>
      <c r="B30" s="37">
        <f>IF( ISERROR(IND_metaal_ele_kWh/1000),0,IND_metaal_ele_kWh/1000)</f>
        <v>5703.8019999999997</v>
      </c>
      <c r="C30" s="39">
        <f>IF(ISERROR(B30*3.6/1000000/'E Balans VL '!Z18*100),0,B30*3.6/1000000/'E Balans VL '!Z18*100)</f>
        <v>0.56123955654452606</v>
      </c>
      <c r="D30" s="239" t="s">
        <v>692</v>
      </c>
    </row>
    <row r="31" spans="1:18">
      <c r="A31" s="6" t="s">
        <v>33</v>
      </c>
      <c r="B31" s="37">
        <f>IF( ISERROR(IND_ander_ele_kWh/1000),0,IND_ander_ele_kWh/1000)</f>
        <v>12985.368</v>
      </c>
      <c r="C31" s="39">
        <f>IF(ISERROR(B31*3.6/1000000/'E Balans VL '!Z19*100),0,B31*3.6/1000000/'E Balans VL '!Z19*100)</f>
        <v>0.5655024180739826</v>
      </c>
      <c r="D31" s="239" t="s">
        <v>692</v>
      </c>
    </row>
    <row r="32" spans="1:18">
      <c r="A32" s="173" t="s">
        <v>41</v>
      </c>
      <c r="B32" s="37">
        <f>IF( ISERROR(IND_voed_ele_kWh/1000),0,IND_voed_ele_kWh/1000)</f>
        <v>4388.0330000000004</v>
      </c>
      <c r="C32" s="39">
        <f>IF(ISERROR(B32*3.6/1000000/'E Balans VL '!Z20*100),0,B32*3.6/1000000/'E Balans VL '!Z20*100)</f>
        <v>0.83256597942984611</v>
      </c>
      <c r="D32" s="239" t="s">
        <v>692</v>
      </c>
    </row>
    <row r="33" spans="1:5">
      <c r="A33" s="173" t="s">
        <v>40</v>
      </c>
      <c r="B33" s="37">
        <f>IF( ISERROR(IND_textiel_ele_kWh/1000),0,IND_textiel_ele_kWh/1000)</f>
        <v>16650.811000000002</v>
      </c>
      <c r="C33" s="39">
        <f>IF(ISERROR(B33*3.6/1000000/'E Balans VL '!Z21*100),0,B33*3.6/1000000/'E Balans VL '!Z21*100)</f>
        <v>0.95067686758538061</v>
      </c>
      <c r="D33" s="239" t="s">
        <v>692</v>
      </c>
    </row>
    <row r="34" spans="1:5">
      <c r="A34" s="173" t="s">
        <v>37</v>
      </c>
      <c r="B34" s="37">
        <f>IF( ISERROR(IND_min_ele_kWh/1000),0,IND_min_ele_kWh/1000)</f>
        <v>3571.6759999999999</v>
      </c>
      <c r="C34" s="39">
        <f>IF(ISERROR(B34*3.6/1000000/'E Balans VL '!Z22*100),0,B34*3.6/1000000/'E Balans VL '!Z22*100)</f>
        <v>0.50221351125247282</v>
      </c>
      <c r="D34" s="239" t="s">
        <v>692</v>
      </c>
    </row>
    <row r="35" spans="1:5">
      <c r="A35" s="173" t="s">
        <v>39</v>
      </c>
      <c r="B35" s="37">
        <f>IF( ISERROR(IND_papier_ele_kWh/1000),0,IND_papier_ele_kWh/1000)</f>
        <v>1835.7280000000001</v>
      </c>
      <c r="C35" s="39">
        <f>IF(ISERROR(B35*3.6/1000000/'E Balans VL '!Z22*100),0,B35*3.6/1000000/'E Balans VL '!Z22*100)</f>
        <v>0.25812179060600104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31.588000000000001</v>
      </c>
      <c r="C37" s="39">
        <f>IF(ISERROR(B37*3.6/1000000/'E Balans VL '!Z15*100),0,B37*3.6/1000000/'E Balans VL '!Z15*100)</f>
        <v>2.43424338061388E-4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2226.6669999999999</v>
      </c>
      <c r="C5" s="17">
        <f>'Eigen informatie GS &amp; warmtenet'!B60</f>
        <v>0</v>
      </c>
      <c r="D5" s="30">
        <f>IF(ISERROR(SUM(LB_lb_gas_kWh,LB_rest_gas_kWh)/1000),0,SUM(LB_lb_gas_kWh,LB_rest_gas_kWh)/1000)*0.902</f>
        <v>40435.292567999997</v>
      </c>
      <c r="E5" s="17">
        <f>B17*'E Balans VL '!I25/3.6*1000000/100</f>
        <v>28.058872730327238</v>
      </c>
      <c r="F5" s="17">
        <f>B17*('E Balans VL '!L25/3.6*1000000+'E Balans VL '!N25/3.6*1000000)/100</f>
        <v>7682.5589634142198</v>
      </c>
      <c r="G5" s="18"/>
      <c r="H5" s="17"/>
      <c r="I5" s="17"/>
      <c r="J5" s="17">
        <f>('E Balans VL '!D25+'E Balans VL '!E25)/3.6*1000000*landbouw!B17/100</f>
        <v>334.86540494288261</v>
      </c>
      <c r="K5" s="17"/>
      <c r="L5" s="17">
        <f>L6*(-1)</f>
        <v>0</v>
      </c>
      <c r="M5" s="17"/>
      <c r="N5" s="17">
        <f>N6*(-1)</f>
        <v>6904.2857142857147</v>
      </c>
      <c r="O5" s="17"/>
      <c r="P5" s="17"/>
      <c r="R5" s="32"/>
    </row>
    <row r="6" spans="1:18">
      <c r="A6" s="16" t="s">
        <v>497</v>
      </c>
      <c r="B6" s="17" t="s">
        <v>211</v>
      </c>
      <c r="C6" s="17">
        <f>'lokale energieproductie'!O92+'lokale energieproductie'!O61</f>
        <v>29982.857142857145</v>
      </c>
      <c r="D6" s="312">
        <f>('lokale energieproductie'!P61+'lokale energieproductie'!P92)*(-1)</f>
        <v>-53061.42857142858</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-6904.2857142857147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2226.6669999999999</v>
      </c>
      <c r="C8" s="21">
        <f>C5+C6</f>
        <v>29982.857142857145</v>
      </c>
      <c r="D8" s="21">
        <f>MAX((D5+D6),0)</f>
        <v>0</v>
      </c>
      <c r="E8" s="21">
        <f>MAX((E5+E6),0)</f>
        <v>28.058872730327238</v>
      </c>
      <c r="F8" s="21">
        <f>MAX((F5+F6),0)</f>
        <v>7682.5589634142198</v>
      </c>
      <c r="G8" s="21"/>
      <c r="H8" s="21"/>
      <c r="I8" s="21"/>
      <c r="J8" s="21">
        <f>MAX((J5+J6),0)</f>
        <v>334.86540494288261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0.20664753975853653</v>
      </c>
      <c r="C10" s="31">
        <f ca="1">'EF ele_warmte'!B22</f>
        <v>0.21028503682776717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460.13525741152125</v>
      </c>
      <c r="C12" s="23">
        <f ca="1">C8*C10</f>
        <v>6304.9462184873964</v>
      </c>
      <c r="D12" s="23">
        <f>D8*D10</f>
        <v>0</v>
      </c>
      <c r="E12" s="23">
        <f>E8*E10</f>
        <v>6.369364109784283</v>
      </c>
      <c r="F12" s="23">
        <f>F8*F10</f>
        <v>2051.2432432315968</v>
      </c>
      <c r="G12" s="23"/>
      <c r="H12" s="23"/>
      <c r="I12" s="23"/>
      <c r="J12" s="23">
        <f>J8*J10</f>
        <v>118.54235334978044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0.31054986602987666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183.29193670779995</v>
      </c>
      <c r="C26" s="249">
        <f>B26*'GWP N2O_CH4'!B5</f>
        <v>3849.130670863799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67.569233671001228</v>
      </c>
      <c r="C27" s="249">
        <f>B27*'GWP N2O_CH4'!B5</f>
        <v>1418.9539070910257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2.7595172440958056</v>
      </c>
      <c r="C28" s="249">
        <f>B28*'GWP N2O_CH4'!B4</f>
        <v>855.45034566969969</v>
      </c>
      <c r="D28" s="50"/>
    </row>
    <row r="29" spans="1:4">
      <c r="A29" s="41" t="s">
        <v>277</v>
      </c>
      <c r="B29" s="249">
        <f>B34*'ha_N2O bodem landbouw'!B4</f>
        <v>6.7965081616291556</v>
      </c>
      <c r="C29" s="249">
        <f>B29*'GWP N2O_CH4'!B4</f>
        <v>2106.9175301050382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1.6970201753537938E-3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3.2580582519871996E-5</v>
      </c>
      <c r="C5" s="448" t="s">
        <v>211</v>
      </c>
      <c r="D5" s="433">
        <f>SUM(D6:D11)</f>
        <v>5.4743532879236485E-5</v>
      </c>
      <c r="E5" s="433">
        <f>SUM(E6:E11)</f>
        <v>1.8364118122298351E-3</v>
      </c>
      <c r="F5" s="446" t="s">
        <v>211</v>
      </c>
      <c r="G5" s="433">
        <f>SUM(G6:G11)</f>
        <v>0.57395309975412379</v>
      </c>
      <c r="H5" s="433">
        <f>SUM(H6:H11)</f>
        <v>8.3279319348375569E-2</v>
      </c>
      <c r="I5" s="448" t="s">
        <v>211</v>
      </c>
      <c r="J5" s="448" t="s">
        <v>211</v>
      </c>
      <c r="K5" s="448" t="s">
        <v>211</v>
      </c>
      <c r="L5" s="448" t="s">
        <v>211</v>
      </c>
      <c r="M5" s="433">
        <f>SUM(M6:M11)</f>
        <v>2.970039684995095E-2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1.1685382546924096E-5</v>
      </c>
      <c r="C6" s="887"/>
      <c r="D6" s="887">
        <f>vkm_2011_GW_PW*SUMIFS(TableVerdeelsleutelVkm[CNG],TableVerdeelsleutelVkm[Voertuigtype],"Lichte voertuigen")*SUMIFS(TableECFTransport[EnergieConsumptieFactor (PJ per km)],TableECFTransport[Index],CONCATENATE($A6,"_CNG_CNG"))</f>
        <v>1.6548787120743084E-5</v>
      </c>
      <c r="E6" s="887">
        <f>vkm_2011_GW_PW*SUMIFS(TableVerdeelsleutelVkm[LPG],TableVerdeelsleutelVkm[Voertuigtype],"Lichte voertuigen")*SUMIFS(TableECFTransport[EnergieConsumptieFactor (PJ per km)],TableECFTransport[Index],CONCATENATE($A6,"_LPG_LPG"))</f>
        <v>5.1974292341705442E-4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9.3412034959166446E-2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2.5030506416824194E-2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5.3587190282992914E-3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7.2452878606940468E-2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2.5741756667261417E-5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3.269569113986041E-3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6.9875354169704111E-6</v>
      </c>
      <c r="C8" s="887"/>
      <c r="D8" s="436">
        <f>vkm_2011_NGW_PW*SUMIFS(TableVerdeelsleutelVkm[CNG],TableVerdeelsleutelVkm[Voertuigtype],"Lichte voertuigen")*SUMIFS(TableECFTransport[EnergieConsumptieFactor (PJ per km)],TableECFTransport[Index],CONCATENATE($A8,"_CNG_CNG"))</f>
        <v>1.7629388171090736E-5</v>
      </c>
      <c r="E8" s="436">
        <f>vkm_2011_NGW_PW*SUMIFS(TableVerdeelsleutelVkm[LPG],TableVerdeelsleutelVkm[Voertuigtype],"Lichte voertuigen")*SUMIFS(TableECFTransport[EnergieConsumptieFactor (PJ per km)],TableECFTransport[Index],CONCATENATE($A8,"_LPG_LPG"))</f>
        <v>5.0997856029588978E-4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8.6446311230516992E-2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2.5729049896015866E-2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5.0764411989972138E-3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3.2014450932521844E-2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1.0763494548827212E-5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1.4446829100732508E-3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1.3907664555977492E-5</v>
      </c>
      <c r="C10" s="887"/>
      <c r="D10" s="436">
        <f>vkm_2011_SW_PW*SUMIFS(TableVerdeelsleutelVkm[CNG],TableVerdeelsleutelVkm[Voertuigtype],"Lichte voertuigen")*SUMIFS(TableECFTransport[EnergieConsumptieFactor (PJ per km)],TableECFTransport[Index],CONCATENATE($A10,"_CNG_CNG"))</f>
        <v>2.0565357587402665E-5</v>
      </c>
      <c r="E10" s="436">
        <f>vkm_2011_SW_PW*SUMIFS(TableVerdeelsleutelVkm[LPG],TableVerdeelsleutelVkm[Voertuigtype],"Lichte voertuigen")*SUMIFS(TableECFTransport[EnergieConsumptieFactor (PJ per km)],TableECFTransport[Index],CONCATENATE($A10,"_LPG_LPG"))</f>
        <v>8.0669032851689076E-4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0.13130547024031392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3.2422597687007865E-2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7.4062141761110532E-3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0.15832195378466402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6.0660097311551983E-5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7.1447704224841015E-3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9.0501618110755544</v>
      </c>
      <c r="C14" s="21"/>
      <c r="D14" s="21">
        <f t="shared" ref="D14:M14" si="0">((D5)*10^9/3600)+D12</f>
        <v>15.206536910899025</v>
      </c>
      <c r="E14" s="21">
        <f t="shared" si="0"/>
        <v>510.11439228606525</v>
      </c>
      <c r="F14" s="21"/>
      <c r="G14" s="21">
        <f t="shared" si="0"/>
        <v>159431.41659836774</v>
      </c>
      <c r="H14" s="21">
        <f t="shared" si="0"/>
        <v>23133.144263437658</v>
      </c>
      <c r="I14" s="21"/>
      <c r="J14" s="21"/>
      <c r="K14" s="21"/>
      <c r="L14" s="21"/>
      <c r="M14" s="21">
        <f t="shared" si="0"/>
        <v>8250.1102360974855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0.20664753975853653</v>
      </c>
      <c r="C16" s="56">
        <f ca="1">'EF ele_warmte'!B22</f>
        <v>0.21028503682776717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1.8701936726754247</v>
      </c>
      <c r="C18" s="23"/>
      <c r="D18" s="23">
        <f t="shared" ref="D18:M18" si="1">D14*D16</f>
        <v>3.0717204560016032</v>
      </c>
      <c r="E18" s="23">
        <f t="shared" si="1"/>
        <v>115.79596704893682</v>
      </c>
      <c r="F18" s="23"/>
      <c r="G18" s="23">
        <f t="shared" si="1"/>
        <v>42568.188231764187</v>
      </c>
      <c r="H18" s="23">
        <f t="shared" si="1"/>
        <v>5760.1529215959772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5.1353778454960178E-3</v>
      </c>
      <c r="H50" s="323">
        <f t="shared" si="2"/>
        <v>0</v>
      </c>
      <c r="I50" s="323">
        <f t="shared" si="2"/>
        <v>0</v>
      </c>
      <c r="J50" s="323">
        <f t="shared" si="2"/>
        <v>0</v>
      </c>
      <c r="K50" s="323">
        <f t="shared" si="2"/>
        <v>0</v>
      </c>
      <c r="L50" s="323">
        <f t="shared" si="2"/>
        <v>0</v>
      </c>
      <c r="M50" s="323">
        <f t="shared" si="2"/>
        <v>2.2838281349398941E-4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5.1353778454960178E-3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2.2838281349398941E-4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1426.4938459711159</v>
      </c>
      <c r="H54" s="21">
        <f t="shared" si="3"/>
        <v>0</v>
      </c>
      <c r="I54" s="21">
        <f t="shared" si="3"/>
        <v>0</v>
      </c>
      <c r="J54" s="21">
        <f t="shared" si="3"/>
        <v>0</v>
      </c>
      <c r="K54" s="21">
        <f t="shared" si="3"/>
        <v>0</v>
      </c>
      <c r="L54" s="21">
        <f t="shared" si="3"/>
        <v>0</v>
      </c>
      <c r="M54" s="21">
        <f t="shared" si="3"/>
        <v>63.43967041499706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0.20664753975853653</v>
      </c>
      <c r="C56" s="56">
        <f ca="1">'EF ele_warmte'!B22</f>
        <v>0.21028503682776717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380.87385687428798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61352.470000000008</v>
      </c>
      <c r="D10" s="690">
        <f ca="1">tertiair!C16</f>
        <v>0</v>
      </c>
      <c r="E10" s="690">
        <f ca="1">tertiair!D16</f>
        <v>85003.838678000015</v>
      </c>
      <c r="F10" s="690">
        <f>tertiair!E16</f>
        <v>681.63591806614636</v>
      </c>
      <c r="G10" s="690">
        <f ca="1">tertiair!F16</f>
        <v>11693.277962428614</v>
      </c>
      <c r="H10" s="690">
        <f>tertiair!G16</f>
        <v>0</v>
      </c>
      <c r="I10" s="690">
        <f>tertiair!H16</f>
        <v>0</v>
      </c>
      <c r="J10" s="690">
        <f>tertiair!I16</f>
        <v>0</v>
      </c>
      <c r="K10" s="690">
        <f>tertiair!J16</f>
        <v>0</v>
      </c>
      <c r="L10" s="690">
        <f>tertiair!K16</f>
        <v>0</v>
      </c>
      <c r="M10" s="690">
        <f ca="1">tertiair!L16</f>
        <v>0</v>
      </c>
      <c r="N10" s="690">
        <f>tertiair!M16</f>
        <v>0</v>
      </c>
      <c r="O10" s="690">
        <f ca="1">tertiair!N16</f>
        <v>4713.3918855706079</v>
      </c>
      <c r="P10" s="690">
        <f>tertiair!O16</f>
        <v>0</v>
      </c>
      <c r="Q10" s="691">
        <f>tertiair!P16</f>
        <v>114.4</v>
      </c>
      <c r="R10" s="693">
        <f ca="1">SUM(C10:Q10)</f>
        <v>163559.01444406537</v>
      </c>
      <c r="S10" s="67"/>
    </row>
    <row r="11" spans="1:19" s="458" customFormat="1">
      <c r="A11" s="805" t="s">
        <v>225</v>
      </c>
      <c r="B11" s="810"/>
      <c r="C11" s="690">
        <f>huishoudens!B8</f>
        <v>46946.133999999998</v>
      </c>
      <c r="D11" s="690">
        <f>huishoudens!C8</f>
        <v>0</v>
      </c>
      <c r="E11" s="690">
        <f>huishoudens!D8</f>
        <v>128583.83698600001</v>
      </c>
      <c r="F11" s="690">
        <f>huishoudens!E8</f>
        <v>5352.2942997371392</v>
      </c>
      <c r="G11" s="690">
        <f>huishoudens!F8</f>
        <v>6665.6213867060469</v>
      </c>
      <c r="H11" s="690">
        <f>huishoudens!G8</f>
        <v>0</v>
      </c>
      <c r="I11" s="690">
        <f>huishoudens!H8</f>
        <v>0</v>
      </c>
      <c r="J11" s="690">
        <f>huishoudens!I8</f>
        <v>0</v>
      </c>
      <c r="K11" s="690">
        <f>huishoudens!J8</f>
        <v>0</v>
      </c>
      <c r="L11" s="690">
        <f>huishoudens!K8</f>
        <v>0</v>
      </c>
      <c r="M11" s="690">
        <f>huishoudens!L8</f>
        <v>0</v>
      </c>
      <c r="N11" s="690">
        <f>huishoudens!M8</f>
        <v>0</v>
      </c>
      <c r="O11" s="690">
        <f>huishoudens!N8</f>
        <v>20065.362609016269</v>
      </c>
      <c r="P11" s="690">
        <f>huishoudens!O8</f>
        <v>259.51333333333338</v>
      </c>
      <c r="Q11" s="691">
        <f>huishoudens!P8</f>
        <v>514.79999999999995</v>
      </c>
      <c r="R11" s="693">
        <f>SUM(C11:Q11)</f>
        <v>208387.56261479278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45252.383000000009</v>
      </c>
      <c r="D13" s="690">
        <f>industrie!C18</f>
        <v>0</v>
      </c>
      <c r="E13" s="690">
        <f>industrie!D18</f>
        <v>71396.818702000019</v>
      </c>
      <c r="F13" s="690">
        <f>industrie!E18</f>
        <v>4088.6906219285052</v>
      </c>
      <c r="G13" s="690">
        <f>industrie!F18</f>
        <v>18779.594345327492</v>
      </c>
      <c r="H13" s="690">
        <f>industrie!G18</f>
        <v>0</v>
      </c>
      <c r="I13" s="690">
        <f>industrie!H18</f>
        <v>0</v>
      </c>
      <c r="J13" s="690">
        <f>industrie!I18</f>
        <v>0</v>
      </c>
      <c r="K13" s="690">
        <f>industrie!J18</f>
        <v>47.00750900851282</v>
      </c>
      <c r="L13" s="690">
        <f>industrie!K18</f>
        <v>0</v>
      </c>
      <c r="M13" s="690">
        <f>industrie!L18</f>
        <v>0</v>
      </c>
      <c r="N13" s="690">
        <f>industrie!M18</f>
        <v>0</v>
      </c>
      <c r="O13" s="690">
        <f>industrie!N18</f>
        <v>9690.7243764937411</v>
      </c>
      <c r="P13" s="690">
        <f>industrie!O18</f>
        <v>0</v>
      </c>
      <c r="Q13" s="691">
        <f>industrie!P18</f>
        <v>0</v>
      </c>
      <c r="R13" s="693">
        <f>SUM(C13:Q13)</f>
        <v>149255.21855475826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153550.98700000002</v>
      </c>
      <c r="D16" s="725">
        <f t="shared" ref="D16:R16" ca="1" si="0">SUM(D9:D15)</f>
        <v>0</v>
      </c>
      <c r="E16" s="725">
        <f t="shared" ca="1" si="0"/>
        <v>284984.49436600006</v>
      </c>
      <c r="F16" s="725">
        <f t="shared" si="0"/>
        <v>10122.620839731791</v>
      </c>
      <c r="G16" s="725">
        <f t="shared" ca="1" si="0"/>
        <v>37138.493694462159</v>
      </c>
      <c r="H16" s="725">
        <f t="shared" si="0"/>
        <v>0</v>
      </c>
      <c r="I16" s="725">
        <f t="shared" si="0"/>
        <v>0</v>
      </c>
      <c r="J16" s="725">
        <f t="shared" si="0"/>
        <v>0</v>
      </c>
      <c r="K16" s="725">
        <f t="shared" si="0"/>
        <v>47.00750900851282</v>
      </c>
      <c r="L16" s="725">
        <f t="shared" si="0"/>
        <v>0</v>
      </c>
      <c r="M16" s="725">
        <f t="shared" ca="1" si="0"/>
        <v>0</v>
      </c>
      <c r="N16" s="725">
        <f t="shared" si="0"/>
        <v>0</v>
      </c>
      <c r="O16" s="725">
        <f t="shared" ca="1" si="0"/>
        <v>34469.478871080617</v>
      </c>
      <c r="P16" s="725">
        <f t="shared" si="0"/>
        <v>259.51333333333338</v>
      </c>
      <c r="Q16" s="725">
        <f t="shared" si="0"/>
        <v>629.19999999999993</v>
      </c>
      <c r="R16" s="725">
        <f t="shared" ca="1" si="0"/>
        <v>521201.79561361636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1426.4938459711159</v>
      </c>
      <c r="I19" s="690">
        <f>transport!H54</f>
        <v>0</v>
      </c>
      <c r="J19" s="690">
        <f>transport!I54</f>
        <v>0</v>
      </c>
      <c r="K19" s="690">
        <f>transport!J54</f>
        <v>0</v>
      </c>
      <c r="L19" s="690">
        <f>transport!K54</f>
        <v>0</v>
      </c>
      <c r="M19" s="690">
        <f>transport!L54</f>
        <v>0</v>
      </c>
      <c r="N19" s="690">
        <f>transport!M54</f>
        <v>63.43967041499706</v>
      </c>
      <c r="O19" s="690">
        <f>transport!N54</f>
        <v>0</v>
      </c>
      <c r="P19" s="690">
        <f>transport!O54</f>
        <v>0</v>
      </c>
      <c r="Q19" s="691">
        <f>transport!P54</f>
        <v>0</v>
      </c>
      <c r="R19" s="693">
        <f>SUM(C19:Q19)</f>
        <v>1489.9335163861128</v>
      </c>
      <c r="S19" s="67"/>
    </row>
    <row r="20" spans="1:19" s="458" customFormat="1">
      <c r="A20" s="805" t="s">
        <v>307</v>
      </c>
      <c r="B20" s="810"/>
      <c r="C20" s="690">
        <f>transport!B14</f>
        <v>9.0501618110755544</v>
      </c>
      <c r="D20" s="690">
        <f>transport!C14</f>
        <v>0</v>
      </c>
      <c r="E20" s="690">
        <f>transport!D14</f>
        <v>15.206536910899025</v>
      </c>
      <c r="F20" s="690">
        <f>transport!E14</f>
        <v>510.11439228606525</v>
      </c>
      <c r="G20" s="690">
        <f>transport!F14</f>
        <v>0</v>
      </c>
      <c r="H20" s="690">
        <f>transport!G14</f>
        <v>159431.41659836774</v>
      </c>
      <c r="I20" s="690">
        <f>transport!H14</f>
        <v>23133.144263437658</v>
      </c>
      <c r="J20" s="690">
        <f>transport!I14</f>
        <v>0</v>
      </c>
      <c r="K20" s="690">
        <f>transport!J14</f>
        <v>0</v>
      </c>
      <c r="L20" s="690">
        <f>transport!K14</f>
        <v>0</v>
      </c>
      <c r="M20" s="690">
        <f>transport!L14</f>
        <v>0</v>
      </c>
      <c r="N20" s="690">
        <f>transport!M14</f>
        <v>8250.1102360974855</v>
      </c>
      <c r="O20" s="690">
        <f>transport!N14</f>
        <v>0</v>
      </c>
      <c r="P20" s="690">
        <f>transport!O14</f>
        <v>0</v>
      </c>
      <c r="Q20" s="691">
        <f>transport!P14</f>
        <v>0</v>
      </c>
      <c r="R20" s="693">
        <f>SUM(C20:Q20)</f>
        <v>191349.04218891091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9.0501618110755544</v>
      </c>
      <c r="D22" s="808">
        <f t="shared" ref="D22:R22" si="1">SUM(D18:D21)</f>
        <v>0</v>
      </c>
      <c r="E22" s="808">
        <f t="shared" si="1"/>
        <v>15.206536910899025</v>
      </c>
      <c r="F22" s="808">
        <f t="shared" si="1"/>
        <v>510.11439228606525</v>
      </c>
      <c r="G22" s="808">
        <f t="shared" si="1"/>
        <v>0</v>
      </c>
      <c r="H22" s="808">
        <f t="shared" si="1"/>
        <v>160857.91044433886</v>
      </c>
      <c r="I22" s="808">
        <f t="shared" si="1"/>
        <v>23133.144263437658</v>
      </c>
      <c r="J22" s="808">
        <f t="shared" si="1"/>
        <v>0</v>
      </c>
      <c r="K22" s="808">
        <f t="shared" si="1"/>
        <v>0</v>
      </c>
      <c r="L22" s="808">
        <f t="shared" si="1"/>
        <v>0</v>
      </c>
      <c r="M22" s="808">
        <f t="shared" si="1"/>
        <v>0</v>
      </c>
      <c r="N22" s="808">
        <f t="shared" si="1"/>
        <v>8313.5499065124823</v>
      </c>
      <c r="O22" s="808">
        <f t="shared" si="1"/>
        <v>0</v>
      </c>
      <c r="P22" s="808">
        <f t="shared" si="1"/>
        <v>0</v>
      </c>
      <c r="Q22" s="808">
        <f t="shared" si="1"/>
        <v>0</v>
      </c>
      <c r="R22" s="808">
        <f t="shared" si="1"/>
        <v>192838.97570529702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2226.6669999999999</v>
      </c>
      <c r="D24" s="690">
        <f>+landbouw!C8</f>
        <v>29982.857142857145</v>
      </c>
      <c r="E24" s="690">
        <f>+landbouw!D8</f>
        <v>0</v>
      </c>
      <c r="F24" s="690">
        <f>+landbouw!E8</f>
        <v>28.058872730327238</v>
      </c>
      <c r="G24" s="690">
        <f>+landbouw!F8</f>
        <v>7682.5589634142198</v>
      </c>
      <c r="H24" s="690">
        <f>+landbouw!G8</f>
        <v>0</v>
      </c>
      <c r="I24" s="690">
        <f>+landbouw!H8</f>
        <v>0</v>
      </c>
      <c r="J24" s="690">
        <f>+landbouw!I8</f>
        <v>0</v>
      </c>
      <c r="K24" s="690">
        <f>+landbouw!J8</f>
        <v>334.86540494288261</v>
      </c>
      <c r="L24" s="690">
        <f>+landbouw!K8</f>
        <v>0</v>
      </c>
      <c r="M24" s="690">
        <f>+landbouw!L8</f>
        <v>0</v>
      </c>
      <c r="N24" s="690">
        <f>+landbouw!M8</f>
        <v>0</v>
      </c>
      <c r="O24" s="690">
        <f>+landbouw!N8</f>
        <v>0</v>
      </c>
      <c r="P24" s="690">
        <f>+landbouw!O8</f>
        <v>0</v>
      </c>
      <c r="Q24" s="691">
        <f>+landbouw!P8</f>
        <v>0</v>
      </c>
      <c r="R24" s="693">
        <f>SUM(C24:Q24)</f>
        <v>40255.007383944576</v>
      </c>
      <c r="S24" s="67"/>
    </row>
    <row r="25" spans="1:19" s="458" customFormat="1" ht="15" thickBot="1">
      <c r="A25" s="827" t="s">
        <v>872</v>
      </c>
      <c r="B25" s="1004"/>
      <c r="C25" s="1005">
        <f>IF(Onbekend_ele_kWh="---",0,Onbekend_ele_kWh)/1000+IF(REST_rest_ele_kWh="---",0,REST_rest_ele_kWh)/1000</f>
        <v>1565.191</v>
      </c>
      <c r="D25" s="1005"/>
      <c r="E25" s="1005">
        <f>IF(onbekend_gas_kWh="---",0,onbekend_gas_kWh)/1000+IF(REST_rest_gas_kWh="---",0,REST_rest_gas_kWh)/1000</f>
        <v>12745.741</v>
      </c>
      <c r="F25" s="1005"/>
      <c r="G25" s="1005"/>
      <c r="H25" s="1005"/>
      <c r="I25" s="1005"/>
      <c r="J25" s="1005"/>
      <c r="K25" s="1005"/>
      <c r="L25" s="1005"/>
      <c r="M25" s="1005"/>
      <c r="N25" s="1005"/>
      <c r="O25" s="1005"/>
      <c r="P25" s="1005"/>
      <c r="Q25" s="1006"/>
      <c r="R25" s="693">
        <f>SUM(C25:Q25)</f>
        <v>14310.932000000001</v>
      </c>
      <c r="S25" s="67"/>
    </row>
    <row r="26" spans="1:19" s="458" customFormat="1" ht="15.75" thickBot="1">
      <c r="A26" s="698" t="s">
        <v>873</v>
      </c>
      <c r="B26" s="813"/>
      <c r="C26" s="808">
        <f>SUM(C24:C25)</f>
        <v>3791.8580000000002</v>
      </c>
      <c r="D26" s="808">
        <f t="shared" ref="D26:R26" si="2">SUM(D24:D25)</f>
        <v>29982.857142857145</v>
      </c>
      <c r="E26" s="808">
        <f t="shared" si="2"/>
        <v>12745.741</v>
      </c>
      <c r="F26" s="808">
        <f t="shared" si="2"/>
        <v>28.058872730327238</v>
      </c>
      <c r="G26" s="808">
        <f t="shared" si="2"/>
        <v>7682.5589634142198</v>
      </c>
      <c r="H26" s="808">
        <f t="shared" si="2"/>
        <v>0</v>
      </c>
      <c r="I26" s="808">
        <f t="shared" si="2"/>
        <v>0</v>
      </c>
      <c r="J26" s="808">
        <f t="shared" si="2"/>
        <v>0</v>
      </c>
      <c r="K26" s="808">
        <f t="shared" si="2"/>
        <v>334.86540494288261</v>
      </c>
      <c r="L26" s="808">
        <f t="shared" si="2"/>
        <v>0</v>
      </c>
      <c r="M26" s="808">
        <f t="shared" si="2"/>
        <v>0</v>
      </c>
      <c r="N26" s="808">
        <f t="shared" si="2"/>
        <v>0</v>
      </c>
      <c r="O26" s="808">
        <f t="shared" si="2"/>
        <v>0</v>
      </c>
      <c r="P26" s="808">
        <f t="shared" si="2"/>
        <v>0</v>
      </c>
      <c r="Q26" s="808">
        <f t="shared" si="2"/>
        <v>0</v>
      </c>
      <c r="R26" s="808">
        <f t="shared" si="2"/>
        <v>54565.939383944577</v>
      </c>
      <c r="S26" s="67"/>
    </row>
    <row r="27" spans="1:19" s="458" customFormat="1" ht="17.25" thickTop="1" thickBot="1">
      <c r="A27" s="699" t="s">
        <v>116</v>
      </c>
      <c r="B27" s="800"/>
      <c r="C27" s="700">
        <f ca="1">C22+C16+C26</f>
        <v>157351.89516181112</v>
      </c>
      <c r="D27" s="700">
        <f t="shared" ref="D27:R27" ca="1" si="3">D22+D16+D26</f>
        <v>29982.857142857145</v>
      </c>
      <c r="E27" s="700">
        <f t="shared" ca="1" si="3"/>
        <v>297745.44190291094</v>
      </c>
      <c r="F27" s="700">
        <f t="shared" si="3"/>
        <v>10660.794104748184</v>
      </c>
      <c r="G27" s="700">
        <f t="shared" ca="1" si="3"/>
        <v>44821.052657876382</v>
      </c>
      <c r="H27" s="700">
        <f t="shared" si="3"/>
        <v>160857.91044433886</v>
      </c>
      <c r="I27" s="700">
        <f t="shared" si="3"/>
        <v>23133.144263437658</v>
      </c>
      <c r="J27" s="700">
        <f t="shared" si="3"/>
        <v>0</v>
      </c>
      <c r="K27" s="700">
        <f t="shared" si="3"/>
        <v>381.87291395139545</v>
      </c>
      <c r="L27" s="700">
        <f t="shared" si="3"/>
        <v>0</v>
      </c>
      <c r="M27" s="700">
        <f t="shared" ca="1" si="3"/>
        <v>0</v>
      </c>
      <c r="N27" s="700">
        <f t="shared" si="3"/>
        <v>8313.5499065124823</v>
      </c>
      <c r="O27" s="700">
        <f t="shared" ca="1" si="3"/>
        <v>34469.478871080617</v>
      </c>
      <c r="P27" s="700">
        <f t="shared" si="3"/>
        <v>259.51333333333338</v>
      </c>
      <c r="Q27" s="700">
        <f t="shared" si="3"/>
        <v>629.19999999999993</v>
      </c>
      <c r="R27" s="700">
        <f t="shared" ca="1" si="3"/>
        <v>768606.71070285805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12678.336983609421</v>
      </c>
      <c r="D40" s="690">
        <f ca="1">tertiair!C20</f>
        <v>0</v>
      </c>
      <c r="E40" s="690">
        <f ca="1">tertiair!D20</f>
        <v>17170.775412956005</v>
      </c>
      <c r="F40" s="690">
        <f>tertiair!E20</f>
        <v>154.73135340101524</v>
      </c>
      <c r="G40" s="690">
        <f ca="1">tertiair!F20</f>
        <v>3122.10521596844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33125.948965934876</v>
      </c>
    </row>
    <row r="41" spans="1:18">
      <c r="A41" s="818" t="s">
        <v>225</v>
      </c>
      <c r="B41" s="825"/>
      <c r="C41" s="690">
        <f ca="1">huishoudens!B12</f>
        <v>9701.3030922745838</v>
      </c>
      <c r="D41" s="690">
        <f ca="1">huishoudens!C12</f>
        <v>0</v>
      </c>
      <c r="E41" s="690">
        <f>huishoudens!D12</f>
        <v>25973.935071172004</v>
      </c>
      <c r="F41" s="690">
        <f>huishoudens!E12</f>
        <v>1214.9708060403307</v>
      </c>
      <c r="G41" s="690">
        <f>huishoudens!F12</f>
        <v>1779.7209102505146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38669.929879737429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9351.2936151610247</v>
      </c>
      <c r="D43" s="690">
        <f ca="1">industrie!C22</f>
        <v>0</v>
      </c>
      <c r="E43" s="690">
        <f>industrie!D22</f>
        <v>14422.157377804006</v>
      </c>
      <c r="F43" s="690">
        <f>industrie!E22</f>
        <v>928.13277117777068</v>
      </c>
      <c r="G43" s="690">
        <f>industrie!F22</f>
        <v>5014.1516902024405</v>
      </c>
      <c r="H43" s="690">
        <f>industrie!G22</f>
        <v>0</v>
      </c>
      <c r="I43" s="690">
        <f>industrie!H22</f>
        <v>0</v>
      </c>
      <c r="J43" s="690">
        <f>industrie!I22</f>
        <v>0</v>
      </c>
      <c r="K43" s="690">
        <f>industrie!J22</f>
        <v>16.640658189013536</v>
      </c>
      <c r="L43" s="690">
        <f>industrie!K22</f>
        <v>0</v>
      </c>
      <c r="M43" s="690">
        <f>industrie!L22</f>
        <v>0</v>
      </c>
      <c r="N43" s="690">
        <f>industrie!M22</f>
        <v>0</v>
      </c>
      <c r="O43" s="690">
        <f>industrie!N22</f>
        <v>0</v>
      </c>
      <c r="P43" s="690">
        <f>industrie!O22</f>
        <v>0</v>
      </c>
      <c r="Q43" s="767">
        <f>industrie!P22</f>
        <v>0</v>
      </c>
      <c r="R43" s="845">
        <f t="shared" ca="1" si="4"/>
        <v>29732.376112534257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31730.933691045029</v>
      </c>
      <c r="D46" s="725">
        <f t="shared" ref="D46:Q46" ca="1" si="5">SUM(D39:D45)</f>
        <v>0</v>
      </c>
      <c r="E46" s="725">
        <f t="shared" ca="1" si="5"/>
        <v>57566.867861932013</v>
      </c>
      <c r="F46" s="725">
        <f t="shared" si="5"/>
        <v>2297.8349306191167</v>
      </c>
      <c r="G46" s="725">
        <f t="shared" ca="1" si="5"/>
        <v>9915.9778164213949</v>
      </c>
      <c r="H46" s="725">
        <f t="shared" si="5"/>
        <v>0</v>
      </c>
      <c r="I46" s="725">
        <f t="shared" si="5"/>
        <v>0</v>
      </c>
      <c r="J46" s="725">
        <f t="shared" si="5"/>
        <v>0</v>
      </c>
      <c r="K46" s="725">
        <f t="shared" si="5"/>
        <v>16.640658189013536</v>
      </c>
      <c r="L46" s="725">
        <f t="shared" si="5"/>
        <v>0</v>
      </c>
      <c r="M46" s="725">
        <f t="shared" ca="1" si="5"/>
        <v>0</v>
      </c>
      <c r="N46" s="725">
        <f t="shared" si="5"/>
        <v>0</v>
      </c>
      <c r="O46" s="725">
        <f t="shared" ca="1" si="5"/>
        <v>0</v>
      </c>
      <c r="P46" s="725">
        <f t="shared" si="5"/>
        <v>0</v>
      </c>
      <c r="Q46" s="725">
        <f t="shared" si="5"/>
        <v>0</v>
      </c>
      <c r="R46" s="725">
        <f ca="1">SUM(R39:R45)</f>
        <v>101528.25495820655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380.87385687428798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380.87385687428798</v>
      </c>
    </row>
    <row r="50" spans="1:18">
      <c r="A50" s="821" t="s">
        <v>307</v>
      </c>
      <c r="B50" s="831"/>
      <c r="C50" s="696">
        <f ca="1">transport!B18</f>
        <v>1.8701936726754247</v>
      </c>
      <c r="D50" s="696">
        <f>transport!C18</f>
        <v>0</v>
      </c>
      <c r="E50" s="696">
        <f>transport!D18</f>
        <v>3.0717204560016032</v>
      </c>
      <c r="F50" s="696">
        <f>transport!E18</f>
        <v>115.79596704893682</v>
      </c>
      <c r="G50" s="696">
        <f>transport!F18</f>
        <v>0</v>
      </c>
      <c r="H50" s="696">
        <f>transport!G18</f>
        <v>42568.188231764187</v>
      </c>
      <c r="I50" s="696">
        <f>transport!H18</f>
        <v>5760.1529215959772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48449.079034537775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1.8701936726754247</v>
      </c>
      <c r="D52" s="725">
        <f t="shared" ref="D52:Q52" ca="1" si="6">SUM(D48:D51)</f>
        <v>0</v>
      </c>
      <c r="E52" s="725">
        <f t="shared" si="6"/>
        <v>3.0717204560016032</v>
      </c>
      <c r="F52" s="725">
        <f t="shared" si="6"/>
        <v>115.79596704893682</v>
      </c>
      <c r="G52" s="725">
        <f t="shared" si="6"/>
        <v>0</v>
      </c>
      <c r="H52" s="725">
        <f t="shared" si="6"/>
        <v>42949.062088638471</v>
      </c>
      <c r="I52" s="725">
        <f t="shared" si="6"/>
        <v>5760.1529215959772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48829.95289141206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460.13525741152125</v>
      </c>
      <c r="D54" s="696">
        <f ca="1">+landbouw!C12</f>
        <v>6304.9462184873964</v>
      </c>
      <c r="E54" s="696">
        <f>+landbouw!D12</f>
        <v>0</v>
      </c>
      <c r="F54" s="696">
        <f>+landbouw!E12</f>
        <v>6.369364109784283</v>
      </c>
      <c r="G54" s="696">
        <f>+landbouw!F12</f>
        <v>2051.2432432315968</v>
      </c>
      <c r="H54" s="696">
        <f>+landbouw!G12</f>
        <v>0</v>
      </c>
      <c r="I54" s="696">
        <f>+landbouw!H12</f>
        <v>0</v>
      </c>
      <c r="J54" s="696">
        <f>+landbouw!I12</f>
        <v>0</v>
      </c>
      <c r="K54" s="696">
        <f>+landbouw!J12</f>
        <v>118.54235334978044</v>
      </c>
      <c r="L54" s="696">
        <f>+landbouw!K12</f>
        <v>0</v>
      </c>
      <c r="M54" s="696">
        <f>+landbouw!L12</f>
        <v>0</v>
      </c>
      <c r="N54" s="696">
        <f>+landbouw!M12</f>
        <v>0</v>
      </c>
      <c r="O54" s="696">
        <f>+landbouw!N12</f>
        <v>0</v>
      </c>
      <c r="P54" s="696">
        <f>+landbouw!O12</f>
        <v>0</v>
      </c>
      <c r="Q54" s="697">
        <f>+landbouw!P12</f>
        <v>0</v>
      </c>
      <c r="R54" s="724">
        <f ca="1">SUM(C54:Q54)</f>
        <v>8941.2364365900794</v>
      </c>
    </row>
    <row r="55" spans="1:18" ht="15" thickBot="1">
      <c r="A55" s="821" t="s">
        <v>872</v>
      </c>
      <c r="B55" s="831"/>
      <c r="C55" s="696">
        <f ca="1">C25*'EF ele_warmte'!B12</f>
        <v>323.44286940220354</v>
      </c>
      <c r="D55" s="696"/>
      <c r="E55" s="696">
        <f>E25*EF_CO2_aardgas</f>
        <v>2574.639682</v>
      </c>
      <c r="F55" s="696"/>
      <c r="G55" s="696"/>
      <c r="H55" s="696"/>
      <c r="I55" s="696"/>
      <c r="J55" s="696"/>
      <c r="K55" s="696"/>
      <c r="L55" s="696"/>
      <c r="M55" s="696"/>
      <c r="N55" s="696"/>
      <c r="O55" s="696"/>
      <c r="P55" s="696"/>
      <c r="Q55" s="697"/>
      <c r="R55" s="724">
        <f ca="1">SUM(C55:Q55)</f>
        <v>2898.0825514022035</v>
      </c>
    </row>
    <row r="56" spans="1:18" ht="15.75" thickBot="1">
      <c r="A56" s="819" t="s">
        <v>873</v>
      </c>
      <c r="B56" s="832"/>
      <c r="C56" s="725">
        <f ca="1">SUM(C54:C55)</f>
        <v>783.57812681372479</v>
      </c>
      <c r="D56" s="725">
        <f t="shared" ref="D56:Q56" ca="1" si="7">SUM(D54:D55)</f>
        <v>6304.9462184873964</v>
      </c>
      <c r="E56" s="725">
        <f t="shared" si="7"/>
        <v>2574.639682</v>
      </c>
      <c r="F56" s="725">
        <f t="shared" si="7"/>
        <v>6.369364109784283</v>
      </c>
      <c r="G56" s="725">
        <f t="shared" si="7"/>
        <v>2051.2432432315968</v>
      </c>
      <c r="H56" s="725">
        <f t="shared" si="7"/>
        <v>0</v>
      </c>
      <c r="I56" s="725">
        <f t="shared" si="7"/>
        <v>0</v>
      </c>
      <c r="J56" s="725">
        <f t="shared" si="7"/>
        <v>0</v>
      </c>
      <c r="K56" s="725">
        <f t="shared" si="7"/>
        <v>118.54235334978044</v>
      </c>
      <c r="L56" s="725">
        <f t="shared" si="7"/>
        <v>0</v>
      </c>
      <c r="M56" s="725">
        <f t="shared" si="7"/>
        <v>0</v>
      </c>
      <c r="N56" s="725">
        <f t="shared" si="7"/>
        <v>0</v>
      </c>
      <c r="O56" s="725">
        <f t="shared" si="7"/>
        <v>0</v>
      </c>
      <c r="P56" s="725">
        <f t="shared" si="7"/>
        <v>0</v>
      </c>
      <c r="Q56" s="726">
        <f t="shared" si="7"/>
        <v>0</v>
      </c>
      <c r="R56" s="727">
        <f ca="1">SUM(R54:R55)</f>
        <v>11839.318987992283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32516.38201153143</v>
      </c>
      <c r="D61" s="733">
        <f t="shared" ref="D61:Q61" ca="1" si="8">D46+D52+D56</f>
        <v>6304.9462184873964</v>
      </c>
      <c r="E61" s="733">
        <f t="shared" ca="1" si="8"/>
        <v>60144.579264388012</v>
      </c>
      <c r="F61" s="733">
        <f t="shared" si="8"/>
        <v>2420.0002617778377</v>
      </c>
      <c r="G61" s="733">
        <f t="shared" ca="1" si="8"/>
        <v>11967.221059652991</v>
      </c>
      <c r="H61" s="733">
        <f t="shared" si="8"/>
        <v>42949.062088638471</v>
      </c>
      <c r="I61" s="733">
        <f t="shared" si="8"/>
        <v>5760.1529215959772</v>
      </c>
      <c r="J61" s="733">
        <f t="shared" si="8"/>
        <v>0</v>
      </c>
      <c r="K61" s="733">
        <f t="shared" si="8"/>
        <v>135.18301153879398</v>
      </c>
      <c r="L61" s="733">
        <f t="shared" si="8"/>
        <v>0</v>
      </c>
      <c r="M61" s="733">
        <f t="shared" ca="1" si="8"/>
        <v>0</v>
      </c>
      <c r="N61" s="733">
        <f t="shared" si="8"/>
        <v>0</v>
      </c>
      <c r="O61" s="733">
        <f t="shared" ca="1" si="8"/>
        <v>0</v>
      </c>
      <c r="P61" s="733">
        <f t="shared" si="8"/>
        <v>0</v>
      </c>
      <c r="Q61" s="733">
        <f t="shared" si="8"/>
        <v>0</v>
      </c>
      <c r="R61" s="733">
        <f ca="1">R46+R52+R56</f>
        <v>162197.5268376109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0.2066475397585365</v>
      </c>
      <c r="D63" s="776">
        <f t="shared" ca="1" si="9"/>
        <v>0.21028503682776717</v>
      </c>
      <c r="E63" s="1011">
        <f t="shared" ca="1" si="9"/>
        <v>0.20200000000000001</v>
      </c>
      <c r="F63" s="776">
        <f t="shared" si="9"/>
        <v>0.22700000000000001</v>
      </c>
      <c r="G63" s="776">
        <f t="shared" ca="1" si="9"/>
        <v>0.26699999999999996</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11224.94277</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15206.92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2416.5</v>
      </c>
      <c r="C76" s="743">
        <f>'lokale energieproductie'!B8*IFERROR(SUM(D76:H76)/SUM(D76:O76),0)</f>
        <v>18571.5</v>
      </c>
      <c r="D76" s="1021">
        <f>'lokale energieproductie'!C8</f>
        <v>21848.823529411766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2842.9411764705883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4413.4623529411774</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30189.36277</v>
      </c>
      <c r="C78" s="748">
        <f>SUM(C72:C77)</f>
        <v>18571.5</v>
      </c>
      <c r="D78" s="749">
        <f t="shared" ref="D78:H78" si="10">SUM(D76:D77)</f>
        <v>21848.823529411766</v>
      </c>
      <c r="E78" s="749">
        <f t="shared" si="10"/>
        <v>0</v>
      </c>
      <c r="F78" s="749">
        <f t="shared" si="10"/>
        <v>0</v>
      </c>
      <c r="G78" s="749">
        <f t="shared" si="10"/>
        <v>0</v>
      </c>
      <c r="H78" s="749">
        <f t="shared" si="10"/>
        <v>0</v>
      </c>
      <c r="I78" s="749">
        <f>SUM(I76:I77)</f>
        <v>0</v>
      </c>
      <c r="J78" s="749">
        <f>SUM(J76:J77)</f>
        <v>6674.3697478991598</v>
      </c>
      <c r="K78" s="749">
        <f t="shared" ref="K78:L78" si="11">SUM(K76:K77)</f>
        <v>0</v>
      </c>
      <c r="L78" s="749">
        <f t="shared" si="11"/>
        <v>0</v>
      </c>
      <c r="M78" s="749">
        <f>SUM(M76:M77)</f>
        <v>0</v>
      </c>
      <c r="N78" s="749">
        <f>SUM(N76:N77)</f>
        <v>0</v>
      </c>
      <c r="O78" s="856">
        <f>SUM(O76:O77)</f>
        <v>0</v>
      </c>
      <c r="P78" s="750">
        <v>0</v>
      </c>
      <c r="Q78" s="750">
        <f>SUM(Q76:Q77)</f>
        <v>4413.4623529411774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3452.1428571428569</v>
      </c>
      <c r="C87" s="759">
        <f>'lokale energieproductie'!B17*IFERROR(SUM(D87:H87)/SUM(D87:O87),0)</f>
        <v>26530.71428571429</v>
      </c>
      <c r="D87" s="770">
        <f>'lokale energieproductie'!C17</f>
        <v>31212.605042016814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4061.3445378151264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6304.9462184873964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3452.1428571428569</v>
      </c>
      <c r="C90" s="748">
        <f>SUM(C87:C89)</f>
        <v>26530.71428571429</v>
      </c>
      <c r="D90" s="748">
        <f t="shared" ref="D90:H90" si="12">SUM(D87:D89)</f>
        <v>31212.605042016814</v>
      </c>
      <c r="E90" s="748">
        <f t="shared" si="12"/>
        <v>0</v>
      </c>
      <c r="F90" s="748">
        <f t="shared" si="12"/>
        <v>0</v>
      </c>
      <c r="G90" s="748">
        <f t="shared" si="12"/>
        <v>0</v>
      </c>
      <c r="H90" s="748">
        <f t="shared" si="12"/>
        <v>0</v>
      </c>
      <c r="I90" s="748">
        <f>SUM(I87:I89)</f>
        <v>0</v>
      </c>
      <c r="J90" s="748">
        <f>SUM(J87:J89)</f>
        <v>4061.3445378151264</v>
      </c>
      <c r="K90" s="748">
        <f t="shared" ref="K90:L90" si="13">SUM(K87:K89)</f>
        <v>0</v>
      </c>
      <c r="L90" s="748">
        <f t="shared" si="13"/>
        <v>0</v>
      </c>
      <c r="M90" s="748">
        <f>SUM(M87:M89)</f>
        <v>0</v>
      </c>
      <c r="N90" s="748">
        <f>SUM(N87:N89)</f>
        <v>0</v>
      </c>
      <c r="O90" s="748">
        <f>SUM(O87:O89)</f>
        <v>0</v>
      </c>
      <c r="P90" s="748">
        <v>0</v>
      </c>
      <c r="Q90" s="748">
        <f>SUM(Q87:Q89)</f>
        <v>6304.9462184873964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11224.94277</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15206.92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20988</v>
      </c>
      <c r="C8" s="560">
        <f>B101</f>
        <v>21848.823529411766</v>
      </c>
      <c r="D8" s="1028"/>
      <c r="E8" s="1028">
        <f>E101</f>
        <v>0</v>
      </c>
      <c r="F8" s="1029"/>
      <c r="G8" s="561"/>
      <c r="H8" s="1028">
        <f>I101</f>
        <v>0</v>
      </c>
      <c r="I8" s="1028">
        <f>G101+F101</f>
        <v>0</v>
      </c>
      <c r="J8" s="1028">
        <f>H101+D101+C101</f>
        <v>2842.9411764705883</v>
      </c>
      <c r="K8" s="1028"/>
      <c r="L8" s="1028"/>
      <c r="M8" s="1028"/>
      <c r="N8" s="562"/>
      <c r="O8" s="563">
        <f>C8*$C$12+D8*$D$12+E8*$E$12+F8*$F$12+G8*$G$12+H8*$H$12+I8*$I$12+J8*$J$12</f>
        <v>4413.4623529411774</v>
      </c>
      <c r="P8" s="1254"/>
      <c r="Q8" s="1255"/>
      <c r="S8" s="1040"/>
      <c r="T8" s="1229"/>
      <c r="U8" s="1229"/>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48760.86277</v>
      </c>
      <c r="C10" s="573">
        <f t="shared" ref="C10:L10" si="0">SUM(C8:C9)</f>
        <v>21848.823529411766</v>
      </c>
      <c r="D10" s="573">
        <f t="shared" si="0"/>
        <v>0</v>
      </c>
      <c r="E10" s="573">
        <f t="shared" si="0"/>
        <v>0</v>
      </c>
      <c r="F10" s="573">
        <f t="shared" si="0"/>
        <v>0</v>
      </c>
      <c r="G10" s="573">
        <f t="shared" si="0"/>
        <v>0</v>
      </c>
      <c r="H10" s="573">
        <f t="shared" si="0"/>
        <v>0</v>
      </c>
      <c r="I10" s="573">
        <f t="shared" si="0"/>
        <v>0</v>
      </c>
      <c r="J10" s="573">
        <f t="shared" si="0"/>
        <v>6674.3697478991598</v>
      </c>
      <c r="K10" s="573">
        <f t="shared" si="0"/>
        <v>0</v>
      </c>
      <c r="L10" s="573">
        <f t="shared" si="0"/>
        <v>0</v>
      </c>
      <c r="M10" s="1031"/>
      <c r="N10" s="1031"/>
      <c r="O10" s="574">
        <f>SUM(O4:O9)</f>
        <v>4413.4623529411774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29982.857142857145</v>
      </c>
      <c r="C17" s="585">
        <f>B102</f>
        <v>31212.605042016814</v>
      </c>
      <c r="D17" s="586"/>
      <c r="E17" s="586">
        <f>E102</f>
        <v>0</v>
      </c>
      <c r="F17" s="1034"/>
      <c r="G17" s="587"/>
      <c r="H17" s="585">
        <f>I102</f>
        <v>0</v>
      </c>
      <c r="I17" s="586">
        <f>G102+F102</f>
        <v>0</v>
      </c>
      <c r="J17" s="586">
        <f>H102+D102+C102</f>
        <v>4061.3445378151264</v>
      </c>
      <c r="K17" s="586"/>
      <c r="L17" s="586"/>
      <c r="M17" s="586"/>
      <c r="N17" s="1035"/>
      <c r="O17" s="588">
        <f>C17*$C$22+E17*$E$22+H17*$H$22+I17*$I$22+J17*$J$22+D17*$D$22+F17*$F$22+G17*$G$22+K17*$K$22+L17*$L$22</f>
        <v>6304.9462184873964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29982.857142857145</v>
      </c>
      <c r="C20" s="572">
        <f>SUM(C17:C19)</f>
        <v>31212.605042016814</v>
      </c>
      <c r="D20" s="572">
        <f t="shared" ref="D20:L20" si="1">SUM(D17:D19)</f>
        <v>0</v>
      </c>
      <c r="E20" s="572">
        <f t="shared" si="1"/>
        <v>0</v>
      </c>
      <c r="F20" s="572">
        <f t="shared" si="1"/>
        <v>0</v>
      </c>
      <c r="G20" s="572">
        <f t="shared" si="1"/>
        <v>0</v>
      </c>
      <c r="H20" s="572">
        <f t="shared" si="1"/>
        <v>0</v>
      </c>
      <c r="I20" s="572">
        <f t="shared" si="1"/>
        <v>0</v>
      </c>
      <c r="J20" s="572">
        <f t="shared" si="1"/>
        <v>4061.3445378151264</v>
      </c>
      <c r="K20" s="572">
        <f t="shared" si="1"/>
        <v>0</v>
      </c>
      <c r="L20" s="572">
        <f t="shared" si="1"/>
        <v>0</v>
      </c>
      <c r="M20" s="572"/>
      <c r="N20" s="572"/>
      <c r="O20" s="592">
        <f>SUM(O17:O19)</f>
        <v>6304.9462184873964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34013</v>
      </c>
      <c r="C28" s="791">
        <v>8530</v>
      </c>
      <c r="D28" s="644" t="s">
        <v>910</v>
      </c>
      <c r="E28" s="643" t="s">
        <v>911</v>
      </c>
      <c r="F28" s="643" t="s">
        <v>912</v>
      </c>
      <c r="G28" s="643" t="s">
        <v>913</v>
      </c>
      <c r="H28" s="643" t="s">
        <v>914</v>
      </c>
      <c r="I28" s="643" t="s">
        <v>915</v>
      </c>
      <c r="J28" s="790">
        <v>39436</v>
      </c>
      <c r="K28" s="790">
        <v>40974</v>
      </c>
      <c r="L28" s="643" t="s">
        <v>916</v>
      </c>
      <c r="M28" s="643">
        <v>537</v>
      </c>
      <c r="N28" s="643">
        <v>2416.5</v>
      </c>
      <c r="O28" s="643">
        <v>3452.1428571428573</v>
      </c>
      <c r="P28" s="643">
        <v>0</v>
      </c>
      <c r="Q28" s="643">
        <v>6904.2857142857147</v>
      </c>
      <c r="R28" s="643">
        <v>0</v>
      </c>
      <c r="S28" s="643">
        <v>0</v>
      </c>
      <c r="T28" s="643">
        <v>0</v>
      </c>
      <c r="U28" s="643">
        <v>0</v>
      </c>
      <c r="V28" s="643">
        <v>0</v>
      </c>
      <c r="W28" s="643">
        <v>0</v>
      </c>
      <c r="X28" s="643">
        <v>10</v>
      </c>
      <c r="Y28" s="643" t="s">
        <v>112</v>
      </c>
      <c r="Z28" s="645" t="s">
        <v>112</v>
      </c>
    </row>
    <row r="29" spans="1:26" s="597" customFormat="1" ht="25.5">
      <c r="A29" s="596"/>
      <c r="B29" s="791">
        <v>34013</v>
      </c>
      <c r="C29" s="791">
        <v>8531</v>
      </c>
      <c r="D29" s="644" t="s">
        <v>917</v>
      </c>
      <c r="E29" s="643" t="s">
        <v>918</v>
      </c>
      <c r="F29" s="643" t="s">
        <v>919</v>
      </c>
      <c r="G29" s="643" t="s">
        <v>913</v>
      </c>
      <c r="H29" s="643" t="s">
        <v>914</v>
      </c>
      <c r="I29" s="643" t="s">
        <v>918</v>
      </c>
      <c r="J29" s="790">
        <v>39652</v>
      </c>
      <c r="K29" s="790">
        <v>39652</v>
      </c>
      <c r="L29" s="643" t="s">
        <v>916</v>
      </c>
      <c r="M29" s="643">
        <v>2000</v>
      </c>
      <c r="N29" s="643">
        <v>9000</v>
      </c>
      <c r="O29" s="643">
        <v>12857.142857142857</v>
      </c>
      <c r="P29" s="643">
        <v>25714.285714285717</v>
      </c>
      <c r="Q29" s="643">
        <v>0</v>
      </c>
      <c r="R29" s="643">
        <v>0</v>
      </c>
      <c r="S29" s="643">
        <v>0</v>
      </c>
      <c r="T29" s="643">
        <v>0</v>
      </c>
      <c r="U29" s="643">
        <v>0</v>
      </c>
      <c r="V29" s="643">
        <v>0</v>
      </c>
      <c r="W29" s="643">
        <v>0</v>
      </c>
      <c r="X29" s="643">
        <v>10</v>
      </c>
      <c r="Y29" s="643" t="s">
        <v>112</v>
      </c>
      <c r="Z29" s="645" t="s">
        <v>112</v>
      </c>
    </row>
    <row r="30" spans="1:26" s="597" customFormat="1" ht="38.25">
      <c r="A30" s="596"/>
      <c r="B30" s="791">
        <v>34013</v>
      </c>
      <c r="C30" s="791">
        <v>8531</v>
      </c>
      <c r="D30" s="644" t="s">
        <v>920</v>
      </c>
      <c r="E30" s="643" t="s">
        <v>921</v>
      </c>
      <c r="F30" s="643" t="s">
        <v>922</v>
      </c>
      <c r="G30" s="643" t="s">
        <v>913</v>
      </c>
      <c r="H30" s="643" t="s">
        <v>914</v>
      </c>
      <c r="I30" s="643" t="s">
        <v>923</v>
      </c>
      <c r="J30" s="790">
        <v>40345</v>
      </c>
      <c r="K30" s="790">
        <v>40345</v>
      </c>
      <c r="L30" s="643" t="s">
        <v>916</v>
      </c>
      <c r="M30" s="643">
        <v>2057</v>
      </c>
      <c r="N30" s="643">
        <v>9256.5</v>
      </c>
      <c r="O30" s="643">
        <v>13223.571428571429</v>
      </c>
      <c r="P30" s="643">
        <v>26447.142857142859</v>
      </c>
      <c r="Q30" s="643">
        <v>0</v>
      </c>
      <c r="R30" s="643">
        <v>0</v>
      </c>
      <c r="S30" s="643">
        <v>0</v>
      </c>
      <c r="T30" s="643">
        <v>0</v>
      </c>
      <c r="U30" s="643">
        <v>0</v>
      </c>
      <c r="V30" s="643">
        <v>0</v>
      </c>
      <c r="W30" s="643">
        <v>0</v>
      </c>
      <c r="X30" s="643">
        <v>10</v>
      </c>
      <c r="Y30" s="643" t="s">
        <v>112</v>
      </c>
      <c r="Z30" s="645" t="s">
        <v>112</v>
      </c>
    </row>
    <row r="31" spans="1:26" s="597" customFormat="1" ht="25.5">
      <c r="A31" s="596"/>
      <c r="B31" s="791">
        <v>34013</v>
      </c>
      <c r="C31" s="791">
        <v>8530</v>
      </c>
      <c r="D31" s="644" t="s">
        <v>924</v>
      </c>
      <c r="E31" s="643" t="s">
        <v>925</v>
      </c>
      <c r="F31" s="643" t="s">
        <v>926</v>
      </c>
      <c r="G31" s="643" t="s">
        <v>913</v>
      </c>
      <c r="H31" s="643" t="s">
        <v>914</v>
      </c>
      <c r="I31" s="643" t="s">
        <v>927</v>
      </c>
      <c r="J31" s="790">
        <v>41253</v>
      </c>
      <c r="K31" s="790">
        <v>41037</v>
      </c>
      <c r="L31" s="643" t="s">
        <v>916</v>
      </c>
      <c r="M31" s="643">
        <v>70</v>
      </c>
      <c r="N31" s="643">
        <v>315.00000000000006</v>
      </c>
      <c r="O31" s="643">
        <v>450.00000000000011</v>
      </c>
      <c r="P31" s="643">
        <v>900.00000000000023</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4664</v>
      </c>
      <c r="N58" s="601">
        <f>SUM(N28:N57)</f>
        <v>20988</v>
      </c>
      <c r="O58" s="601">
        <f t="shared" ref="O58:W58" si="2">SUM(O28:O57)</f>
        <v>29982.857142857145</v>
      </c>
      <c r="P58" s="601">
        <f t="shared" si="2"/>
        <v>53061.42857142858</v>
      </c>
      <c r="Q58" s="601">
        <f t="shared" si="2"/>
        <v>6904.2857142857147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4664</v>
      </c>
      <c r="N61" s="606">
        <f t="shared" si="4"/>
        <v>20988</v>
      </c>
      <c r="O61" s="606">
        <f t="shared" si="4"/>
        <v>29982.857142857145</v>
      </c>
      <c r="P61" s="606">
        <f t="shared" si="4"/>
        <v>53061.42857142858</v>
      </c>
      <c r="Q61" s="606">
        <f t="shared" si="4"/>
        <v>6904.2857142857147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34013</v>
      </c>
      <c r="C64" s="791">
        <v>8530</v>
      </c>
      <c r="D64" s="646" t="s">
        <v>928</v>
      </c>
      <c r="E64" s="646" t="s">
        <v>929</v>
      </c>
      <c r="F64" s="646" t="s">
        <v>930</v>
      </c>
      <c r="G64" s="646" t="s">
        <v>931</v>
      </c>
      <c r="H64" s="646" t="s">
        <v>932</v>
      </c>
      <c r="I64" s="646" t="s">
        <v>933</v>
      </c>
      <c r="J64" s="790">
        <v>39156</v>
      </c>
      <c r="K64" s="790">
        <v>39173</v>
      </c>
      <c r="L64" s="646" t="s">
        <v>916</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21848.823529411766</v>
      </c>
      <c r="C101" s="635">
        <f t="shared" si="9"/>
        <v>2842.9411764705883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31212.605042016814</v>
      </c>
      <c r="C102" s="638">
        <f t="shared" si="10"/>
        <v>4061.3445378151264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46946.133999999998</v>
      </c>
      <c r="C4" s="462">
        <f>huishoudens!C8</f>
        <v>0</v>
      </c>
      <c r="D4" s="462">
        <f>huishoudens!D8</f>
        <v>128583.83698600001</v>
      </c>
      <c r="E4" s="462">
        <f>huishoudens!E8</f>
        <v>5352.2942997371392</v>
      </c>
      <c r="F4" s="462">
        <f>huishoudens!F8</f>
        <v>6665.6213867060469</v>
      </c>
      <c r="G4" s="462">
        <f>huishoudens!G8</f>
        <v>0</v>
      </c>
      <c r="H4" s="462">
        <f>huishoudens!H8</f>
        <v>0</v>
      </c>
      <c r="I4" s="462">
        <f>huishoudens!I8</f>
        <v>0</v>
      </c>
      <c r="J4" s="462">
        <f>huishoudens!J8</f>
        <v>0</v>
      </c>
      <c r="K4" s="462">
        <f>huishoudens!K8</f>
        <v>0</v>
      </c>
      <c r="L4" s="462">
        <f>huishoudens!L8</f>
        <v>0</v>
      </c>
      <c r="M4" s="462">
        <f>huishoudens!M8</f>
        <v>0</v>
      </c>
      <c r="N4" s="462">
        <f>huishoudens!N8</f>
        <v>20065.362609016269</v>
      </c>
      <c r="O4" s="462">
        <f>huishoudens!O8</f>
        <v>259.51333333333338</v>
      </c>
      <c r="P4" s="463">
        <f>huishoudens!P8</f>
        <v>514.79999999999995</v>
      </c>
      <c r="Q4" s="464">
        <f>SUM(B4:P4)</f>
        <v>208387.56261479278</v>
      </c>
    </row>
    <row r="5" spans="1:17">
      <c r="A5" s="461" t="s">
        <v>156</v>
      </c>
      <c r="B5" s="462">
        <f ca="1">tertiair!B16</f>
        <v>59132.780000000006</v>
      </c>
      <c r="C5" s="462">
        <f ca="1">tertiair!C16</f>
        <v>0</v>
      </c>
      <c r="D5" s="462">
        <f ca="1">tertiair!D16</f>
        <v>85003.838678000015</v>
      </c>
      <c r="E5" s="462">
        <f>tertiair!E16</f>
        <v>681.63591806614636</v>
      </c>
      <c r="F5" s="462">
        <f ca="1">tertiair!F16</f>
        <v>11693.277962428614</v>
      </c>
      <c r="G5" s="462">
        <f>tertiair!G16</f>
        <v>0</v>
      </c>
      <c r="H5" s="462">
        <f>tertiair!H16</f>
        <v>0</v>
      </c>
      <c r="I5" s="462">
        <f>tertiair!I16</f>
        <v>0</v>
      </c>
      <c r="J5" s="462">
        <f>tertiair!J16</f>
        <v>0</v>
      </c>
      <c r="K5" s="462">
        <f>tertiair!K16</f>
        <v>0</v>
      </c>
      <c r="L5" s="462">
        <f ca="1">tertiair!L16</f>
        <v>0</v>
      </c>
      <c r="M5" s="462">
        <f>tertiair!M16</f>
        <v>0</v>
      </c>
      <c r="N5" s="462">
        <f ca="1">tertiair!N16</f>
        <v>4713.3918855706079</v>
      </c>
      <c r="O5" s="462">
        <f>tertiair!O16</f>
        <v>0</v>
      </c>
      <c r="P5" s="463">
        <f>tertiair!P16</f>
        <v>114.4</v>
      </c>
      <c r="Q5" s="461">
        <f t="shared" ref="Q5:Q14" ca="1" si="0">SUM(B5:P5)</f>
        <v>161339.32444406537</v>
      </c>
    </row>
    <row r="6" spans="1:17">
      <c r="A6" s="461" t="s">
        <v>194</v>
      </c>
      <c r="B6" s="462">
        <f>'openbare verlichting'!B8</f>
        <v>2219.69</v>
      </c>
      <c r="C6" s="462"/>
      <c r="D6" s="462"/>
      <c r="E6" s="462"/>
      <c r="F6" s="462"/>
      <c r="G6" s="462"/>
      <c r="H6" s="462"/>
      <c r="I6" s="462"/>
      <c r="J6" s="462"/>
      <c r="K6" s="462"/>
      <c r="L6" s="462"/>
      <c r="M6" s="462"/>
      <c r="N6" s="462"/>
      <c r="O6" s="462"/>
      <c r="P6" s="463"/>
      <c r="Q6" s="461">
        <f t="shared" si="0"/>
        <v>2219.69</v>
      </c>
    </row>
    <row r="7" spans="1:17">
      <c r="A7" s="461" t="s">
        <v>112</v>
      </c>
      <c r="B7" s="462">
        <f>landbouw!B8</f>
        <v>2226.6669999999999</v>
      </c>
      <c r="C7" s="462">
        <f>landbouw!C8</f>
        <v>29982.857142857145</v>
      </c>
      <c r="D7" s="462">
        <f>landbouw!D8</f>
        <v>0</v>
      </c>
      <c r="E7" s="462">
        <f>landbouw!E8</f>
        <v>28.058872730327238</v>
      </c>
      <c r="F7" s="462">
        <f>landbouw!F8</f>
        <v>7682.5589634142198</v>
      </c>
      <c r="G7" s="462">
        <f>landbouw!G8</f>
        <v>0</v>
      </c>
      <c r="H7" s="462">
        <f>landbouw!H8</f>
        <v>0</v>
      </c>
      <c r="I7" s="462">
        <f>landbouw!I8</f>
        <v>0</v>
      </c>
      <c r="J7" s="462">
        <f>landbouw!J8</f>
        <v>334.86540494288261</v>
      </c>
      <c r="K7" s="462">
        <f>landbouw!K8</f>
        <v>0</v>
      </c>
      <c r="L7" s="462">
        <f>landbouw!L8</f>
        <v>0</v>
      </c>
      <c r="M7" s="462">
        <f>landbouw!M8</f>
        <v>0</v>
      </c>
      <c r="N7" s="462">
        <f>landbouw!N8</f>
        <v>0</v>
      </c>
      <c r="O7" s="462">
        <f>landbouw!O8</f>
        <v>0</v>
      </c>
      <c r="P7" s="463">
        <f>landbouw!P8</f>
        <v>0</v>
      </c>
      <c r="Q7" s="461">
        <f t="shared" si="0"/>
        <v>40255.007383944576</v>
      </c>
    </row>
    <row r="8" spans="1:17">
      <c r="A8" s="461" t="s">
        <v>657</v>
      </c>
      <c r="B8" s="462">
        <f>industrie!B18</f>
        <v>45252.383000000009</v>
      </c>
      <c r="C8" s="462">
        <f>industrie!C18</f>
        <v>0</v>
      </c>
      <c r="D8" s="462">
        <f>industrie!D18</f>
        <v>71396.818702000019</v>
      </c>
      <c r="E8" s="462">
        <f>industrie!E18</f>
        <v>4088.6906219285052</v>
      </c>
      <c r="F8" s="462">
        <f>industrie!F18</f>
        <v>18779.594345327492</v>
      </c>
      <c r="G8" s="462">
        <f>industrie!G18</f>
        <v>0</v>
      </c>
      <c r="H8" s="462">
        <f>industrie!H18</f>
        <v>0</v>
      </c>
      <c r="I8" s="462">
        <f>industrie!I18</f>
        <v>0</v>
      </c>
      <c r="J8" s="462">
        <f>industrie!J18</f>
        <v>47.00750900851282</v>
      </c>
      <c r="K8" s="462">
        <f>industrie!K18</f>
        <v>0</v>
      </c>
      <c r="L8" s="462">
        <f>industrie!L18</f>
        <v>0</v>
      </c>
      <c r="M8" s="462">
        <f>industrie!M18</f>
        <v>0</v>
      </c>
      <c r="N8" s="462">
        <f>industrie!N18</f>
        <v>9690.7243764937411</v>
      </c>
      <c r="O8" s="462">
        <f>industrie!O18</f>
        <v>0</v>
      </c>
      <c r="P8" s="463">
        <f>industrie!P18</f>
        <v>0</v>
      </c>
      <c r="Q8" s="461">
        <f t="shared" si="0"/>
        <v>149255.21855475826</v>
      </c>
    </row>
    <row r="9" spans="1:17" s="467" customFormat="1">
      <c r="A9" s="465" t="s">
        <v>574</v>
      </c>
      <c r="B9" s="466">
        <f>transport!B14</f>
        <v>9.0501618110755544</v>
      </c>
      <c r="C9" s="466">
        <f>transport!C14</f>
        <v>0</v>
      </c>
      <c r="D9" s="466">
        <f>transport!D14</f>
        <v>15.206536910899025</v>
      </c>
      <c r="E9" s="466">
        <f>transport!E14</f>
        <v>510.11439228606525</v>
      </c>
      <c r="F9" s="466">
        <f>transport!F14</f>
        <v>0</v>
      </c>
      <c r="G9" s="466">
        <f>transport!G14</f>
        <v>159431.41659836774</v>
      </c>
      <c r="H9" s="466">
        <f>transport!H14</f>
        <v>23133.144263437658</v>
      </c>
      <c r="I9" s="466">
        <f>transport!I14</f>
        <v>0</v>
      </c>
      <c r="J9" s="466">
        <f>transport!J14</f>
        <v>0</v>
      </c>
      <c r="K9" s="466">
        <f>transport!K14</f>
        <v>0</v>
      </c>
      <c r="L9" s="466">
        <f>transport!L14</f>
        <v>0</v>
      </c>
      <c r="M9" s="466">
        <f>transport!M14</f>
        <v>8250.1102360974855</v>
      </c>
      <c r="N9" s="466">
        <f>transport!N14</f>
        <v>0</v>
      </c>
      <c r="O9" s="466">
        <f>transport!O14</f>
        <v>0</v>
      </c>
      <c r="P9" s="466">
        <f>transport!P14</f>
        <v>0</v>
      </c>
      <c r="Q9" s="465">
        <f>SUM(B9:P9)</f>
        <v>191349.04218891091</v>
      </c>
    </row>
    <row r="10" spans="1:17">
      <c r="A10" s="461" t="s">
        <v>564</v>
      </c>
      <c r="B10" s="462">
        <f>transport!B54</f>
        <v>0</v>
      </c>
      <c r="C10" s="462">
        <f>transport!C54</f>
        <v>0</v>
      </c>
      <c r="D10" s="462">
        <f>transport!D54</f>
        <v>0</v>
      </c>
      <c r="E10" s="462">
        <f>transport!E54</f>
        <v>0</v>
      </c>
      <c r="F10" s="462">
        <f>transport!F54</f>
        <v>0</v>
      </c>
      <c r="G10" s="462">
        <f>transport!G54</f>
        <v>1426.4938459711159</v>
      </c>
      <c r="H10" s="462">
        <f>transport!H54</f>
        <v>0</v>
      </c>
      <c r="I10" s="462">
        <f>transport!I54</f>
        <v>0</v>
      </c>
      <c r="J10" s="462">
        <f>transport!J54</f>
        <v>0</v>
      </c>
      <c r="K10" s="462">
        <f>transport!K54</f>
        <v>0</v>
      </c>
      <c r="L10" s="462">
        <f>transport!L54</f>
        <v>0</v>
      </c>
      <c r="M10" s="462">
        <f>transport!M54</f>
        <v>63.43967041499706</v>
      </c>
      <c r="N10" s="462">
        <f>transport!N54</f>
        <v>0</v>
      </c>
      <c r="O10" s="462">
        <f>transport!O54</f>
        <v>0</v>
      </c>
      <c r="P10" s="463">
        <f>transport!P54</f>
        <v>0</v>
      </c>
      <c r="Q10" s="461">
        <f t="shared" si="0"/>
        <v>1489.9335163861128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1565.191</v>
      </c>
      <c r="C14" s="469"/>
      <c r="D14" s="469">
        <f>'SEAP template'!E25</f>
        <v>12745.741</v>
      </c>
      <c r="E14" s="469"/>
      <c r="F14" s="469"/>
      <c r="G14" s="469"/>
      <c r="H14" s="469"/>
      <c r="I14" s="469"/>
      <c r="J14" s="469"/>
      <c r="K14" s="469"/>
      <c r="L14" s="469"/>
      <c r="M14" s="469"/>
      <c r="N14" s="469"/>
      <c r="O14" s="469"/>
      <c r="P14" s="470"/>
      <c r="Q14" s="461">
        <f t="shared" si="0"/>
        <v>14310.932000000001</v>
      </c>
    </row>
    <row r="15" spans="1:17" s="474" customFormat="1">
      <c r="A15" s="471" t="s">
        <v>568</v>
      </c>
      <c r="B15" s="472">
        <f ca="1">SUM(B4:B14)</f>
        <v>157351.89516181109</v>
      </c>
      <c r="C15" s="472">
        <f t="shared" ref="C15:Q15" ca="1" si="1">SUM(C4:C14)</f>
        <v>29982.857142857145</v>
      </c>
      <c r="D15" s="472">
        <f t="shared" ca="1" si="1"/>
        <v>297745.44190291094</v>
      </c>
      <c r="E15" s="472">
        <f t="shared" si="1"/>
        <v>10660.794104748184</v>
      </c>
      <c r="F15" s="472">
        <f t="shared" ca="1" si="1"/>
        <v>44821.052657876375</v>
      </c>
      <c r="G15" s="472">
        <f t="shared" si="1"/>
        <v>160857.91044433886</v>
      </c>
      <c r="H15" s="472">
        <f t="shared" si="1"/>
        <v>23133.144263437658</v>
      </c>
      <c r="I15" s="472">
        <f t="shared" si="1"/>
        <v>0</v>
      </c>
      <c r="J15" s="472">
        <f t="shared" si="1"/>
        <v>381.87291395139545</v>
      </c>
      <c r="K15" s="472">
        <f t="shared" si="1"/>
        <v>0</v>
      </c>
      <c r="L15" s="472">
        <f t="shared" ca="1" si="1"/>
        <v>0</v>
      </c>
      <c r="M15" s="472">
        <f t="shared" si="1"/>
        <v>8313.5499065124823</v>
      </c>
      <c r="N15" s="472">
        <f t="shared" ca="1" si="1"/>
        <v>34469.478871080617</v>
      </c>
      <c r="O15" s="472">
        <f t="shared" si="1"/>
        <v>259.51333333333338</v>
      </c>
      <c r="P15" s="472">
        <f t="shared" si="1"/>
        <v>629.19999999999993</v>
      </c>
      <c r="Q15" s="472">
        <f t="shared" ca="1" si="1"/>
        <v>768606.71070285805</v>
      </c>
    </row>
    <row r="17" spans="1:17">
      <c r="A17" s="475" t="s">
        <v>569</v>
      </c>
      <c r="B17" s="781">
        <f ca="1">huishoudens!B10</f>
        <v>0.20664753975853653</v>
      </c>
      <c r="C17" s="781">
        <f ca="1">huishoudens!C10</f>
        <v>0.21028503682776717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9701.3030922745838</v>
      </c>
      <c r="C22" s="462">
        <f t="shared" ref="C22:C32" ca="1" si="3">C4*$C$17</f>
        <v>0</v>
      </c>
      <c r="D22" s="462">
        <f t="shared" ref="D22:D32" si="4">D4*$D$17</f>
        <v>25973.935071172004</v>
      </c>
      <c r="E22" s="462">
        <f t="shared" ref="E22:E32" si="5">E4*$E$17</f>
        <v>1214.9708060403307</v>
      </c>
      <c r="F22" s="462">
        <f t="shared" ref="F22:F32" si="6">F4*$F$17</f>
        <v>1779.7209102505146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38669.929879737429</v>
      </c>
    </row>
    <row r="23" spans="1:17">
      <c r="A23" s="461" t="s">
        <v>156</v>
      </c>
      <c r="B23" s="462">
        <f t="shared" ca="1" si="2"/>
        <v>12219.643506082795</v>
      </c>
      <c r="C23" s="462">
        <f t="shared" ca="1" si="3"/>
        <v>0</v>
      </c>
      <c r="D23" s="462">
        <f t="shared" ca="1" si="4"/>
        <v>17170.775412956005</v>
      </c>
      <c r="E23" s="462">
        <f t="shared" si="5"/>
        <v>154.73135340101524</v>
      </c>
      <c r="F23" s="462">
        <f t="shared" ca="1" si="6"/>
        <v>3122.10521596844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32667.255488408253</v>
      </c>
    </row>
    <row r="24" spans="1:17">
      <c r="A24" s="461" t="s">
        <v>194</v>
      </c>
      <c r="B24" s="462">
        <f t="shared" ca="1" si="2"/>
        <v>458.69347752662594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458.69347752662594</v>
      </c>
    </row>
    <row r="25" spans="1:17">
      <c r="A25" s="461" t="s">
        <v>112</v>
      </c>
      <c r="B25" s="462">
        <f t="shared" ca="1" si="2"/>
        <v>460.13525741152125</v>
      </c>
      <c r="C25" s="462">
        <f t="shared" ca="1" si="3"/>
        <v>6304.9462184873964</v>
      </c>
      <c r="D25" s="462">
        <f t="shared" si="4"/>
        <v>0</v>
      </c>
      <c r="E25" s="462">
        <f t="shared" si="5"/>
        <v>6.369364109784283</v>
      </c>
      <c r="F25" s="462">
        <f t="shared" si="6"/>
        <v>2051.2432432315968</v>
      </c>
      <c r="G25" s="462">
        <f t="shared" si="7"/>
        <v>0</v>
      </c>
      <c r="H25" s="462">
        <f t="shared" si="8"/>
        <v>0</v>
      </c>
      <c r="I25" s="462">
        <f t="shared" si="9"/>
        <v>0</v>
      </c>
      <c r="J25" s="462">
        <f t="shared" si="10"/>
        <v>118.54235334978044</v>
      </c>
      <c r="K25" s="462">
        <f t="shared" si="11"/>
        <v>0</v>
      </c>
      <c r="L25" s="462">
        <f t="shared" si="12"/>
        <v>0</v>
      </c>
      <c r="M25" s="462">
        <f t="shared" si="13"/>
        <v>0</v>
      </c>
      <c r="N25" s="462">
        <f t="shared" si="14"/>
        <v>0</v>
      </c>
      <c r="O25" s="462">
        <f t="shared" si="15"/>
        <v>0</v>
      </c>
      <c r="P25" s="463">
        <f t="shared" si="16"/>
        <v>0</v>
      </c>
      <c r="Q25" s="461">
        <f t="shared" ca="1" si="17"/>
        <v>8941.2364365900794</v>
      </c>
    </row>
    <row r="26" spans="1:17">
      <c r="A26" s="461" t="s">
        <v>657</v>
      </c>
      <c r="B26" s="462">
        <f t="shared" ca="1" si="2"/>
        <v>9351.2936151610247</v>
      </c>
      <c r="C26" s="462">
        <f t="shared" ca="1" si="3"/>
        <v>0</v>
      </c>
      <c r="D26" s="462">
        <f t="shared" si="4"/>
        <v>14422.157377804006</v>
      </c>
      <c r="E26" s="462">
        <f t="shared" si="5"/>
        <v>928.13277117777068</v>
      </c>
      <c r="F26" s="462">
        <f t="shared" si="6"/>
        <v>5014.1516902024405</v>
      </c>
      <c r="G26" s="462">
        <f t="shared" si="7"/>
        <v>0</v>
      </c>
      <c r="H26" s="462">
        <f t="shared" si="8"/>
        <v>0</v>
      </c>
      <c r="I26" s="462">
        <f t="shared" si="9"/>
        <v>0</v>
      </c>
      <c r="J26" s="462">
        <f t="shared" si="10"/>
        <v>16.640658189013536</v>
      </c>
      <c r="K26" s="462">
        <f t="shared" si="11"/>
        <v>0</v>
      </c>
      <c r="L26" s="462">
        <f t="shared" si="12"/>
        <v>0</v>
      </c>
      <c r="M26" s="462">
        <f t="shared" si="13"/>
        <v>0</v>
      </c>
      <c r="N26" s="462">
        <f t="shared" si="14"/>
        <v>0</v>
      </c>
      <c r="O26" s="462">
        <f t="shared" si="15"/>
        <v>0</v>
      </c>
      <c r="P26" s="463">
        <f t="shared" si="16"/>
        <v>0</v>
      </c>
      <c r="Q26" s="461">
        <f t="shared" ca="1" si="17"/>
        <v>29732.376112534257</v>
      </c>
    </row>
    <row r="27" spans="1:17" s="467" customFormat="1">
      <c r="A27" s="465" t="s">
        <v>574</v>
      </c>
      <c r="B27" s="775">
        <f t="shared" ca="1" si="2"/>
        <v>1.8701936726754247</v>
      </c>
      <c r="C27" s="466">
        <f t="shared" ca="1" si="3"/>
        <v>0</v>
      </c>
      <c r="D27" s="466">
        <f t="shared" si="4"/>
        <v>3.0717204560016032</v>
      </c>
      <c r="E27" s="466">
        <f t="shared" si="5"/>
        <v>115.79596704893682</v>
      </c>
      <c r="F27" s="466">
        <f t="shared" si="6"/>
        <v>0</v>
      </c>
      <c r="G27" s="466">
        <f t="shared" si="7"/>
        <v>42568.188231764187</v>
      </c>
      <c r="H27" s="466">
        <f t="shared" si="8"/>
        <v>5760.1529215959772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48449.079034537775</v>
      </c>
    </row>
    <row r="28" spans="1:17">
      <c r="A28" s="461" t="s">
        <v>564</v>
      </c>
      <c r="B28" s="462">
        <f t="shared" ca="1" si="2"/>
        <v>0</v>
      </c>
      <c r="C28" s="462">
        <f t="shared" ca="1" si="3"/>
        <v>0</v>
      </c>
      <c r="D28" s="462">
        <f t="shared" si="4"/>
        <v>0</v>
      </c>
      <c r="E28" s="462">
        <f t="shared" si="5"/>
        <v>0</v>
      </c>
      <c r="F28" s="462">
        <f t="shared" si="6"/>
        <v>0</v>
      </c>
      <c r="G28" s="462">
        <f t="shared" si="7"/>
        <v>380.87385687428798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380.87385687428798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323.44286940220354</v>
      </c>
      <c r="C32" s="462">
        <f t="shared" ca="1" si="3"/>
        <v>0</v>
      </c>
      <c r="D32" s="462">
        <f t="shared" si="4"/>
        <v>2574.639682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2898.0825514022035</v>
      </c>
    </row>
    <row r="33" spans="1:17" s="474" customFormat="1">
      <c r="A33" s="471" t="s">
        <v>568</v>
      </c>
      <c r="B33" s="472">
        <f ca="1">SUM(B22:B32)</f>
        <v>32516.38201153143</v>
      </c>
      <c r="C33" s="472">
        <f t="shared" ref="C33:Q33" ca="1" si="18">SUM(C22:C32)</f>
        <v>6304.9462184873964</v>
      </c>
      <c r="D33" s="472">
        <f t="shared" ca="1" si="18"/>
        <v>60144.579264388012</v>
      </c>
      <c r="E33" s="472">
        <f t="shared" si="18"/>
        <v>2420.0002617778377</v>
      </c>
      <c r="F33" s="472">
        <f t="shared" ca="1" si="18"/>
        <v>11967.221059652991</v>
      </c>
      <c r="G33" s="472">
        <f t="shared" si="18"/>
        <v>42949.062088638471</v>
      </c>
      <c r="H33" s="472">
        <f t="shared" si="18"/>
        <v>5760.1529215959772</v>
      </c>
      <c r="I33" s="472">
        <f t="shared" si="18"/>
        <v>0</v>
      </c>
      <c r="J33" s="472">
        <f t="shared" si="18"/>
        <v>135.18301153879398</v>
      </c>
      <c r="K33" s="472">
        <f t="shared" si="18"/>
        <v>0</v>
      </c>
      <c r="L33" s="472">
        <f t="shared" ca="1" si="18"/>
        <v>0</v>
      </c>
      <c r="M33" s="472">
        <f t="shared" si="18"/>
        <v>0</v>
      </c>
      <c r="N33" s="472">
        <f t="shared" ca="1" si="18"/>
        <v>0</v>
      </c>
      <c r="O33" s="472">
        <f t="shared" si="18"/>
        <v>0</v>
      </c>
      <c r="P33" s="472">
        <f t="shared" si="18"/>
        <v>0</v>
      </c>
      <c r="Q33" s="472">
        <f t="shared" ca="1" si="18"/>
        <v>162197.52683761093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11224.94277</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15206.92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2416.5</v>
      </c>
      <c r="C8" s="1047">
        <f>'SEAP template'!C76</f>
        <v>18571.5</v>
      </c>
      <c r="D8" s="1047">
        <f>'SEAP template'!D76</f>
        <v>21848.823529411766</v>
      </c>
      <c r="E8" s="1047">
        <f>'SEAP template'!E76</f>
        <v>0</v>
      </c>
      <c r="F8" s="1047">
        <f>'SEAP template'!F76</f>
        <v>0</v>
      </c>
      <c r="G8" s="1047">
        <f>'SEAP template'!G76</f>
        <v>0</v>
      </c>
      <c r="H8" s="1047">
        <f>'SEAP template'!H76</f>
        <v>0</v>
      </c>
      <c r="I8" s="1047">
        <f>'SEAP template'!I76</f>
        <v>0</v>
      </c>
      <c r="J8" s="1047">
        <f>'SEAP template'!J76</f>
        <v>2842.9411764705883</v>
      </c>
      <c r="K8" s="1047">
        <f>'SEAP template'!K76</f>
        <v>0</v>
      </c>
      <c r="L8" s="1047">
        <f>'SEAP template'!L76</f>
        <v>0</v>
      </c>
      <c r="M8" s="1047">
        <f>'SEAP template'!M76</f>
        <v>0</v>
      </c>
      <c r="N8" s="1047">
        <f>'SEAP template'!N76</f>
        <v>0</v>
      </c>
      <c r="O8" s="1047">
        <f>'SEAP template'!O76</f>
        <v>0</v>
      </c>
      <c r="P8" s="1048">
        <f>'SEAP template'!Q76</f>
        <v>4413.4623529411774</v>
      </c>
    </row>
    <row r="9" spans="1:16">
      <c r="A9" s="1050" t="s">
        <v>888</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30189.36277</v>
      </c>
      <c r="C10" s="1051">
        <f>SUM(C4:C9)</f>
        <v>18571.5</v>
      </c>
      <c r="D10" s="1051">
        <f t="shared" ref="D10:H10" si="0">SUM(D8:D9)</f>
        <v>21848.823529411766</v>
      </c>
      <c r="E10" s="1051">
        <f t="shared" si="0"/>
        <v>0</v>
      </c>
      <c r="F10" s="1051">
        <f t="shared" si="0"/>
        <v>0</v>
      </c>
      <c r="G10" s="1051">
        <f t="shared" si="0"/>
        <v>0</v>
      </c>
      <c r="H10" s="1051">
        <f t="shared" si="0"/>
        <v>0</v>
      </c>
      <c r="I10" s="1051">
        <f>SUM(I8:I9)</f>
        <v>0</v>
      </c>
      <c r="J10" s="1051">
        <f>SUM(J8:J9)</f>
        <v>6674.3697478991598</v>
      </c>
      <c r="K10" s="1051">
        <f t="shared" ref="K10:L10" si="1">SUM(K8:K9)</f>
        <v>0</v>
      </c>
      <c r="L10" s="1051">
        <f t="shared" si="1"/>
        <v>0</v>
      </c>
      <c r="M10" s="1051">
        <f>SUM(M8:M9)</f>
        <v>0</v>
      </c>
      <c r="N10" s="1051">
        <f>SUM(N8:N9)</f>
        <v>0</v>
      </c>
      <c r="O10" s="1051">
        <f>SUM(O8:O9)</f>
        <v>0</v>
      </c>
      <c r="P10" s="1051">
        <f>SUM(P8:P9)</f>
        <v>4413.4623529411774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0.20664753975853653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3452.1428571428569</v>
      </c>
      <c r="C17" s="1053">
        <f>'SEAP template'!C87</f>
        <v>26530.71428571429</v>
      </c>
      <c r="D17" s="1048">
        <f>'SEAP template'!D87</f>
        <v>31212.605042016814</v>
      </c>
      <c r="E17" s="1048">
        <f>'SEAP template'!E87</f>
        <v>0</v>
      </c>
      <c r="F17" s="1048">
        <f>'SEAP template'!F87</f>
        <v>0</v>
      </c>
      <c r="G17" s="1048">
        <f>'SEAP template'!G87</f>
        <v>0</v>
      </c>
      <c r="H17" s="1048">
        <f>'SEAP template'!H87</f>
        <v>0</v>
      </c>
      <c r="I17" s="1048">
        <f>'SEAP template'!I87</f>
        <v>0</v>
      </c>
      <c r="J17" s="1048">
        <f>'SEAP template'!J87</f>
        <v>4061.3445378151264</v>
      </c>
      <c r="K17" s="1048">
        <f>'SEAP template'!K87</f>
        <v>0</v>
      </c>
      <c r="L17" s="1048">
        <f>'SEAP template'!L87</f>
        <v>0</v>
      </c>
      <c r="M17" s="1048">
        <f>'SEAP template'!M87</f>
        <v>0</v>
      </c>
      <c r="N17" s="1048">
        <f>'SEAP template'!N87</f>
        <v>0</v>
      </c>
      <c r="O17" s="1048">
        <f>'SEAP template'!O87</f>
        <v>0</v>
      </c>
      <c r="P17" s="1048">
        <f>'SEAP template'!Q87</f>
        <v>6304.9462184873964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3452.1428571428569</v>
      </c>
      <c r="C20" s="1051">
        <f>SUM(C17:C19)</f>
        <v>26530.71428571429</v>
      </c>
      <c r="D20" s="1051">
        <f t="shared" ref="D20:H20" si="2">SUM(D17:D19)</f>
        <v>31212.605042016814</v>
      </c>
      <c r="E20" s="1051">
        <f t="shared" si="2"/>
        <v>0</v>
      </c>
      <c r="F20" s="1051">
        <f t="shared" si="2"/>
        <v>0</v>
      </c>
      <c r="G20" s="1051">
        <f t="shared" si="2"/>
        <v>0</v>
      </c>
      <c r="H20" s="1051">
        <f t="shared" si="2"/>
        <v>0</v>
      </c>
      <c r="I20" s="1051">
        <f>SUM(I17:I19)</f>
        <v>0</v>
      </c>
      <c r="J20" s="1051">
        <f>SUM(J17:J19)</f>
        <v>4061.3445378151264</v>
      </c>
      <c r="K20" s="1051">
        <f t="shared" ref="K20:L20" si="3">SUM(K17:K19)</f>
        <v>0</v>
      </c>
      <c r="L20" s="1051">
        <f t="shared" si="3"/>
        <v>0</v>
      </c>
      <c r="M20" s="1051">
        <f>SUM(M17:M19)</f>
        <v>0</v>
      </c>
      <c r="N20" s="1051">
        <f>SUM(N17:N19)</f>
        <v>0</v>
      </c>
      <c r="O20" s="1051">
        <f>SUM(O17:O19)</f>
        <v>0</v>
      </c>
      <c r="P20" s="1051">
        <f>SUM(P17:P19)</f>
        <v>6304.9462184873964</v>
      </c>
    </row>
    <row r="22" spans="1:16">
      <c r="A22" s="475" t="s">
        <v>896</v>
      </c>
      <c r="B22" s="781" t="s">
        <v>890</v>
      </c>
      <c r="C22" s="781">
        <f ca="1">'EF ele_warmte'!B22</f>
        <v>0.21028503682776717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0.20664753975853653</v>
      </c>
      <c r="C17" s="512">
        <f ca="1">'EF ele_warmte'!B22</f>
        <v>0.21028503682776717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2019-07-04T14:26:31Z</dcterms:modified>
</cp:coreProperties>
</file>