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L10" i="59"/>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78" i="14"/>
  <c r="M8" i="59"/>
  <c r="M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22"/>
  <c r="K24"/>
  <c r="K27"/>
  <c r="K29"/>
  <c r="K31"/>
  <c r="K30"/>
  <c r="B7"/>
  <c r="C24" i="14"/>
  <c r="C26" s="1"/>
  <c r="O4" i="48"/>
  <c r="P11" i="14"/>
  <c r="I22" i="48"/>
  <c r="I31"/>
  <c r="I26"/>
  <c r="I32"/>
  <c r="I25"/>
  <c r="I27"/>
  <c r="I24"/>
  <c r="I29"/>
  <c r="I28"/>
  <c r="I30"/>
  <c r="D30"/>
  <c r="D29"/>
  <c r="D24"/>
  <c r="D28"/>
  <c r="D31"/>
  <c r="D32"/>
  <c r="L27"/>
  <c r="L29"/>
  <c r="L32"/>
  <c r="L24"/>
  <c r="L22"/>
  <c r="L28"/>
  <c r="L30"/>
  <c r="L31"/>
  <c r="P4"/>
  <c r="Q11" i="14"/>
  <c r="H29" i="48"/>
  <c r="H26"/>
  <c r="H32"/>
  <c r="H25"/>
  <c r="H30"/>
  <c r="H24"/>
  <c r="H28"/>
  <c r="H22"/>
  <c r="H23"/>
  <c r="D11" i="14"/>
  <c r="C4" i="48"/>
  <c r="G32"/>
  <c r="G26"/>
  <c r="G29"/>
  <c r="G24"/>
  <c r="G30"/>
  <c r="G25"/>
  <c r="G22"/>
  <c r="G23"/>
  <c r="E31"/>
  <c r="E32"/>
  <c r="E28"/>
  <c r="E24"/>
  <c r="E29"/>
  <c r="E30"/>
  <c r="M32"/>
  <c r="M25"/>
  <c r="M29"/>
  <c r="M26"/>
  <c r="M24"/>
  <c r="M22"/>
  <c r="M30"/>
  <c r="M23"/>
  <c r="L10" i="14"/>
  <c r="L16" s="1"/>
  <c r="L27" s="1"/>
  <c r="K5" i="48"/>
  <c r="P5"/>
  <c r="P23" s="1"/>
  <c r="Q10" i="14"/>
  <c r="J29" i="48"/>
  <c r="J27"/>
  <c r="J32"/>
  <c r="J30"/>
  <c r="J28"/>
  <c r="J31"/>
  <c r="J24"/>
  <c r="E11" i="14"/>
  <c r="D4" i="48"/>
  <c r="D22" s="1"/>
  <c r="C11" i="14"/>
  <c r="B4" i="48"/>
  <c r="F32"/>
  <c r="F27"/>
  <c r="F29"/>
  <c r="F30"/>
  <c r="F24"/>
  <c r="F28"/>
  <c r="F31"/>
  <c r="N29"/>
  <c r="N32"/>
  <c r="N27"/>
  <c r="N31"/>
  <c r="N24"/>
  <c r="N28"/>
  <c r="N30"/>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5" i="48" l="1"/>
  <c r="O23" s="1"/>
  <c r="P10" i="14"/>
  <c r="O22" i="48"/>
  <c r="G13"/>
  <c r="H18" i="14"/>
  <c r="H13" i="48"/>
  <c r="H31" s="1"/>
  <c r="I18" i="14"/>
  <c r="L63"/>
  <c r="P22" i="16"/>
  <c r="Q43" i="14" s="1"/>
  <c r="P8" i="48"/>
  <c r="P26" s="1"/>
  <c r="Q13" i="14"/>
  <c r="Q16" s="1"/>
  <c r="Q27" s="1"/>
  <c r="Q63" s="1"/>
  <c r="E9" i="48"/>
  <c r="F20" i="14"/>
  <c r="F22" s="1"/>
  <c r="D9" i="48"/>
  <c r="D27" s="1"/>
  <c r="E20" i="14"/>
  <c r="E22" s="1"/>
  <c r="F4" i="48"/>
  <c r="F22" s="1"/>
  <c r="G11" i="14"/>
  <c r="K24"/>
  <c r="K26" s="1"/>
  <c r="J7" i="48"/>
  <c r="J25" s="1"/>
  <c r="J10" i="14"/>
  <c r="J16" s="1"/>
  <c r="J27" s="1"/>
  <c r="I5" i="48"/>
  <c r="P22"/>
  <c r="P15"/>
  <c r="L46" i="14"/>
  <c r="L61" s="1"/>
  <c r="B9" i="48"/>
  <c r="C20" i="14"/>
  <c r="K15" i="48"/>
  <c r="K23"/>
  <c r="K33" s="1"/>
  <c r="M12" i="22"/>
  <c r="N18" i="14"/>
  <c r="M13" i="48"/>
  <c r="M31" s="1"/>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E7" i="48"/>
  <c r="E25" s="1"/>
  <c r="F24" i="14"/>
  <c r="F26" s="1"/>
  <c r="E27" i="48"/>
  <c r="K11" i="14"/>
  <c r="J4" i="48"/>
  <c r="J63" i="14"/>
  <c r="H20"/>
  <c r="H22" s="1"/>
  <c r="H27" s="1"/>
  <c r="G9" i="48"/>
  <c r="O8"/>
  <c r="P13" i="14"/>
  <c r="P16" s="1"/>
  <c r="P27" s="1"/>
  <c r="M14" i="22"/>
  <c r="C22" i="14"/>
  <c r="H19"/>
  <c r="G10" i="48"/>
  <c r="I23"/>
  <c r="I33" s="1"/>
  <c r="I15"/>
  <c r="Q13"/>
  <c r="G31"/>
  <c r="P33"/>
  <c r="R18" i="14"/>
  <c r="M10" i="48"/>
  <c r="M28" s="1"/>
  <c r="N19"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O26" i="48" l="1"/>
  <c r="O33" s="1"/>
  <c r="O15"/>
  <c r="I20" i="14"/>
  <c r="I22" s="1"/>
  <c r="I27" s="1"/>
  <c r="H9" i="48"/>
  <c r="G27"/>
  <c r="G15"/>
  <c r="K10" i="14"/>
  <c r="J5" i="48"/>
  <c r="J23" s="1"/>
  <c r="M9"/>
  <c r="N20" i="14"/>
  <c r="N22" s="1"/>
  <c r="N27" s="1"/>
  <c r="N63" s="1"/>
  <c r="R11"/>
  <c r="E22" i="48"/>
  <c r="Q4"/>
  <c r="G28"/>
  <c r="Q10"/>
  <c r="E20" i="15"/>
  <c r="F40" i="14" s="1"/>
  <c r="E5" i="48"/>
  <c r="E23" s="1"/>
  <c r="F10" i="14"/>
  <c r="J22" i="48"/>
  <c r="E46" i="14"/>
  <c r="E61" s="1"/>
  <c r="R19"/>
  <c r="M61"/>
  <c r="M27"/>
  <c r="E16"/>
  <c r="E27" s="1"/>
  <c r="L15" i="48"/>
  <c r="R24" i="14"/>
  <c r="R26" s="1"/>
  <c r="L33" i="48"/>
  <c r="Q7"/>
  <c r="R10" i="14"/>
  <c r="D23" i="48"/>
  <c r="D33" s="1"/>
  <c r="D15"/>
  <c r="C16" i="14"/>
  <c r="C27" s="1"/>
  <c r="B3" i="6" s="1"/>
  <c r="B12" s="1"/>
  <c r="F23" i="48"/>
  <c r="N23"/>
  <c r="Q5"/>
  <c r="B15"/>
  <c r="F18" i="16"/>
  <c r="E18"/>
  <c r="E22" s="1"/>
  <c r="F43" i="14" s="1"/>
  <c r="N18" i="16"/>
  <c r="J18"/>
  <c r="G18" i="22"/>
  <c r="H50" i="14" s="1"/>
  <c r="H52" s="1"/>
  <c r="H61" s="1"/>
  <c r="H63"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15" i="48"/>
  <c r="K16" i="14"/>
  <c r="K27" s="1"/>
  <c r="M27" i="48"/>
  <c r="M33" s="1"/>
  <c r="M15"/>
  <c r="R20" i="14"/>
  <c r="H27" i="48"/>
  <c r="H33" s="1"/>
  <c r="H15"/>
  <c r="Q9"/>
  <c r="J22" i="16"/>
  <c r="K43" i="14" s="1"/>
  <c r="K46" s="1"/>
  <c r="K61" s="1"/>
  <c r="K63" s="1"/>
  <c r="K13"/>
  <c r="J8" i="48"/>
  <c r="J26" s="1"/>
  <c r="J33" s="1"/>
  <c r="F46" i="14"/>
  <c r="F61" s="1"/>
  <c r="E63"/>
  <c r="G33" i="48"/>
  <c r="E8"/>
  <c r="F13" i="14"/>
  <c r="F16" s="1"/>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<sst xmlns="http://schemas.openxmlformats.org/spreadsheetml/2006/main" count="2438" uniqueCount="916">
  <si>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</si>
  <si>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</si>
  <si>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</si>
  <si>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</si>
  <si>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</si>
  <si>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</si>
  <si>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</si>
  <si>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</si>
  <si>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</si>
  <si>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</si>
  <si>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</si>
  <si>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</si>
  <si>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</si>
  <si>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</si>
  <si>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</si>
  <si>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</si>
  <si>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</si>
  <si>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</si>
  <si>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</si>
  <si>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</si>
  <si>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</si>
  <si>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</si>
  <si>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</si>
  <si>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</si>
  <si>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</si>
  <si>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</si>
  <si>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</si>
  <si>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</si>
  <si>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</si>
  <si>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</si>
  <si>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</si>
  <si>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</si>
  <si>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</si>
  <si>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</si>
  <si>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</si>
  <si>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</si>
  <si>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</si>
  <si>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</si>
  <si>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</si>
  <si>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</si>
  <si>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</si>
  <si>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</si>
  <si>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</si>
  <si>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</si>
  <si>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</si>
  <si>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</si>
  <si>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</si>
  <si>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</si>
  <si>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</si>
  <si>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</si>
  <si>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</si>
  <si>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</si>
  <si>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</si>
  <si>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</si>
  <si>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</si>
  <si>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</si>
  <si>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</si>
  <si>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</si>
  <si>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</si>
  <si>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</si>
  <si>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</si>
  <si>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</si>
  <si>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</si>
  <si>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</si>
  <si>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</si>
  <si>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</si>
  <si>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</si>
  <si>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</si>
  <si>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</si>
  <si>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</si>
  <si>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</si>
  <si>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</si>
  <si>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</si>
  <si>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</si>
  <si>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</si>
  <si>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</si>
  <si>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</si>
  <si>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</si>
  <si>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</si>
  <si>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</si>
  <si>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</si>
  <si>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</si>
  <si>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</si>
  <si>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</si>
  <si>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</si>
  <si>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</si>
  <si>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</si>
  <si>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</si>
  <si>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</si>
  <si>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</si>
  <si>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</si>
  <si>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</si>
  <si>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</si>
  <si>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</si>
  <si>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</si>
  <si>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</si>
  <si>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</si>
  <si>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</si>
  <si>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</si>
  <si>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</si>
  <si>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</si>
  <si>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</si>
  <si>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</si>
  <si>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</si>
  <si>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</si>
  <si>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</si>
  <si>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</si>
  <si>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</si>
  <si>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</si>
  <si>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</si>
  <si>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</si>
  <si>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</si>
  <si>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</si>
  <si>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</si>
  <si>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</si>
  <si>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</si>
  <si>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</si>
  <si>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</si>
  <si>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</si>
  <si>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</si>
  <si>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</si>
  <si>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</si>
  <si>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</si>
  <si>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</si>
  <si>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</si>
  <si>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</si>
  <si>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</si>
  <si>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</si>
  <si>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</si>
  <si>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</si>
  <si>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</si>
  <si>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</si>
  <si>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</si>
  <si>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</si>
  <si>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</si>
  <si>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</si>
  <si>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</si>
  <si>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</si>
  <si>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</si>
  <si>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</si>
  <si>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</si>
  <si>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</si>
  <si>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</si>
  <si>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</si>
  <si>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</si>
  <si>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</si>
  <si>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</si>
  <si>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</si>
  <si>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</si>
  <si>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</si>
  <si>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</si>
  <si>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</si>
  <si>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</si>
  <si>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</si>
  <si>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</si>
  <si>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</si>
  <si>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</si>
  <si>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</si>
  <si>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</si>
  <si>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</si>
  <si>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</si>
  <si>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</si>
  <si>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</si>
  <si>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</si>
  <si>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</si>
  <si>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</si>
  <si>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</si>
  <si>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</si>
  <si>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</si>
  <si>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</si>
  <si>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</si>
  <si>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</si>
  <si>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</si>
  <si>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</si>
  <si>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</si>
  <si>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</si>
  <si>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</si>
  <si>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</si>
  <si>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</si>
  <si>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</si>
  <si>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</si>
  <si>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</si>
  <si>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</si>
  <si>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</si>
  <si>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</si>
  <si>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</si>
  <si>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</si>
  <si>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</si>
  <si>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</si>
  <si>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</si>
  <si>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</si>
  <si>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</si>
  <si>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</si>
  <si>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</si>
  <si>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</si>
  <si>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</si>
  <si>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</si>
  <si>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</si>
  <si>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</si>
  <si>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</si>
  <si>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</si>
  <si>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</si>
  <si>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</si>
  <si>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</si>
  <si>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</si>
  <si>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</si>
  <si>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</si>
  <si>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</si>
  <si>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</si>
  <si>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</si>
  <si>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</si>
  <si>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</si>
  <si>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</si>
  <si>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</si>
  <si>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</si>
  <si>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</si>
  <si>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</si>
  <si>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</si>
  <si>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</si>
  <si>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</si>
  <si>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</si>
  <si>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</si>
  <si>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</si>
  <si>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</si>
  <si>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</si>
  <si>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</si>
  <si>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</si>
  <si>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</si>
  <si>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</si>
  <si>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</si>
  <si>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</si>
  <si>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</si>
  <si>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</si>
  <si>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</si>
  <si>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</si>
  <si>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</si>
  <si>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</si>
  <si>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</si>
  <si>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</si>
  <si>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</si>
  <si>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</si>
  <si>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</si>
  <si>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</si>
  <si>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</si>
  <si>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</si>
  <si>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</si>
  <si>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</si>
  <si>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</si>
  <si>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</si>
  <si>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</si>
  <si>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</si>
  <si>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</si>
  <si>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</si>
  <si>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</si>
  <si>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</si>
  <si>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</si>
  <si>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</si>
  <si>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</si>
  <si>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</si>
  <si>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</si>
  <si>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</si>
  <si>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</si>
  <si>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</si>
  <si>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</si>
  <si>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</si>
  <si>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</si>
  <si>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</si>
  <si>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</si>
  <si>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</si>
  <si>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</si>
  <si>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</si>
  <si>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</si>
  <si>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</si>
  <si>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</si>
  <si>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</si>
  <si>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</si>
  <si>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</si>
  <si>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</si>
  <si>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</si>
  <si>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</si>
  <si>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</si>
  <si>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</si>
  <si>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</si>
  <si>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</si>
  <si>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</si>
  <si>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</si>
  <si>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</si>
  <si>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</si>
  <si>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</si>
  <si>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</si>
  <si>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</si>
  <si>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</si>
  <si>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</si>
  <si>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</si>
  <si>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</si>
  <si>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</si>
  <si>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</si>
  <si>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</si>
  <si>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</si>
  <si>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</si>
  <si>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</si>
  <si>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</si>
  <si>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</si>
  <si>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</si>
  <si>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</si>
  <si>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</si>
  <si>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</si>
  <si>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</si>
  <si>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</si>
  <si>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</si>
  <si>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</si>
  <si>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</si>
  <si>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</si>
  <si>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</si>
  <si>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</si>
  <si>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</si>
  <si>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</si>
  <si>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</si>
  <si>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</si>
  <si>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</si>
  <si>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</si>
  <si>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</si>
  <si>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</si>
  <si>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</si>
  <si>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</si>
  <si>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</si>
  <si>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</si>
  <si>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</si>
  <si>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</si>
  <si>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</si>
  <si>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</si>
  <si>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</si>
  <si>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</si>
  <si>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</si>
  <si>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</si>
  <si>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</si>
  <si>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</si>
  <si>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</si>
  <si>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</si>
  <si>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</si>
  <si>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</si>
  <si>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</si>
  <si>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</si>
  <si>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</si>
  <si>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</si>
  <si>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</si>
  <si>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</si>
  <si>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</si>
  <si>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</si>
  <si>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</si>
  <si>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</si>
  <si>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</si>
  <si>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</si>
  <si>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</si>
  <si>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</si>
  <si>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</si>
  <si>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</si>
  <si>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</si>
  <si>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</si>
  <si>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</si>
  <si>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</si>
  <si>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</si>
  <si>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</si>
  <si>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</si>
  <si>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</si>
  <si>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</si>
  <si>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</si>
  <si>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</si>
  <si>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</si>
  <si>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</si>
  <si>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</si>
  <si>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</si>
  <si>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</si>
  <si>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</si>
  <si>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</si>
  <si>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</si>
  <si>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</si>
  <si>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</si>
  <si>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</si>
  <si>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</si>
  <si>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</si>
  <si>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</si>
  <si>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</si>
  <si>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</si>
  <si>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</si>
  <si>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</si>
  <si>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</si>
  <si>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</si>
  <si>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</si>
  <si>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</si>
  <si>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</si>
  <si>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</si>
  <si>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</si>
  <si>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</si>
  <si>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</si>
  <si>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</si>
  <si>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</si>
  <si>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</si>
  <si>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</si>
  <si>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</si>
  <si>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</si>
  <si>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</si>
  <si>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</si>
  <si>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</si>
  <si>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</si>
  <si>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</si>
  <si>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</si>
  <si>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</si>
  <si>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</si>
  <si>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</si>
  <si>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</si>
  <si>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</si>
  <si>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</si>
  <si>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</si>
  <si>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</si>
  <si>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</si>
  <si>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</si>
  <si>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</si>
  <si>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</si>
  <si>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</si>
  <si>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</si>
  <si>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</si>
  <si>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</si>
  <si>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</si>
  <si>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</si>
  <si>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</si>
  <si>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</si>
  <si>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</si>
  <si>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</si>
  <si>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</si>
  <si>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</si>
  <si>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</si>
  <si>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</si>
  <si>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</si>
  <si>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</si>
  <si>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</si>
  <si>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</si>
  <si>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</si>
  <si>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</si>
  <si>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</si>
  <si>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</si>
  <si>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</si>
  <si>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</si>
  <si>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</si>
  <si>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</si>
  <si>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</si>
  <si>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</si>
  <si>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</si>
  <si>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</si>
  <si>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</si>
  <si>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</si>
  <si>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</si>
  <si>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</si>
  <si>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</si>
  <si>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</si>
  <si>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</si>
  <si>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</si>
  <si>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</si>
  <si>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</si>
  <si>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</si>
  <si>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</si>
  <si>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</si>
  <si>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</si>
  <si>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</si>
  <si>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</si>
  <si>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</si>
  <si>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</si>
  <si>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</si>
  <si>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</si>
  <si>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</si>
  <si>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</si>
  <si>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</si>
  <si>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</si>
  <si>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</si>
  <si>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</si>
  <si>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</si>
  <si>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</si>
  <si>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</si>
  <si>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</si>
  <si>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</si>
  <si>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</si>
  <si>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</si>
  <si>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</si>
  <si>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</si>
  <si>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</si>
  <si>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</si>
  <si>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</si>
  <si>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</si>
  <si>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</si>
  <si>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</si>
  <si>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</si>
  <si>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</si>
  <si>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</si>
  <si>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</si>
  <si>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</si>
  <si>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</si>
  <si>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</si>
  <si>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</si>
  <si>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</si>
  <si>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</si>
  <si>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</si>
  <si>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</si>
  <si>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</si>
  <si>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</si>
  <si>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</si>
  <si>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</si>
  <si>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</si>
  <si>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</si>
  <si>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</si>
  <si>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</si>
  <si>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</si>
  <si>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</si>
  <si>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</si>
  <si>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</si>
  <si>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</si>
  <si>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</si>
  <si>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</si>
  <si>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</si>
  <si>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</si>
  <si>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</si>
  <si>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</si>
  <si>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</si>
  <si>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</si>
  <si>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</si>
  <si>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</si>
  <si>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</si>
  <si>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</si>
  <si>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</si>
  <si>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</si>
  <si>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</si>
  <si>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</si>
  <si>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</si>
  <si>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</si>
  <si>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</si>
  <si>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</si>
  <si>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</si>
  <si>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</si>
  <si>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</si>
  <si>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</si>
  <si>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</si>
  <si>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</si>
  <si>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</si>
  <si>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</si>
  <si>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</si>
  <si>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</si>
  <si>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</si>
  <si>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</si>
  <si>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</si>
  <si>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</si>
  <si>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</si>
  <si>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</si>
  <si>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</si>
  <si>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</si>
  <si>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</si>
  <si>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</si>
  <si>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</si>
  <si>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</si>
  <si>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</si>
  <si>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</si>
  <si>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</si>
  <si>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</si>
  <si>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</si>
  <si>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</si>
  <si>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</si>
  <si>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</si>
  <si>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</si>
  <si>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</si>
  <si>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</si>
  <si>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</si>
  <si>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</si>
  <si>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</si>
  <si>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</si>
  <si>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</si>
  <si>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</si>
  <si>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</si>
  <si>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</si>
  <si>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</si>
  <si>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</si>
  <si>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</si>
  <si>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</si>
  <si>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</si>
  <si>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</si>
  <si>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</si>
  <si>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</si>
  <si>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</si>
  <si>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</si>
  <si>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</si>
  <si>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</si>
  <si>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</si>
  <si>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</si>
  <si>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</si>
  <si>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</si>
  <si>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</si>
  <si>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</si>
  <si>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</si>
  <si>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</si>
  <si>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</si>
  <si>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</si>
  <si>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</si>
  <si>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</si>
  <si>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</si>
  <si>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</si>
  <si>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</si>
  <si>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</si>
  <si>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</si>
  <si>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</si>
  <si>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</si>
  <si>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</si>
  <si>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</si>
  <si>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</si>
  <si>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</si>
  <si>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</si>
  <si>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</si>
  <si>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</si>
  <si>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</si>
  <si>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</si>
  <si>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</si>
  <si>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</si>
  <si>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</si>
  <si>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</si>
  <si>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</si>
  <si>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</si>
  <si>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</si>
  <si>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</si>
  <si>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</si>
  <si>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</si>
  <si>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</si>
  <si>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</si>
  <si>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</si>
  <si>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</si>
  <si>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</si>
  <si>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</si>
  <si>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</si>
  <si>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</si>
  <si>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</si>
  <si>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</si>
  <si>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</si>
  <si>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</si>
  <si>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</si>
  <si>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</si>
  <si>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</si>
  <si>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</si>
  <si>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</si>
  <si>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</si>
  <si>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</si>
  <si>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</si>
  <si>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</si>
  <si>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</si>
  <si>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</si>
  <si>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</si>
  <si>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</si>
  <si>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</si>
  <si>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</si>
  <si>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</si>
  <si>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</si>
  <si>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</si>
  <si>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</si>
  <si>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</si>
  <si>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</si>
  <si>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</si>
  <si>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</si>
  <si>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</si>
  <si>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</si>
  <si>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</si>
  <si>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</si>
  <si>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</si>
  <si>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</si>
  <si>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</si>
  <si>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</si>
  <si>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</si>
  <si>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</si>
  <si>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</si>
  <si>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</si>
  <si>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</si>
  <si>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</si>
  <si>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</si>
  <si>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</si>
  <si>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</si>
  <si>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</si>
  <si>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</si>
  <si>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</si>
  <si>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</si>
  <si>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</si>
  <si>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</si>
  <si>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</si>
  <si>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</si>
  <si>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</si>
  <si>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</si>
  <si>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</si>
  <si>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</si>
  <si>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</si>
  <si>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</si>
  <si>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</si>
  <si>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</si>
  <si>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</si>
  <si>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</si>
  <si>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</si>
  <si>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</si>
  <si>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</si>
  <si>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</si>
  <si>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</si>
  <si>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</si>
  <si>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</si>
  <si>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</si>
  <si>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</si>
  <si>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</si>
  <si>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</si>
  <si>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</si>
  <si>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</si>
  <si>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</si>
  <si>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</si>
  <si>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</si>
  <si>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</si>
  <si>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</si>
  <si>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</si>
  <si>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</si>
  <si>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</si>
  <si>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</si>
  <si>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</si>
  <si>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</si>
  <si>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</si>
  <si>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</si>
  <si>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</si>
  <si>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</si>
  <si>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</si>
  <si>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</si>
  <si>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</si>
  <si>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</si>
  <si>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</si>
  <si>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</si>
  <si>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</si>
  <si>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</si>
  <si>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</si>
  <si>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</si>
  <si>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</si>
  <si>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</si>
  <si>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</si>
  <si>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</si>
  <si>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</si>
  <si>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</si>
  <si>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</si>
  <si>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</si>
  <si>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</si>
  <si>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</si>
  <si>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</si>
  <si>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</si>
  <si>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</si>
  <si>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</si>
  <si>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</si>
  <si>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</si>
  <si>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</si>
  <si>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</si>
  <si>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</si>
  <si>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</si>
  <si>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</si>
  <si>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</si>
  <si>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</si>
  <si>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</si>
  <si>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</si>
  <si>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</si>
  <si>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</si>
  <si>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</si>
  <si>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</si>
  <si>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</si>
  <si>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</si>
  <si>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</si>
  <si>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</si>
  <si>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</si>
  <si>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</si>
  <si>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</si>
  <si>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</si>
  <si>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</si>
  <si>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</si>
  <si>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</si>
  <si>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</si>
  <si>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</si>
  <si>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</si>
  <si>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</si>
  <si>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</si>
  <si>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</si>
  <si>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</si>
  <si>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</si>
  <si>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</si>
  <si>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</si>
  <si>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</si>
  <si>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</si>
  <si>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</si>
  <si>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</si>
  <si>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</si>
  <si>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</si>
  <si>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</si>
  <si>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</si>
  <si>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</si>
  <si>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</si>
  <si>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</si>
  <si>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</si>
  <si>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</si>
  <si>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</si>
  <si>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</si>
  <si>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</si>
  <si>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</si>
  <si>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</si>
  <si>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</si>
  <si>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</si>
  <si>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</si>
  <si>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</si>
  <si>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</si>
  <si>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</si>
  <si>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</si>
  <si>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</si>
  <si>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</si>
  <si>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</si>
  <si>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</si>
  <si>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</si>
  <si>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</si>
  <si>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</si>
  <si>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</si>
  <si>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</si>
  <si>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</si>
  <si>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</si>
  <si>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</si>
  <si>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</si>
  <si>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</si>
  <si>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</si>
  <si>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</si>
  <si>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</si>
  <si>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</si>
  <si>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</si>
  <si>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</si>
  <si>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</si>
  <si>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</si>
  <si>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</si>
  <si>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</si>
  <si>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</si>
  <si>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</si>
  <si>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</si>
  <si>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</si>
  <si>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</si>
  <si>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</si>
  <si>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</si>
  <si>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</si>
  <si>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</si>
  <si>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</si>
  <si>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</si>
  <si>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</si>
  <si>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</si>
  <si>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</si>
  <si>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</si>
  <si>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</si>
  <si>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</si>
  <si>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</si>
  <si>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</si>
  <si>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</si>
  <si>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</si>
  <si>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</si>
  <si>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</si>
  <si>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</si>
  <si>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</si>
  <si>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</si>
  <si>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</si>
  <si>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</si>
  <si>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</si>
  <si>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</si>
  <si>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</si>
  <si>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</si>
  <si>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</si>
  <si>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</si>
  <si>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</si>
  <si>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</si>
  <si>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</si>
  <si>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</si>
  <si>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</si>
  <si>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</si>
  <si>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</si>
  <si>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</si>
  <si>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</si>
  <si>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</si>
  <si>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</si>
  <si>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</si>
  <si>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</si>
  <si>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</si>
  <si>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</si>
  <si>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</si>
  <si>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</si>
  <si>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</si>
  <si>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</si>
  <si>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</si>
  <si>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</si>
  <si>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</si>
  <si>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</si>
  <si>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</si>
  <si>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</si>
  <si>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</si>
  <si>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</si>
  <si>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</si>
  <si>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</si>
  <si>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</si>
  <si>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</si>
  <si>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</si>
  <si>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</si>
  <si>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</si>
  <si>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</si>
  <si>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</si>
  <si>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33021</t>
  </si>
  <si>
    <t>POPERINGE</t>
  </si>
  <si>
    <t>Cultuurgrond (ha)</t>
  </si>
  <si>
    <t>Paarden&amp;pony's 200 - 600 kg</t>
  </si>
  <si>
    <t>Paarden&amp;pony's &lt; 200 kg</t>
  </si>
  <si>
    <t>op basis van VEA (maart 2018) en Inventaris Hernieuwbare Energiebronnen (juni 2018)</t>
  </si>
  <si>
    <t>VEA (juni 2018)</t>
  </si>
  <si>
    <t>Eurofreez NV</t>
  </si>
  <si>
    <t>Molendreef 22 , 8972 Proven</t>
  </si>
  <si>
    <t>WKK-0416 Eurofreez</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</si>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</sst>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193862.77321195303</c:v>
                </c:pt>
                <c:pt idx="1">
                  <c:v>56829.483049834482</c:v>
                </c:pt>
                <c:pt idx="2">
                  <c:v>1513.953</c:v>
                </c:pt>
                <c:pt idx="3">
                  <c:v>45021.693308878101</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193862.77321195303</c:v>
                </c:pt>
                <c:pt idx="1">
                  <c:v>56829.483049834482</c:v>
                </c:pt>
                <c:pt idx="2">
                  <c:v>1513.953</c:v>
                </c:pt>
                <c:pt idx="3">
                  <c:v>45021.693308878101</c:v>
                </c:pt>
                <c:pt idx="4">
                  <c:v>134563.07939705602</c:v>
                </c:pt>
                <c:pt idx="5">
                  <c:v>77901.124974310878</c:v>
                </c:pt>
                <c:pt idx="6">
                  <c:v>697.04391248895797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35353.76506840247</c:v>
                </c:pt>
                <c:pt idx="2">
                  <c:v>11114.737709646533</c:v>
                </c:pt>
                <c:pt idx="3">
                  <c:v>278.59960042470453</c:v>
                </c:pt>
                <c:pt idx="4">
                  <c:v>11313.488789082308</c:v>
                </c:pt>
                <c:pt idx="5">
                  <c:v>25870.614533224012</c:v>
                </c:pt>
                <c:pt idx="6">
                  <c:v>19701.704246288227</c:v>
                </c:pt>
                <c:pt idx="7">
                  <c:v>178.18634216938645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506816"/>
      </c:barChart>
      <c:catAx>
        <c:axId val="181488640"/>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35353.76506840247</c:v>
                </c:pt>
                <c:pt idx="2">
                  <c:v>11114.737709646533</c:v>
                </c:pt>
                <c:pt idx="3">
                  <c:v>278.59960042470453</c:v>
                </c:pt>
                <c:pt idx="4">
                  <c:v>11313.488789082308</c:v>
                </c:pt>
                <c:pt idx="5">
                  <c:v>25870.614533224012</c:v>
                </c:pt>
                <c:pt idx="6">
                  <c:v>19701.704246288227</c:v>
                </c:pt>
                <c:pt idx="7">
                  <c:v>178.18634216938645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33021</v>
      </c>
      <c r="B6" s="398"/>
      <c r="C6" s="399"/>
    </row>
    <row r="7" spans="1:7" s="396" customFormat="1" ht="15.75" customHeight="1">
      <c r="A7" s="400" t="str">
        <f>txtMunicipality</f>
        <v>POPERINGE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0.18402130080967147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0.18402130080967147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8117</v>
      </c>
      <c r="C9" s="338">
        <v>8479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9583</v>
      </c>
    </row>
    <row r="15" spans="1:6">
      <c r="A15" s="1295" t="s">
        <v>184</v>
      </c>
      <c r="B15" s="335">
        <v>117</v>
      </c>
    </row>
    <row r="16" spans="1:6">
      <c r="A16" s="1295" t="s">
        <v>6</v>
      </c>
      <c r="B16" s="335">
        <v>2910</v>
      </c>
    </row>
    <row r="17" spans="1:6">
      <c r="A17" s="1295" t="s">
        <v>7</v>
      </c>
      <c r="B17" s="335">
        <v>2375</v>
      </c>
    </row>
    <row r="18" spans="1:6">
      <c r="A18" s="1295" t="s">
        <v>8</v>
      </c>
      <c r="B18" s="335">
        <v>3272</v>
      </c>
    </row>
    <row r="19" spans="1:6">
      <c r="A19" s="1295" t="s">
        <v>9</v>
      </c>
      <c r="B19" s="335">
        <v>2993</v>
      </c>
    </row>
    <row r="20" spans="1:6">
      <c r="A20" s="1295" t="s">
        <v>10</v>
      </c>
      <c r="B20" s="335">
        <v>2091</v>
      </c>
    </row>
    <row r="21" spans="1:6">
      <c r="A21" s="1295" t="s">
        <v>11</v>
      </c>
      <c r="B21" s="335">
        <v>50366</v>
      </c>
    </row>
    <row r="22" spans="1:6">
      <c r="A22" s="1295" t="s">
        <v>12</v>
      </c>
      <c r="B22" s="335">
        <v>91880</v>
      </c>
    </row>
    <row r="23" spans="1:6">
      <c r="A23" s="1295" t="s">
        <v>13</v>
      </c>
      <c r="B23" s="335">
        <v>1749</v>
      </c>
    </row>
    <row r="24" spans="1:6">
      <c r="A24" s="1295" t="s">
        <v>14</v>
      </c>
      <c r="B24" s="335">
        <v>640</v>
      </c>
    </row>
    <row r="25" spans="1:6">
      <c r="A25" s="1295" t="s">
        <v>15</v>
      </c>
      <c r="B25" s="335">
        <v>11849</v>
      </c>
    </row>
    <row r="26" spans="1:6">
      <c r="A26" s="1295" t="s">
        <v>16</v>
      </c>
      <c r="B26" s="335">
        <v>617</v>
      </c>
    </row>
    <row r="27" spans="1:6">
      <c r="A27" s="1295" t="s">
        <v>17</v>
      </c>
      <c r="B27" s="335">
        <v>23</v>
      </c>
    </row>
    <row r="28" spans="1:6" s="341" customFormat="1">
      <c r="A28" s="1296" t="s">
        <v>18</v>
      </c>
      <c r="B28" s="1296">
        <v>417274</v>
      </c>
    </row>
    <row r="29" spans="1:6">
      <c r="A29" s="1296" t="s">
        <v>906</v>
      </c>
      <c r="B29" s="1296">
        <v>177</v>
      </c>
      <c r="C29" s="341"/>
      <c r="D29" s="341"/>
      <c r="E29" s="341"/>
      <c r="F29" s="341"/>
    </row>
    <row r="30" spans="1:6">
      <c r="A30" s="1291" t="s">
        <v>907</v>
      </c>
      <c r="B30" s="1291">
        <v>73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7667.6254449600001</v>
      </c>
    </row>
    <row r="37" spans="1:6">
      <c r="A37" s="1295" t="s">
        <v>25</v>
      </c>
      <c r="B37" s="1295" t="s">
        <v>28</v>
      </c>
      <c r="C37" s="335">
        <v>0</v>
      </c>
      <c r="D37" s="335">
        <v>0</v>
      </c>
      <c r="E37" s="335">
        <v>0</v>
      </c>
      <c r="F37" s="335">
        <v>0</v>
      </c>
    </row>
    <row r="38" spans="1:6">
      <c r="A38" s="1295" t="s">
        <v>25</v>
      </c>
      <c r="B38" s="1295" t="s">
        <v>29</v>
      </c>
      <c r="C38" s="335">
        <v>2</v>
      </c>
      <c r="D38" s="335">
        <v>149464.58167243001</v>
      </c>
      <c r="E38" s="335">
        <v>5</v>
      </c>
      <c r="F38" s="335">
        <v>13388.216909897999</v>
      </c>
    </row>
    <row r="39" spans="1:6">
      <c r="A39" s="1295" t="s">
        <v>30</v>
      </c>
      <c r="B39" s="1295" t="s">
        <v>31</v>
      </c>
      <c r="C39" s="335">
        <v>5136</v>
      </c>
      <c r="D39" s="335">
        <v>86203855.0905184</v>
      </c>
      <c r="E39" s="335">
        <v>7743</v>
      </c>
      <c r="F39" s="335">
        <v>27743863.6616829</v>
      </c>
    </row>
    <row r="40" spans="1:6">
      <c r="A40" s="1295" t="s">
        <v>30</v>
      </c>
      <c r="B40" s="1295" t="s">
        <v>29</v>
      </c>
      <c r="C40" s="335">
        <v>0</v>
      </c>
      <c r="D40" s="335">
        <v>0</v>
      </c>
      <c r="E40" s="335">
        <v>0</v>
      </c>
      <c r="F40" s="335">
        <v>0</v>
      </c>
    </row>
    <row r="41" spans="1:6">
      <c r="A41" s="1295" t="s">
        <v>32</v>
      </c>
      <c r="B41" s="1295" t="s">
        <v>33</v>
      </c>
      <c r="C41" s="335">
        <v>86</v>
      </c>
      <c r="D41" s="335">
        <v>5881387.7818368096</v>
      </c>
      <c r="E41" s="335">
        <v>252</v>
      </c>
      <c r="F41" s="335">
        <v>7387940.2693521101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93537.542222997406</v>
      </c>
      <c r="E44" s="335">
        <v>20</v>
      </c>
      <c r="F44" s="335">
        <v>1162520.6849076799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54353.806911663698</v>
      </c>
      <c r="E47" s="335">
        <v>7</v>
      </c>
      <c r="F47" s="335">
        <v>120163.40448268301</v>
      </c>
    </row>
    <row r="48" spans="1:6">
      <c r="A48" s="1295" t="s">
        <v>32</v>
      </c>
      <c r="B48" s="1295" t="s">
        <v>29</v>
      </c>
      <c r="C48" s="335">
        <v>45</v>
      </c>
      <c r="D48" s="335">
        <v>65642344.712525398</v>
      </c>
      <c r="E48" s="335">
        <v>71</v>
      </c>
      <c r="F48" s="335">
        <v>32620476.6367925</v>
      </c>
    </row>
    <row r="49" spans="1:6">
      <c r="A49" s="1295" t="s">
        <v>32</v>
      </c>
      <c r="B49" s="1295" t="s">
        <v>40</v>
      </c>
      <c r="C49" s="335">
        <v>0</v>
      </c>
      <c r="D49" s="335">
        <v>0</v>
      </c>
      <c r="E49" s="335">
        <v>0</v>
      </c>
      <c r="F49" s="335">
        <v>0</v>
      </c>
    </row>
    <row r="50" spans="1:6">
      <c r="A50" s="1295" t="s">
        <v>32</v>
      </c>
      <c r="B50" s="1295" t="s">
        <v>41</v>
      </c>
      <c r="C50" s="335">
        <v>11</v>
      </c>
      <c r="D50" s="335">
        <v>851170.16998157895</v>
      </c>
      <c r="E50" s="335">
        <v>25</v>
      </c>
      <c r="F50" s="335">
        <v>837881.49400731095</v>
      </c>
    </row>
    <row r="51" spans="1:6">
      <c r="A51" s="1295" t="s">
        <v>42</v>
      </c>
      <c r="B51" s="1295" t="s">
        <v>43</v>
      </c>
      <c r="C51" s="335">
        <v>13</v>
      </c>
      <c r="D51" s="335">
        <v>312858.38012682501</v>
      </c>
      <c r="E51" s="335">
        <v>314</v>
      </c>
      <c r="F51" s="335">
        <v>8961605.8058641199</v>
      </c>
    </row>
    <row r="52" spans="1:6">
      <c r="A52" s="1295" t="s">
        <v>42</v>
      </c>
      <c r="B52" s="1295" t="s">
        <v>29</v>
      </c>
      <c r="C52" s="335">
        <v>5</v>
      </c>
      <c r="D52" s="335">
        <v>138795.56507269599</v>
      </c>
      <c r="E52" s="335">
        <v>25</v>
      </c>
      <c r="F52" s="335">
        <v>709319.01862879097</v>
      </c>
    </row>
    <row r="53" spans="1:6">
      <c r="A53" s="1295" t="s">
        <v>44</v>
      </c>
      <c r="B53" s="1295" t="s">
        <v>45</v>
      </c>
      <c r="C53" s="335">
        <v>141</v>
      </c>
      <c r="D53" s="335">
        <v>3208623.2241185899</v>
      </c>
      <c r="E53" s="335">
        <v>277</v>
      </c>
      <c r="F53" s="335">
        <v>1142387.4512513401</v>
      </c>
    </row>
    <row r="54" spans="1:6">
      <c r="A54" s="1295" t="s">
        <v>46</v>
      </c>
      <c r="B54" s="1295" t="s">
        <v>47</v>
      </c>
      <c r="C54" s="335">
        <v>0</v>
      </c>
      <c r="D54" s="335">
        <v>0</v>
      </c>
      <c r="E54" s="335">
        <v>2</v>
      </c>
      <c r="F54" s="335">
        <v>1513953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32</v>
      </c>
      <c r="D57" s="335">
        <v>1433414.5614878701</v>
      </c>
      <c r="E57" s="335">
        <v>76</v>
      </c>
      <c r="F57" s="335">
        <v>1417055.5138159599</v>
      </c>
    </row>
    <row r="58" spans="1:6">
      <c r="A58" s="1295" t="s">
        <v>49</v>
      </c>
      <c r="B58" s="1295" t="s">
        <v>51</v>
      </c>
      <c r="C58" s="335">
        <v>25</v>
      </c>
      <c r="D58" s="335">
        <v>2569363.60873602</v>
      </c>
      <c r="E58" s="335">
        <v>39</v>
      </c>
      <c r="F58" s="335">
        <v>1362647.80901876</v>
      </c>
    </row>
    <row r="59" spans="1:6">
      <c r="A59" s="1295" t="s">
        <v>49</v>
      </c>
      <c r="B59" s="1295" t="s">
        <v>52</v>
      </c>
      <c r="C59" s="335">
        <v>131</v>
      </c>
      <c r="D59" s="335">
        <v>5093117.5483121797</v>
      </c>
      <c r="E59" s="335">
        <v>274</v>
      </c>
      <c r="F59" s="335">
        <v>5874520.9169456903</v>
      </c>
    </row>
    <row r="60" spans="1:6">
      <c r="A60" s="1295" t="s">
        <v>49</v>
      </c>
      <c r="B60" s="1295" t="s">
        <v>53</v>
      </c>
      <c r="C60" s="335">
        <v>88</v>
      </c>
      <c r="D60" s="335">
        <v>6124598.7339753201</v>
      </c>
      <c r="E60" s="335">
        <v>119</v>
      </c>
      <c r="F60" s="335">
        <v>3554122.0189334601</v>
      </c>
    </row>
    <row r="61" spans="1:6">
      <c r="A61" s="1295" t="s">
        <v>49</v>
      </c>
      <c r="B61" s="1295" t="s">
        <v>54</v>
      </c>
      <c r="C61" s="335">
        <v>103</v>
      </c>
      <c r="D61" s="335">
        <v>6605478.5422823802</v>
      </c>
      <c r="E61" s="335">
        <v>244</v>
      </c>
      <c r="F61" s="335">
        <v>4130692.5494561899</v>
      </c>
    </row>
    <row r="62" spans="1:6">
      <c r="A62" s="1295" t="s">
        <v>49</v>
      </c>
      <c r="B62" s="1295" t="s">
        <v>55</v>
      </c>
      <c r="C62" s="335">
        <v>6</v>
      </c>
      <c r="D62" s="335">
        <v>549512.78699680802</v>
      </c>
      <c r="E62" s="335">
        <v>12</v>
      </c>
      <c r="F62" s="335">
        <v>305214.91490240698</v>
      </c>
    </row>
    <row r="63" spans="1:6">
      <c r="A63" s="1295" t="s">
        <v>49</v>
      </c>
      <c r="B63" s="1295" t="s">
        <v>29</v>
      </c>
      <c r="C63" s="335">
        <v>131</v>
      </c>
      <c r="D63" s="335">
        <v>11490559.278608801</v>
      </c>
      <c r="E63" s="335">
        <v>179</v>
      </c>
      <c r="F63" s="335">
        <v>3739008.2939676298</v>
      </c>
    </row>
    <row r="64" spans="1:6">
      <c r="A64" s="1295" t="s">
        <v>56</v>
      </c>
      <c r="B64" s="1295" t="s">
        <v>57</v>
      </c>
      <c r="C64" s="335">
        <v>0</v>
      </c>
      <c r="D64" s="335">
        <v>0</v>
      </c>
      <c r="E64" s="335">
        <v>0</v>
      </c>
      <c r="F64" s="335">
        <v>0</v>
      </c>
    </row>
    <row r="65" spans="1:6">
      <c r="A65" s="1295" t="s">
        <v>56</v>
      </c>
      <c r="B65" s="1295" t="s">
        <v>29</v>
      </c>
      <c r="C65" s="335">
        <v>3</v>
      </c>
      <c r="D65" s="335">
        <v>129907.894810197</v>
      </c>
      <c r="E65" s="335">
        <v>4</v>
      </c>
      <c r="F65" s="335">
        <v>50231.904882037197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299395.73359549098</v>
      </c>
      <c r="E68" s="335">
        <v>19</v>
      </c>
      <c r="F68" s="335">
        <v>252981.333547079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54075813</v>
      </c>
      <c r="E73" s="335">
        <v>56093958.905515887</v>
      </c>
    </row>
    <row r="74" spans="1:6">
      <c r="A74" s="1295" t="s">
        <v>64</v>
      </c>
      <c r="B74" s="1295" t="s">
        <v>727</v>
      </c>
      <c r="C74" s="1295" t="s">
        <v>728</v>
      </c>
      <c r="D74" s="335">
        <v>8345000.6552429916</v>
      </c>
      <c r="E74" s="335">
        <v>8815966.3593399655</v>
      </c>
    </row>
    <row r="75" spans="1:6">
      <c r="A75" s="1295" t="s">
        <v>65</v>
      </c>
      <c r="B75" s="1295" t="s">
        <v>725</v>
      </c>
      <c r="C75" s="1295" t="s">
        <v>729</v>
      </c>
      <c r="D75" s="335">
        <v>21428003</v>
      </c>
      <c r="E75" s="335">
        <v>22264036.876817748</v>
      </c>
    </row>
    <row r="76" spans="1:6">
      <c r="A76" s="1295" t="s">
        <v>65</v>
      </c>
      <c r="B76" s="1295" t="s">
        <v>727</v>
      </c>
      <c r="C76" s="1295" t="s">
        <v>730</v>
      </c>
      <c r="D76" s="335">
        <v>1109337.6552429914</v>
      </c>
      <c r="E76" s="335">
        <v>1175146.8366069696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184150.68951401734</v>
      </c>
      <c r="C83" s="335">
        <v>185249.3350391041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7544.6336670000001</v>
      </c>
    </row>
    <row r="91" spans="1:6">
      <c r="A91" s="1295" t="s">
        <v>68</v>
      </c>
      <c r="B91" s="335">
        <v>4515.9650000000001</v>
      </c>
    </row>
    <row r="92" spans="1:6">
      <c r="A92" s="1291" t="s">
        <v>69</v>
      </c>
      <c r="B92" s="338">
        <v>4923.6670000000004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3399</v>
      </c>
    </row>
    <row r="98" spans="1:6">
      <c r="A98" s="1295" t="s">
        <v>72</v>
      </c>
      <c r="B98" s="335">
        <v>0</v>
      </c>
    </row>
    <row r="99" spans="1:6">
      <c r="A99" s="1295" t="s">
        <v>73</v>
      </c>
      <c r="B99" s="335">
        <v>252</v>
      </c>
    </row>
    <row r="100" spans="1:6">
      <c r="A100" s="1295" t="s">
        <v>74</v>
      </c>
      <c r="B100" s="335">
        <v>404</v>
      </c>
    </row>
    <row r="101" spans="1:6">
      <c r="A101" s="1295" t="s">
        <v>75</v>
      </c>
      <c r="B101" s="335">
        <v>235</v>
      </c>
    </row>
    <row r="102" spans="1:6">
      <c r="A102" s="1295" t="s">
        <v>76</v>
      </c>
      <c r="B102" s="335">
        <v>124</v>
      </c>
    </row>
    <row r="103" spans="1:6">
      <c r="A103" s="1295" t="s">
        <v>77</v>
      </c>
      <c r="B103" s="335">
        <v>575</v>
      </c>
    </row>
    <row r="104" spans="1:6">
      <c r="A104" s="1295" t="s">
        <v>78</v>
      </c>
      <c r="B104" s="335">
        <v>2396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11</v>
      </c>
    </row>
    <row r="124" spans="1:6">
      <c r="A124" s="1291" t="s">
        <v>89</v>
      </c>
      <c r="B124" s="335">
        <v>2</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198</v>
      </c>
    </row>
    <row r="130" spans="1:6">
      <c r="A130" s="1295" t="s">
        <v>295</v>
      </c>
      <c r="B130" s="335">
        <v>1</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108228.46125030071</v>
      </c>
      <c r="C3" s="43" t="s">
        <v>170</v>
      </c>
      <c r="D3" s="43"/>
      <c r="E3" s="156"/>
      <c r="F3" s="43"/>
      <c r="G3" s="43"/>
      <c r="H3" s="43"/>
      <c r="I3" s="43"/>
      <c r="J3" s="43"/>
      <c r="K3" s="96"/>
    </row>
    <row r="4" spans="1:11">
      <c r="A4" s="366" t="s">
        <v>171</v>
      </c>
      <c r="B4" s="49">
        <f>IF(ISERROR('SEAP template'!B78),0,'SEAP template'!B78)</f>
        <v>18109.265667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0.18402130080967147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1607.1428571428571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1513.953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1513.953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0.18402130080967147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278.59960042470453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27743.863661682899</v>
      </c>
      <c r="C5" s="17">
        <f>IF(ISERROR('Eigen informatie GS &amp; warmtenet'!B57),0,'Eigen informatie GS &amp; warmtenet'!B57)</f>
        <v>0</v>
      </c>
      <c r="D5" s="30">
        <f>(SUM(HH_hh_gas_kWh,HH_rest_gas_kWh)/1000)*0.902</f>
        <v>77755.877291647601</v>
      </c>
      <c r="E5" s="17">
        <f>B46*B57</f>
        <v>10172.166865833662</v>
      </c>
      <c r="F5" s="17">
        <f>B51*B62</f>
        <v>21056.384403300937</v>
      </c>
      <c r="G5" s="18"/>
      <c r="H5" s="17"/>
      <c r="I5" s="17"/>
      <c r="J5" s="17">
        <f>B50*B61+C50*C61</f>
        <v>16326.117816508617</v>
      </c>
      <c r="K5" s="17"/>
      <c r="L5" s="17"/>
      <c r="M5" s="17"/>
      <c r="N5" s="17">
        <f>B48*B59+C48*C59</f>
        <v>35562.134839646002</v>
      </c>
      <c r="O5" s="17">
        <f>B69*B70*B71</f>
        <v>329.86333333333334</v>
      </c>
      <c r="P5" s="17">
        <f>B77*B78*B79/1000-B77*B78*B79/1000/B80</f>
        <v>400.4</v>
      </c>
    </row>
    <row r="6" spans="1:16">
      <c r="A6" s="16" t="s">
        <v>634</v>
      </c>
      <c r="B6" s="783">
        <f>kWh_PV_kleiner_dan_10kW</f>
        <v>4515.9650000000001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32259.828661682899</v>
      </c>
      <c r="C8" s="21">
        <f>C5</f>
        <v>0</v>
      </c>
      <c r="D8" s="21">
        <f>D5</f>
        <v>77755.877291647601</v>
      </c>
      <c r="E8" s="21">
        <f>E5</f>
        <v>10172.166865833662</v>
      </c>
      <c r="F8" s="21">
        <f>F5</f>
        <v>21056.384403300937</v>
      </c>
      <c r="G8" s="21"/>
      <c r="H8" s="21"/>
      <c r="I8" s="21"/>
      <c r="J8" s="21">
        <f>J5</f>
        <v>16326.117816508617</v>
      </c>
      <c r="K8" s="21"/>
      <c r="L8" s="21">
        <f>L5</f>
        <v>0</v>
      </c>
      <c r="M8" s="21">
        <f>M5</f>
        <v>0</v>
      </c>
      <c r="N8" s="21">
        <f>N5</f>
        <v>35562.134839646002</v>
      </c>
      <c r="O8" s="21">
        <f>O5</f>
        <v>329.86333333333334</v>
      </c>
      <c r="P8" s="21">
        <f>P5</f>
        <v>400.4</v>
      </c>
    </row>
    <row r="9" spans="1:16">
      <c r="B9" s="19"/>
      <c r="C9" s="19"/>
      <c r="D9" s="261"/>
      <c r="E9" s="19"/>
      <c r="F9" s="19"/>
      <c r="G9" s="19"/>
      <c r="H9" s="19"/>
      <c r="I9" s="19"/>
      <c r="J9" s="19"/>
      <c r="K9" s="19"/>
      <c r="L9" s="19"/>
      <c r="M9" s="19"/>
      <c r="N9" s="19"/>
      <c r="O9" s="19"/>
      <c r="P9" s="19"/>
    </row>
    <row r="10" spans="1:16">
      <c r="A10" s="24" t="s">
        <v>214</v>
      </c>
      <c r="B10" s="25">
        <f ca="1">'EF ele_warmte'!B12</f>
        <v>0.18402130080967147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5936.4956342200103</v>
      </c>
      <c r="C12" s="23">
        <f ca="1">C10*C8</f>
        <v>0</v>
      </c>
      <c r="D12" s="23">
        <f>D8*D10</f>
        <v>15706.687212912817</v>
      </c>
      <c r="E12" s="23">
        <f>E10*E8</f>
        <v>2309.0818785442416</v>
      </c>
      <c r="F12" s="23">
        <f>F10*F8</f>
        <v>5622.0546356813502</v>
      </c>
      <c r="G12" s="23"/>
      <c r="H12" s="23"/>
      <c r="I12" s="23"/>
      <c r="J12" s="23">
        <f>J10*J8</f>
        <v>5779.4457070440503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3399</v>
      </c>
      <c r="C18" s="168" t="s">
        <v>111</v>
      </c>
      <c r="D18" s="230"/>
      <c r="E18" s="15"/>
    </row>
    <row r="19" spans="1:7">
      <c r="A19" s="173" t="s">
        <v>72</v>
      </c>
      <c r="B19" s="37">
        <f>aantalw2001_ander</f>
        <v>0</v>
      </c>
      <c r="C19" s="168" t="s">
        <v>111</v>
      </c>
      <c r="D19" s="231"/>
      <c r="E19" s="15"/>
    </row>
    <row r="20" spans="1:7">
      <c r="A20" s="173" t="s">
        <v>73</v>
      </c>
      <c r="B20" s="37">
        <f>aantalw2001_propaan</f>
        <v>252</v>
      </c>
      <c r="C20" s="169">
        <f>IF(ISERROR(B20/SUM($B$20,$B$21,$B$22)*100),0,B20/SUM($B$20,$B$21,$B$22)*100)</f>
        <v>28.28282828282828</v>
      </c>
      <c r="D20" s="231"/>
      <c r="E20" s="15"/>
    </row>
    <row r="21" spans="1:7">
      <c r="A21" s="173" t="s">
        <v>74</v>
      </c>
      <c r="B21" s="37">
        <f>aantalw2001_elektriciteit</f>
        <v>404</v>
      </c>
      <c r="C21" s="169">
        <f>IF(ISERROR(B21/SUM($B$20,$B$21,$B$22)*100),0,B21/SUM($B$20,$B$21,$B$22)*100)</f>
        <v>45.342312008978674</v>
      </c>
      <c r="D21" s="231"/>
      <c r="E21" s="15"/>
    </row>
    <row r="22" spans="1:7">
      <c r="A22" s="173" t="s">
        <v>75</v>
      </c>
      <c r="B22" s="37">
        <f>aantalw2001_hout</f>
        <v>235</v>
      </c>
      <c r="C22" s="169">
        <f>IF(ISERROR(B22/SUM($B$20,$B$21,$B$22)*100),0,B22/SUM($B$20,$B$21,$B$22)*100)</f>
        <v>26.374859708193043</v>
      </c>
      <c r="D22" s="231"/>
      <c r="E22" s="15"/>
    </row>
    <row r="23" spans="1:7">
      <c r="A23" s="173" t="s">
        <v>76</v>
      </c>
      <c r="B23" s="37">
        <f>aantalw2001_niet_gespec</f>
        <v>124</v>
      </c>
      <c r="C23" s="168" t="s">
        <v>111</v>
      </c>
      <c r="D23" s="230"/>
      <c r="E23" s="15"/>
    </row>
    <row r="24" spans="1:7">
      <c r="A24" s="173" t="s">
        <v>77</v>
      </c>
      <c r="B24" s="37">
        <f>aantalw2001_steenkool</f>
        <v>575</v>
      </c>
      <c r="C24" s="168" t="s">
        <v>111</v>
      </c>
      <c r="D24" s="231"/>
      <c r="E24" s="15"/>
    </row>
    <row r="25" spans="1:7">
      <c r="A25" s="173" t="s">
        <v>78</v>
      </c>
      <c r="B25" s="37">
        <f>aantalw2001_stookolie</f>
        <v>2396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8117</v>
      </c>
      <c r="C28" s="36"/>
      <c r="D28" s="230"/>
    </row>
    <row r="29" spans="1:7" s="15" customFormat="1">
      <c r="A29" s="232" t="s">
        <v>746</v>
      </c>
      <c r="B29" s="37">
        <f>SUM(HH_hh_gas_aantal,HH_rest_gas_aantal)</f>
        <v>5136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5136</v>
      </c>
      <c r="C32" s="169">
        <f>IF(ISERROR(B32/SUM($B$32,$B$34,$B$35,$B$36,$B$38,$B$39)*100),0,B32/SUM($B$32,$B$34,$B$35,$B$36,$B$38,$B$39)*100)</f>
        <v>63.43873517786561</v>
      </c>
      <c r="D32" s="235"/>
      <c r="G32" s="15"/>
    </row>
    <row r="33" spans="1:7">
      <c r="A33" s="173" t="s">
        <v>72</v>
      </c>
      <c r="B33" s="34" t="s">
        <v>111</v>
      </c>
      <c r="C33" s="169"/>
      <c r="D33" s="235"/>
      <c r="G33" s="15"/>
    </row>
    <row r="34" spans="1:7">
      <c r="A34" s="173" t="s">
        <v>73</v>
      </c>
      <c r="B34" s="33">
        <f>IF((($B$28-$B$32-$B$39-$B$77-$B$38)*C20/100)&lt;0,0,($B$28-$B$32-$B$39-$B$77-$B$38)*C20/100)</f>
        <v>488.16161616161617</v>
      </c>
      <c r="C34" s="169">
        <f>IF(ISERROR(B34/SUM($B$32,$B$34,$B$35,$B$36,$B$38,$B$39)*100),0,B34/SUM($B$32,$B$34,$B$35,$B$36,$B$38,$B$39)*100)</f>
        <v>6.0296642312452589</v>
      </c>
      <c r="D34" s="235"/>
      <c r="G34" s="15"/>
    </row>
    <row r="35" spans="1:7">
      <c r="A35" s="173" t="s">
        <v>74</v>
      </c>
      <c r="B35" s="33">
        <f>IF((($B$28-$B$32-$B$39-$B$77-$B$38)*C21/100)&lt;0,0,($B$28-$B$32-$B$39-$B$77-$B$38)*C21/100)</f>
        <v>782.60830527497205</v>
      </c>
      <c r="C35" s="169">
        <f>IF(ISERROR(B35/SUM($B$32,$B$34,$B$35,$B$36,$B$38,$B$39)*100),0,B35/SUM($B$32,$B$34,$B$35,$B$36,$B$38,$B$39)*100)</f>
        <v>9.6666045612027176</v>
      </c>
      <c r="D35" s="235"/>
      <c r="G35" s="15"/>
    </row>
    <row r="36" spans="1:7">
      <c r="A36" s="173" t="s">
        <v>75</v>
      </c>
      <c r="B36" s="33">
        <f>IF((($B$28-$B$32-$B$39-$B$77-$B$38)*C22/100)&lt;0,0,($B$28-$B$32-$B$39-$B$77-$B$38)*C22/100)</f>
        <v>455.23007856341195</v>
      </c>
      <c r="C36" s="169">
        <f>IF(ISERROR(B36/SUM($B$32,$B$34,$B$35,$B$36,$B$38,$B$39)*100),0,B36/SUM($B$32,$B$34,$B$35,$B$36,$B$38,$B$39)*100)</f>
        <v>5.622901168026333</v>
      </c>
      <c r="D36" s="235"/>
      <c r="G36" s="15"/>
    </row>
    <row r="37" spans="1:7">
      <c r="A37" s="173" t="s">
        <v>76</v>
      </c>
      <c r="B37" s="34" t="s">
        <v>111</v>
      </c>
      <c r="C37" s="169"/>
      <c r="D37" s="175"/>
      <c r="G37" s="15"/>
    </row>
    <row r="38" spans="1:7">
      <c r="A38" s="173" t="s">
        <v>77</v>
      </c>
      <c r="B38" s="33">
        <f>IF((B24-(B29-B18)*0.1)&lt;0,0,B24-(B29-B18)*0.1)</f>
        <v>401.29999999999995</v>
      </c>
      <c r="C38" s="169">
        <f>IF(ISERROR(B38/SUM($B$32,$B$34,$B$35,$B$36,$B$38,$B$39)*100),0,B38/SUM($B$32,$B$34,$B$35,$B$36,$B$38,$B$39)*100)</f>
        <v>4.9567687747035567</v>
      </c>
      <c r="D38" s="236"/>
      <c r="G38" s="15"/>
    </row>
    <row r="39" spans="1:7">
      <c r="A39" s="173" t="s">
        <v>78</v>
      </c>
      <c r="B39" s="33">
        <f>IF((B25-(B29-B18))&lt;0,0,B25-(B29-B18)*0.9)</f>
        <v>832.7</v>
      </c>
      <c r="C39" s="169">
        <f>IF(ISERROR(B39/SUM($B$32,$B$34,$B$35,$B$36,$B$38,$B$39)*100),0,B39/SUM($B$32,$B$34,$B$35,$B$36,$B$38,$B$39)*100)</f>
        <v>10.285326086956523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5136</v>
      </c>
      <c r="C44" s="34" t="s">
        <v>111</v>
      </c>
      <c r="D44" s="176"/>
    </row>
    <row r="45" spans="1:7">
      <c r="A45" s="173" t="s">
        <v>72</v>
      </c>
      <c r="B45" s="33" t="str">
        <f t="shared" si="0"/>
        <v>-</v>
      </c>
      <c r="C45" s="34" t="s">
        <v>111</v>
      </c>
      <c r="D45" s="176"/>
    </row>
    <row r="46" spans="1:7">
      <c r="A46" s="173" t="s">
        <v>73</v>
      </c>
      <c r="B46" s="33">
        <f t="shared" si="0"/>
        <v>488.16161616161617</v>
      </c>
      <c r="C46" s="34" t="s">
        <v>111</v>
      </c>
      <c r="D46" s="176"/>
    </row>
    <row r="47" spans="1:7">
      <c r="A47" s="173" t="s">
        <v>74</v>
      </c>
      <c r="B47" s="33">
        <f t="shared" si="0"/>
        <v>782.60830527497205</v>
      </c>
      <c r="C47" s="34" t="s">
        <v>111</v>
      </c>
      <c r="D47" s="176"/>
    </row>
    <row r="48" spans="1:7">
      <c r="A48" s="173" t="s">
        <v>75</v>
      </c>
      <c r="B48" s="33">
        <f t="shared" si="0"/>
        <v>455.23007856341195</v>
      </c>
      <c r="C48" s="33">
        <f>B48*10</f>
        <v>4552.3007856341192</v>
      </c>
      <c r="D48" s="236"/>
    </row>
    <row r="49" spans="1:6">
      <c r="A49" s="173" t="s">
        <v>76</v>
      </c>
      <c r="B49" s="33" t="str">
        <f t="shared" si="0"/>
        <v>-</v>
      </c>
      <c r="C49" s="34" t="s">
        <v>111</v>
      </c>
      <c r="D49" s="236"/>
    </row>
    <row r="50" spans="1:6">
      <c r="A50" s="173" t="s">
        <v>77</v>
      </c>
      <c r="B50" s="33">
        <f t="shared" si="0"/>
        <v>401.29999999999995</v>
      </c>
      <c r="C50" s="33">
        <f>B50*2</f>
        <v>802.59999999999991</v>
      </c>
      <c r="D50" s="236"/>
    </row>
    <row r="51" spans="1:6">
      <c r="A51" s="173" t="s">
        <v>78</v>
      </c>
      <c r="B51" s="33">
        <f t="shared" si="0"/>
        <v>832.7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20383.262017040095</v>
      </c>
      <c r="C5" s="17">
        <f>IF(ISERROR('Eigen informatie GS &amp; warmtenet'!B58),0,'Eigen informatie GS &amp; warmtenet'!B58)</f>
        <v>0</v>
      </c>
      <c r="D5" s="30">
        <f>SUM(D6:D12)</f>
        <v>30547.172644480237</v>
      </c>
      <c r="E5" s="17">
        <f>SUM(E6:E12)</f>
        <v>354.53295784572146</v>
      </c>
      <c r="F5" s="17">
        <f>SUM(F6:F12)</f>
        <v>4167.698362960522</v>
      </c>
      <c r="G5" s="18"/>
      <c r="H5" s="17"/>
      <c r="I5" s="17"/>
      <c r="J5" s="17">
        <f>SUM(J6:J12)</f>
        <v>0</v>
      </c>
      <c r="K5" s="17"/>
      <c r="L5" s="17"/>
      <c r="M5" s="17"/>
      <c r="N5" s="17">
        <f>SUM(N6:N12)</f>
        <v>1318.053734174573</v>
      </c>
      <c r="O5" s="17">
        <f>B38*B39*B40</f>
        <v>1.5633333333333335</v>
      </c>
      <c r="P5" s="17">
        <f>B46*B47*B48/1000-B46*B47*B48/1000/B49</f>
        <v>57.2</v>
      </c>
      <c r="R5" s="32"/>
    </row>
    <row r="6" spans="1:18">
      <c r="A6" s="32" t="s">
        <v>54</v>
      </c>
      <c r="B6" s="37">
        <f>B26</f>
        <v>4130.6925494561901</v>
      </c>
      <c r="C6" s="33"/>
      <c r="D6" s="37">
        <f>IF(ISERROR(TER_kantoor_gas_kWh/1000),0,TER_kantoor_gas_kWh/1000)*0.902</f>
        <v>5958.1416451387067</v>
      </c>
      <c r="E6" s="33">
        <f>$C$26*'E Balans VL '!I12/100/3.6*1000000</f>
        <v>16.048615073203703</v>
      </c>
      <c r="F6" s="33">
        <f>$C$26*('E Balans VL '!L12+'E Balans VL '!N12)/100/3.6*1000000</f>
        <v>628.24075046672658</v>
      </c>
      <c r="G6" s="34"/>
      <c r="H6" s="33"/>
      <c r="I6" s="33"/>
      <c r="J6" s="33">
        <f>$C$26*('E Balans VL '!D12+'E Balans VL '!E12)/100/3.6*1000000</f>
        <v>0</v>
      </c>
      <c r="K6" s="33"/>
      <c r="L6" s="33"/>
      <c r="M6" s="33"/>
      <c r="N6" s="33">
        <f>$C$26*'E Balans VL '!Y12/100/3.6*1000000</f>
        <v>2.2765064395312713</v>
      </c>
      <c r="O6" s="33"/>
      <c r="P6" s="33"/>
      <c r="R6" s="32"/>
    </row>
    <row r="7" spans="1:18">
      <c r="A7" s="32" t="s">
        <v>53</v>
      </c>
      <c r="B7" s="37">
        <f t="shared" ref="B7:B12" si="0">B27</f>
        <v>3554.1220189334599</v>
      </c>
      <c r="C7" s="33"/>
      <c r="D7" s="37">
        <f>IF(ISERROR(TER_horeca_gas_kWh/1000),0,TER_horeca_gas_kWh/1000)*0.902</f>
        <v>5524.3880580457389</v>
      </c>
      <c r="E7" s="33">
        <f>$C$27*'E Balans VL '!I9/100/3.6*1000000</f>
        <v>200.20464354131568</v>
      </c>
      <c r="F7" s="33">
        <f>$C$27*('E Balans VL '!L9+'E Balans VL '!N9)/100/3.6*1000000</f>
        <v>1024.7960093188458</v>
      </c>
      <c r="G7" s="34"/>
      <c r="H7" s="33"/>
      <c r="I7" s="33"/>
      <c r="J7" s="33">
        <f>$C$27*('E Balans VL '!D9+'E Balans VL '!E9)/100/3.6*1000000</f>
        <v>0</v>
      </c>
      <c r="K7" s="33"/>
      <c r="L7" s="33"/>
      <c r="M7" s="33"/>
      <c r="N7" s="33">
        <f>$C$27*'E Balans VL '!Y9/100/3.6*1000000</f>
        <v>0.98127462047183045</v>
      </c>
      <c r="O7" s="33"/>
      <c r="P7" s="33"/>
      <c r="R7" s="32"/>
    </row>
    <row r="8" spans="1:18">
      <c r="A8" s="6" t="s">
        <v>52</v>
      </c>
      <c r="B8" s="37">
        <f t="shared" si="0"/>
        <v>5874.5209169456903</v>
      </c>
      <c r="C8" s="33"/>
      <c r="D8" s="37">
        <f>IF(ISERROR(TER_handel_gas_kWh/1000),0,TER_handel_gas_kWh/1000)*0.902</f>
        <v>4593.9920285775861</v>
      </c>
      <c r="E8" s="33">
        <f>$C$28*'E Balans VL '!I13/100/3.6*1000000</f>
        <v>84.67177668008182</v>
      </c>
      <c r="F8" s="33">
        <f>$C$28*('E Balans VL '!L13+'E Balans VL '!N13)/100/3.6*1000000</f>
        <v>1020.5410916339509</v>
      </c>
      <c r="G8" s="34"/>
      <c r="H8" s="33"/>
      <c r="I8" s="33"/>
      <c r="J8" s="33">
        <f>$C$28*('E Balans VL '!D13+'E Balans VL '!E13)/100/3.6*1000000</f>
        <v>0</v>
      </c>
      <c r="K8" s="33"/>
      <c r="L8" s="33"/>
      <c r="M8" s="33"/>
      <c r="N8" s="33">
        <f>$C$28*'E Balans VL '!Y13/100/3.6*1000000</f>
        <v>17.600718632309547</v>
      </c>
      <c r="O8" s="33"/>
      <c r="P8" s="33"/>
      <c r="R8" s="32"/>
    </row>
    <row r="9" spans="1:18">
      <c r="A9" s="32" t="s">
        <v>51</v>
      </c>
      <c r="B9" s="37">
        <f t="shared" si="0"/>
        <v>1362.64780901876</v>
      </c>
      <c r="C9" s="33"/>
      <c r="D9" s="37">
        <f>IF(ISERROR(TER_gezond_gas_kWh/1000),0,TER_gezond_gas_kWh/1000)*0.902</f>
        <v>2317.56597507989</v>
      </c>
      <c r="E9" s="33">
        <f>$C$29*'E Balans VL '!I10/100/3.6*1000000</f>
        <v>1.4556610453738126</v>
      </c>
      <c r="F9" s="33">
        <f>$C$29*('E Balans VL '!L10+'E Balans VL '!N10)/100/3.6*1000000</f>
        <v>222.28927007188688</v>
      </c>
      <c r="G9" s="34"/>
      <c r="H9" s="33"/>
      <c r="I9" s="33"/>
      <c r="J9" s="33">
        <f>$C$29*('E Balans VL '!D10+'E Balans VL '!E10)/100/3.6*1000000</f>
        <v>0</v>
      </c>
      <c r="K9" s="33"/>
      <c r="L9" s="33"/>
      <c r="M9" s="33"/>
      <c r="N9" s="33">
        <f>$C$29*'E Balans VL '!Y10/100/3.6*1000000</f>
        <v>14.027681682519896</v>
      </c>
      <c r="O9" s="33"/>
      <c r="P9" s="33"/>
      <c r="R9" s="32"/>
    </row>
    <row r="10" spans="1:18">
      <c r="A10" s="32" t="s">
        <v>50</v>
      </c>
      <c r="B10" s="37">
        <f t="shared" si="0"/>
        <v>1417.05551381596</v>
      </c>
      <c r="C10" s="33"/>
      <c r="D10" s="37">
        <f>IF(ISERROR(TER_ander_gas_kWh/1000),0,TER_ander_gas_kWh/1000)*0.902</f>
        <v>1292.9399344620588</v>
      </c>
      <c r="E10" s="33">
        <f>$C$30*'E Balans VL '!I14/100/3.6*1000000</f>
        <v>6.5168227578948779</v>
      </c>
      <c r="F10" s="33">
        <f>$C$30*('E Balans VL '!L14+'E Balans VL '!N14)/100/3.6*1000000</f>
        <v>424.73623543892444</v>
      </c>
      <c r="G10" s="34"/>
      <c r="H10" s="33"/>
      <c r="I10" s="33"/>
      <c r="J10" s="33">
        <f>$C$30*('E Balans VL '!D14+'E Balans VL '!E14)/100/3.6*1000000</f>
        <v>0</v>
      </c>
      <c r="K10" s="33"/>
      <c r="L10" s="33"/>
      <c r="M10" s="33"/>
      <c r="N10" s="33">
        <f>$C$30*'E Balans VL '!Y14/100/3.6*1000000</f>
        <v>986.36417853964531</v>
      </c>
      <c r="O10" s="33"/>
      <c r="P10" s="33"/>
      <c r="R10" s="32"/>
    </row>
    <row r="11" spans="1:18">
      <c r="A11" s="32" t="s">
        <v>55</v>
      </c>
      <c r="B11" s="37">
        <f t="shared" si="0"/>
        <v>305.21491490240697</v>
      </c>
      <c r="C11" s="33"/>
      <c r="D11" s="37">
        <f>IF(ISERROR(TER_onderwijs_gas_kWh/1000),0,TER_onderwijs_gas_kWh/1000)*0.902</f>
        <v>495.66053387112083</v>
      </c>
      <c r="E11" s="33">
        <f>$C$31*'E Balans VL '!I11/100/3.6*1000000</f>
        <v>0.28312697201253684</v>
      </c>
      <c r="F11" s="33">
        <f>$C$31*('E Balans VL '!L11+'E Balans VL '!N11)/100/3.6*1000000</f>
        <v>107.21498474473842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3739.0082939676299</v>
      </c>
      <c r="C12" s="33"/>
      <c r="D12" s="37">
        <f>IF(ISERROR(TER_rest_gas_kWh/1000),0,TER_rest_gas_kWh/1000)*0.902</f>
        <v>10364.484469305138</v>
      </c>
      <c r="E12" s="33">
        <f>$C$32*'E Balans VL '!I8/100/3.6*1000000</f>
        <v>45.352311775838999</v>
      </c>
      <c r="F12" s="33">
        <f>$C$32*('E Balans VL '!L8+'E Balans VL '!N8)/100/3.6*1000000</f>
        <v>739.88002128544929</v>
      </c>
      <c r="G12" s="34"/>
      <c r="H12" s="33"/>
      <c r="I12" s="33"/>
      <c r="J12" s="33">
        <f>$C$32*('E Balans VL '!D8+'E Balans VL '!E8)/100/3.6*1000000</f>
        <v>0</v>
      </c>
      <c r="K12" s="33"/>
      <c r="L12" s="33"/>
      <c r="M12" s="33"/>
      <c r="N12" s="33">
        <f>$C$32*'E Balans VL '!Y8/100/3.6*1000000</f>
        <v>296.8033742600951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20383.262017040095</v>
      </c>
      <c r="C16" s="21">
        <f t="shared" ca="1" si="1"/>
        <v>0</v>
      </c>
      <c r="D16" s="21">
        <f t="shared" ca="1" si="1"/>
        <v>30547.172644480237</v>
      </c>
      <c r="E16" s="21">
        <f t="shared" si="1"/>
        <v>354.53295784572146</v>
      </c>
      <c r="F16" s="21">
        <f t="shared" ca="1" si="1"/>
        <v>4167.698362960522</v>
      </c>
      <c r="G16" s="21">
        <f t="shared" si="1"/>
        <v>0</v>
      </c>
      <c r="H16" s="21">
        <f t="shared" si="1"/>
        <v>0</v>
      </c>
      <c r="I16" s="21">
        <f t="shared" si="1"/>
        <v>0</v>
      </c>
      <c r="J16" s="21">
        <f t="shared" si="1"/>
        <v>0</v>
      </c>
      <c r="K16" s="21">
        <f t="shared" si="1"/>
        <v>0</v>
      </c>
      <c r="L16" s="21">
        <f t="shared" ca="1" si="1"/>
        <v>0</v>
      </c>
      <c r="M16" s="21">
        <f t="shared" si="1"/>
        <v>0</v>
      </c>
      <c r="N16" s="21">
        <f t="shared" ca="1" si="1"/>
        <v>1318.053734174573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0.18402130080967147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3750.9543911200863</v>
      </c>
      <c r="C20" s="23">
        <f t="shared" ref="C20:P20" ca="1" si="2">C16*C18</f>
        <v>0</v>
      </c>
      <c r="D20" s="23">
        <f t="shared" ca="1" si="2"/>
        <v>6170.5288741850081</v>
      </c>
      <c r="E20" s="23">
        <f t="shared" si="2"/>
        <v>80.478981430978777</v>
      </c>
      <c r="F20" s="23">
        <f t="shared" ca="1" si="2"/>
        <v>1112.7754629104595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4130.6925494561901</v>
      </c>
      <c r="C26" s="39">
        <f>IF(ISERROR(B26*3.6/1000000/'E Balans VL '!Z12*100),0,B26*3.6/1000000/'E Balans VL '!Z12*100)</f>
        <v>8.7737955829551822E-2</v>
      </c>
      <c r="D26" s="239" t="s">
        <v>692</v>
      </c>
      <c r="F26" s="6"/>
    </row>
    <row r="27" spans="1:18">
      <c r="A27" s="233" t="s">
        <v>53</v>
      </c>
      <c r="B27" s="33">
        <f>IF(ISERROR(TER_horeca_ele_kWh/1000),0,TER_horeca_ele_kWh/1000)</f>
        <v>3554.1220189334599</v>
      </c>
      <c r="C27" s="39">
        <f>IF(ISERROR(B27*3.6/1000000/'E Balans VL '!Z9*100),0,B27*3.6/1000000/'E Balans VL '!Z9*100)</f>
        <v>0.27635463185344455</v>
      </c>
      <c r="D27" s="239" t="s">
        <v>692</v>
      </c>
      <c r="F27" s="6"/>
    </row>
    <row r="28" spans="1:18">
      <c r="A28" s="173" t="s">
        <v>52</v>
      </c>
      <c r="B28" s="33">
        <f>IF(ISERROR(TER_handel_ele_kWh/1000),0,TER_handel_ele_kWh/1000)</f>
        <v>5874.5209169456903</v>
      </c>
      <c r="C28" s="39">
        <f>IF(ISERROR(B28*3.6/1000000/'E Balans VL '!Z13*100),0,B28*3.6/1000000/'E Balans VL '!Z13*100)</f>
        <v>0.16807695705333098</v>
      </c>
      <c r="D28" s="239" t="s">
        <v>692</v>
      </c>
      <c r="F28" s="6"/>
    </row>
    <row r="29" spans="1:18">
      <c r="A29" s="233" t="s">
        <v>51</v>
      </c>
      <c r="B29" s="33">
        <f>IF(ISERROR(TER_gezond_ele_kWh/1000),0,TER_gezond_ele_kWh/1000)</f>
        <v>1362.64780901876</v>
      </c>
      <c r="C29" s="39">
        <f>IF(ISERROR(B29*3.6/1000000/'E Balans VL '!Z10*100),0,B29*3.6/1000000/'E Balans VL '!Z10*100)</f>
        <v>0.1485602753205886</v>
      </c>
      <c r="D29" s="239" t="s">
        <v>692</v>
      </c>
      <c r="F29" s="6"/>
    </row>
    <row r="30" spans="1:18">
      <c r="A30" s="233" t="s">
        <v>50</v>
      </c>
      <c r="B30" s="33">
        <f>IF(ISERROR(TER_ander_ele_kWh/1000),0,TER_ander_ele_kWh/1000)</f>
        <v>1417.05551381596</v>
      </c>
      <c r="C30" s="39">
        <f>IF(ISERROR(B30*3.6/1000000/'E Balans VL '!Z14*100),0,B30*3.6/1000000/'E Balans VL '!Z14*100)</f>
        <v>0.10369690798682037</v>
      </c>
      <c r="D30" s="239" t="s">
        <v>692</v>
      </c>
      <c r="F30" s="6"/>
    </row>
    <row r="31" spans="1:18">
      <c r="A31" s="233" t="s">
        <v>55</v>
      </c>
      <c r="B31" s="33">
        <f>IF(ISERROR(TER_onderwijs_ele_kWh/1000),0,TER_onderwijs_ele_kWh/1000)</f>
        <v>305.21491490240697</v>
      </c>
      <c r="C31" s="39">
        <f>IF(ISERROR(B31*3.6/1000000/'E Balans VL '!Z11*100),0,B31*3.6/1000000/'E Balans VL '!Z11*100)</f>
        <v>6.130264230449449E-2</v>
      </c>
      <c r="D31" s="239" t="s">
        <v>692</v>
      </c>
    </row>
    <row r="32" spans="1:18">
      <c r="A32" s="233" t="s">
        <v>260</v>
      </c>
      <c r="B32" s="33">
        <f>IF(ISERROR(TER_rest_ele_kWh/1000),0,TER_rest_ele_kWh/1000)</f>
        <v>3739.0082939676299</v>
      </c>
      <c r="C32" s="39">
        <f>IF(ISERROR(B32*3.6/1000000/'E Balans VL '!Z8*100),0,B32*3.6/1000000/'E Balans VL '!Z8*100)</f>
        <v>3.0470648506993145E-2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42128.982489542286</v>
      </c>
      <c r="C5" s="17">
        <f>IF(ISERROR('Eigen informatie GS &amp; warmtenet'!B59),0,'Eigen informatie GS &amp; warmtenet'!B59)</f>
        <v>0</v>
      </c>
      <c r="D5" s="30">
        <f>SUM(D6:D15)</f>
        <v>65415.560200157561</v>
      </c>
      <c r="E5" s="17">
        <f>SUM(E6:E15)</f>
        <v>3922.5607472396819</v>
      </c>
      <c r="F5" s="17">
        <f>SUM(F6:F15)</f>
        <v>14146.047515250739</v>
      </c>
      <c r="G5" s="18"/>
      <c r="H5" s="17"/>
      <c r="I5" s="17"/>
      <c r="J5" s="17">
        <f>SUM(J6:J15)</f>
        <v>83.619417153958693</v>
      </c>
      <c r="K5" s="17"/>
      <c r="L5" s="17"/>
      <c r="M5" s="17"/>
      <c r="N5" s="17">
        <f>SUM(N6:N15)</f>
        <v>9348.4518848546504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1162.5206849076799</v>
      </c>
      <c r="C8" s="33"/>
      <c r="D8" s="37">
        <f>IF( ISERROR(IND_metaal_Gas_kWH/1000),0,IND_metaal_Gas_kWH/1000)*0.902</f>
        <v>84.370863085143654</v>
      </c>
      <c r="E8" s="33">
        <f>C30*'E Balans VL '!I18/100/3.6*1000000</f>
        <v>33.391957637883571</v>
      </c>
      <c r="F8" s="33">
        <f>C30*'E Balans VL '!L18/100/3.6*1000000+C30*'E Balans VL '!N18/100/3.6*1000000</f>
        <v>298.16419719288245</v>
      </c>
      <c r="G8" s="34"/>
      <c r="H8" s="33"/>
      <c r="I8" s="33"/>
      <c r="J8" s="40">
        <f>C30*'E Balans VL '!D18/100/3.6*1000000+C30*'E Balans VL '!E18/100/3.6*1000000</f>
        <v>0</v>
      </c>
      <c r="K8" s="33"/>
      <c r="L8" s="33"/>
      <c r="M8" s="33"/>
      <c r="N8" s="33">
        <f>C30*'E Balans VL '!Y18/100/3.6*1000000</f>
        <v>31.564809636168444</v>
      </c>
      <c r="O8" s="33"/>
      <c r="P8" s="33"/>
      <c r="R8" s="32"/>
    </row>
    <row r="9" spans="1:18">
      <c r="A9" s="6" t="s">
        <v>33</v>
      </c>
      <c r="B9" s="37">
        <f t="shared" si="0"/>
        <v>7387.9402693521097</v>
      </c>
      <c r="C9" s="33"/>
      <c r="D9" s="37">
        <f>IF( ISERROR(IND_andere_gas_kWh/1000),0,IND_andere_gas_kWh/1000)*0.902</f>
        <v>5305.0117792168021</v>
      </c>
      <c r="E9" s="33">
        <f>C31*'E Balans VL '!I19/100/3.6*1000000</f>
        <v>1999.7337833274025</v>
      </c>
      <c r="F9" s="33">
        <f>C31*'E Balans VL '!L19/100/3.6*1000000+C31*'E Balans VL '!N19/100/3.6*1000000</f>
        <v>4921.1500267809433</v>
      </c>
      <c r="G9" s="34"/>
      <c r="H9" s="33"/>
      <c r="I9" s="33"/>
      <c r="J9" s="40">
        <f>C31*'E Balans VL '!D19/100/3.6*1000000+C31*'E Balans VL '!E19/100/3.6*1000000</f>
        <v>0</v>
      </c>
      <c r="K9" s="33"/>
      <c r="L9" s="33"/>
      <c r="M9" s="33"/>
      <c r="N9" s="33">
        <f>C31*'E Balans VL '!Y19/100/3.6*1000000</f>
        <v>2412.0397737490484</v>
      </c>
      <c r="O9" s="33"/>
      <c r="P9" s="33"/>
      <c r="R9" s="32"/>
    </row>
    <row r="10" spans="1:18">
      <c r="A10" s="6" t="s">
        <v>41</v>
      </c>
      <c r="B10" s="37">
        <f t="shared" si="0"/>
        <v>837.88149400731095</v>
      </c>
      <c r="C10" s="33"/>
      <c r="D10" s="37">
        <f>IF( ISERROR(IND_voed_gas_kWh/1000),0,IND_voed_gas_kWh/1000)*0.902</f>
        <v>767.75549332338426</v>
      </c>
      <c r="E10" s="33">
        <f>C32*'E Balans VL '!I20/100/3.6*1000000</f>
        <v>68.339539633878104</v>
      </c>
      <c r="F10" s="33">
        <f>C32*'E Balans VL '!L20/100/3.6*1000000+C32*'E Balans VL '!N20/100/3.6*1000000</f>
        <v>1249.3573268349435</v>
      </c>
      <c r="G10" s="34"/>
      <c r="H10" s="33"/>
      <c r="I10" s="33"/>
      <c r="J10" s="40">
        <f>C32*'E Balans VL '!D20/100/3.6*1000000+C32*'E Balans VL '!E20/100/3.6*1000000</f>
        <v>1.1084155114021105E-2</v>
      </c>
      <c r="K10" s="33"/>
      <c r="L10" s="33"/>
      <c r="M10" s="33"/>
      <c r="N10" s="33">
        <f>C32*'E Balans VL '!Y20/100/3.6*1000000</f>
        <v>246.14001728942515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120.16340448268301</v>
      </c>
      <c r="C13" s="33"/>
      <c r="D13" s="37">
        <f>IF( ISERROR(IND_papier_gas_kWh/1000),0,IND_papier_gas_kWh/1000)*0.902</f>
        <v>49.027133834320658</v>
      </c>
      <c r="E13" s="33">
        <f>C35*'E Balans VL '!I23/100/3.6*1000000</f>
        <v>1.2589305729631173</v>
      </c>
      <c r="F13" s="33">
        <f>C35*'E Balans VL '!L23/100/3.6*1000000+C35*'E Balans VL '!N23/100/3.6*1000000</f>
        <v>8.9666145409845637</v>
      </c>
      <c r="G13" s="34"/>
      <c r="H13" s="33"/>
      <c r="I13" s="33"/>
      <c r="J13" s="40">
        <f>C35*'E Balans VL '!D23/100/3.6*1000000+C35*'E Balans VL '!E23/100/3.6*1000000</f>
        <v>0</v>
      </c>
      <c r="K13" s="33"/>
      <c r="L13" s="33"/>
      <c r="M13" s="33"/>
      <c r="N13" s="33">
        <f>C35*'E Balans VL '!Y23/100/3.6*1000000</f>
        <v>256.83673480665897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32620.4766367925</v>
      </c>
      <c r="C15" s="33"/>
      <c r="D15" s="37">
        <f>IF( ISERROR(IND_rest_gas_kWh/1000),0,IND_rest_gas_kWh/1000)*0.902</f>
        <v>59209.394930697912</v>
      </c>
      <c r="E15" s="33">
        <f>C37*'E Balans VL '!I15/100/3.6*1000000</f>
        <v>1819.8365360675548</v>
      </c>
      <c r="F15" s="33">
        <f>C37*'E Balans VL '!L15/100/3.6*1000000+C37*'E Balans VL '!N15/100/3.6*1000000</f>
        <v>7668.409349900985</v>
      </c>
      <c r="G15" s="34"/>
      <c r="H15" s="33"/>
      <c r="I15" s="33"/>
      <c r="J15" s="40">
        <f>C37*'E Balans VL '!D15/100/3.6*1000000+C37*'E Balans VL '!E15/100/3.6*1000000</f>
        <v>83.608332998844674</v>
      </c>
      <c r="K15" s="33"/>
      <c r="L15" s="33"/>
      <c r="M15" s="33"/>
      <c r="N15" s="33">
        <f>C37*'E Balans VL '!Y15/100/3.6*1000000</f>
        <v>6401.8705493733496</v>
      </c>
      <c r="O15" s="33"/>
      <c r="P15" s="33"/>
      <c r="R15" s="32"/>
    </row>
    <row r="16" spans="1:18">
      <c r="A16" s="16" t="s">
        <v>497</v>
      </c>
      <c r="B16" s="249">
        <f>'lokale energieproductie'!N90+'lokale energieproductie'!N59</f>
        <v>1125</v>
      </c>
      <c r="C16" s="249">
        <f>'lokale energieproductie'!O90+'lokale energieproductie'!O59</f>
        <v>1607.1428571428571</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-3214.2857142857147</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43253.982489542286</v>
      </c>
      <c r="C18" s="21">
        <f>C5+C16</f>
        <v>1607.1428571428571</v>
      </c>
      <c r="D18" s="21">
        <f>MAX((D5+D16),0)</f>
        <v>65415.560200157561</v>
      </c>
      <c r="E18" s="21">
        <f>MAX((E5+E16),0)</f>
        <v>3922.5607472396819</v>
      </c>
      <c r="F18" s="21">
        <f>MAX((F5+F16),0)</f>
        <v>14146.047515250739</v>
      </c>
      <c r="G18" s="21"/>
      <c r="H18" s="21"/>
      <c r="I18" s="21"/>
      <c r="J18" s="21">
        <f>MAX((J5+J16),0)</f>
        <v>83.619417153958693</v>
      </c>
      <c r="K18" s="21"/>
      <c r="L18" s="21">
        <f>MAX((L5+L16),0)</f>
        <v>0</v>
      </c>
      <c r="M18" s="21"/>
      <c r="N18" s="21">
        <f>MAX((N5+N16),0)</f>
        <v>6134.1661705689357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0.18402130080967147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7959.654122924323</v>
      </c>
      <c r="C22" s="23">
        <f ca="1">C18*C20</f>
        <v>0</v>
      </c>
      <c r="D22" s="23">
        <f>D18*D20</f>
        <v>13213.943160431829</v>
      </c>
      <c r="E22" s="23">
        <f>E18*E20</f>
        <v>890.4212896234078</v>
      </c>
      <c r="F22" s="23">
        <f>F18*F20</f>
        <v>3776.9946865719476</v>
      </c>
      <c r="G22" s="23"/>
      <c r="H22" s="23"/>
      <c r="I22" s="23"/>
      <c r="J22" s="23">
        <f>J18*J20</f>
        <v>29.601273672501375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1162.5206849076799</v>
      </c>
      <c r="C30" s="39">
        <f>IF(ISERROR(B30*3.6/1000000/'E Balans VL '!Z18*100),0,B30*3.6/1000000/'E Balans VL '!Z18*100)</f>
        <v>0.11438906779573083</v>
      </c>
      <c r="D30" s="239" t="s">
        <v>692</v>
      </c>
    </row>
    <row r="31" spans="1:18">
      <c r="A31" s="6" t="s">
        <v>33</v>
      </c>
      <c r="B31" s="37">
        <f>IF( ISERROR(IND_ander_ele_kWh/1000),0,IND_ander_ele_kWh/1000)</f>
        <v>7387.9402693521097</v>
      </c>
      <c r="C31" s="39">
        <f>IF(ISERROR(B31*3.6/1000000/'E Balans VL '!Z19*100),0,B31*3.6/1000000/'E Balans VL '!Z19*100)</f>
        <v>0.32173890542838435</v>
      </c>
      <c r="D31" s="239" t="s">
        <v>692</v>
      </c>
    </row>
    <row r="32" spans="1:18">
      <c r="A32" s="173" t="s">
        <v>41</v>
      </c>
      <c r="B32" s="37">
        <f>IF( ISERROR(IND_voed_ele_kWh/1000),0,IND_voed_ele_kWh/1000)</f>
        <v>837.88149400731095</v>
      </c>
      <c r="C32" s="39">
        <f>IF(ISERROR(B32*3.6/1000000/'E Balans VL '!Z20*100),0,B32*3.6/1000000/'E Balans VL '!Z20*100)</f>
        <v>0.1589759299222088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120.16340448268301</v>
      </c>
      <c r="C35" s="39">
        <f>IF(ISERROR(B35*3.6/1000000/'E Balans VL '!Z22*100),0,B35*3.6/1000000/'E Balans VL '!Z22*100)</f>
        <v>1.6896181313562422E-2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32620.4766367925</v>
      </c>
      <c r="C37" s="39">
        <f>IF(ISERROR(B37*3.6/1000000/'E Balans VL '!Z15*100),0,B37*3.6/1000000/'E Balans VL '!Z15*100)</f>
        <v>0.25138083869058458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9670.9248244929113</v>
      </c>
      <c r="C5" s="17">
        <f>'Eigen informatie GS &amp; warmtenet'!B60</f>
        <v>0</v>
      </c>
      <c r="D5" s="30">
        <f>IF(ISERROR(SUM(LB_lb_gas_kWh,LB_rest_gas_kWh)/1000),0,SUM(LB_lb_gas_kWh,LB_rest_gas_kWh)/1000)*0.902</f>
        <v>407.39185856996801</v>
      </c>
      <c r="E5" s="17">
        <f>B17*'E Balans VL '!I25/3.6*1000000/100</f>
        <v>121.86611147289148</v>
      </c>
      <c r="F5" s="17">
        <f>B17*('E Balans VL '!L25/3.6*1000000+'E Balans VL '!N25/3.6*1000000)/100</f>
        <v>33367.113355932022</v>
      </c>
      <c r="G5" s="18"/>
      <c r="H5" s="17"/>
      <c r="I5" s="17"/>
      <c r="J5" s="17">
        <f>('E Balans VL '!D25+'E Balans VL '!E25)/3.6*1000000*landbouw!B17/100</f>
        <v>1454.3971584103028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9670.9248244929113</v>
      </c>
      <c r="C8" s="21">
        <f>C5+C6</f>
        <v>0</v>
      </c>
      <c r="D8" s="21">
        <f>MAX((D5+D6),0)</f>
        <v>407.39185856996801</v>
      </c>
      <c r="E8" s="21">
        <f>MAX((E5+E6),0)</f>
        <v>121.86611147289148</v>
      </c>
      <c r="F8" s="21">
        <f>MAX((F5+F6),0)</f>
        <v>33367.113355932022</v>
      </c>
      <c r="G8" s="21"/>
      <c r="H8" s="21"/>
      <c r="I8" s="21"/>
      <c r="J8" s="21">
        <f>MAX((J5+J6),0)</f>
        <v>1454.3971584103028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0.18402130080967147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1779.6561662357292</v>
      </c>
      <c r="C12" s="23">
        <f ca="1">C8*C10</f>
        <v>0</v>
      </c>
      <c r="D12" s="23">
        <f>D8*D10</f>
        <v>82.293155431133542</v>
      </c>
      <c r="E12" s="23">
        <f>E8*E10</f>
        <v>27.663607304346367</v>
      </c>
      <c r="F12" s="23">
        <f>F8*F10</f>
        <v>8909.0192660338507</v>
      </c>
      <c r="G12" s="23"/>
      <c r="H12" s="23"/>
      <c r="I12" s="23"/>
      <c r="J12" s="23">
        <f>J8*J10</f>
        <v>514.85659407724722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1.3487892031593773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1227.7071784910997</v>
      </c>
      <c r="C26" s="249">
        <f>B26*'GWP N2O_CH4'!B5</f>
        <v>25781.850748313096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848.53594584840471</v>
      </c>
      <c r="C27" s="249">
        <f>B27*'GWP N2O_CH4'!B5</f>
        <v>17819.254862816499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18.239389980764656</v>
      </c>
      <c r="C28" s="249">
        <f>B28*'GWP N2O_CH4'!B4</f>
        <v>5654.2108940370435</v>
      </c>
      <c r="D28" s="50"/>
    </row>
    <row r="29" spans="1:4">
      <c r="A29" s="41" t="s">
        <v>277</v>
      </c>
      <c r="B29" s="249">
        <f>B34*'ha_N2O bodem landbouw'!B4</f>
        <v>57.082329283866954</v>
      </c>
      <c r="C29" s="249">
        <f>B29*'GWP N2O_CH4'!B4</f>
        <v>17695.522077998758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1.4252887239627875E-2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1.4842102648220693E-5</v>
      </c>
      <c r="C5" s="448" t="s">
        <v>211</v>
      </c>
      <c r="D5" s="433">
        <f>SUM(D6:D11)</f>
        <v>2.5681294964013145E-5</v>
      </c>
      <c r="E5" s="433">
        <f>SUM(E6:E11)</f>
        <v>7.8022040705293724E-4</v>
      </c>
      <c r="F5" s="446" t="s">
        <v>211</v>
      </c>
      <c r="G5" s="433">
        <f>SUM(G6:G11)</f>
        <v>0.22921880634307656</v>
      </c>
      <c r="H5" s="433">
        <f>SUM(H6:H11)</f>
        <v>3.8311988257093803E-2</v>
      </c>
      <c r="I5" s="448" t="s">
        <v>211</v>
      </c>
      <c r="J5" s="448" t="s">
        <v>211</v>
      </c>
      <c r="K5" s="448" t="s">
        <v>211</v>
      </c>
      <c r="L5" s="448" t="s">
        <v>211</v>
      </c>
      <c r="M5" s="433">
        <f>SUM(M6:M11)</f>
        <v>1.2092511502683633E-2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1.0629909981397324E-5</v>
      </c>
      <c r="C6" s="887"/>
      <c r="D6" s="887">
        <f>vkm_2011_GW_PW*SUMIFS(TableVerdeelsleutelVkm[CNG],TableVerdeelsleutelVkm[Voertuigtype],"Lichte voertuigen")*SUMIFS(TableECFTransport[EnergieConsumptieFactor (PJ per km)],TableECFTransport[Index],CONCATENATE($A6,"_CNG_CNG"))</f>
        <v>1.5054031537984277E-5</v>
      </c>
      <c r="E6" s="887">
        <f>vkm_2011_GW_PW*SUMIFS(TableVerdeelsleutelVkm[LPG],TableVerdeelsleutelVkm[Voertuigtype],"Lichte voertuigen")*SUMIFS(TableECFTransport[EnergieConsumptieFactor (PJ per km)],TableECFTransport[Index],CONCATENATE($A6,"_LPG_LPG"))</f>
        <v>4.7279757142789064E-4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8.4974669747243575E-2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2.2769646516165313E-2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4.874697140438632E-3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7.8774706304569508E-2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2.798783651134275E-5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3.5548531907753575E-3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4.2121926668233689E-6</v>
      </c>
      <c r="C8" s="887"/>
      <c r="D8" s="436">
        <f>vkm_2011_NGW_PW*SUMIFS(TableVerdeelsleutelVkm[CNG],TableVerdeelsleutelVkm[Voertuigtype],"Lichte voertuigen")*SUMIFS(TableECFTransport[EnergieConsumptieFactor (PJ per km)],TableECFTransport[Index],CONCATENATE($A8,"_CNG_CNG"))</f>
        <v>1.0627263426028868E-5</v>
      </c>
      <c r="E8" s="436">
        <f>vkm_2011_NGW_PW*SUMIFS(TableVerdeelsleutelVkm[LPG],TableVerdeelsleutelVkm[Voertuigtype],"Lichte voertuigen")*SUMIFS(TableECFTransport[EnergieConsumptieFactor (PJ per km)],TableECFTransport[Index],CONCATENATE($A8,"_LPG_LPG"))</f>
        <v>3.0742283562504665E-4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5.2111151716636259E-2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1.5509862752626892E-2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3.0601559943501662E-3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1.335827857462725E-2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4.4911517902577921E-6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6.0280517711947738E-4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4.1228062911724148</v>
      </c>
      <c r="C14" s="21"/>
      <c r="D14" s="21">
        <f t="shared" ref="D14:M14" si="0">((D5)*10^9/3600)+D12</f>
        <v>7.1336930455592071</v>
      </c>
      <c r="E14" s="21">
        <f t="shared" si="0"/>
        <v>216.7278908480381</v>
      </c>
      <c r="F14" s="21"/>
      <c r="G14" s="21">
        <f t="shared" si="0"/>
        <v>63671.890650854599</v>
      </c>
      <c r="H14" s="21">
        <f t="shared" si="0"/>
        <v>10642.218960303833</v>
      </c>
      <c r="I14" s="21"/>
      <c r="J14" s="21"/>
      <c r="K14" s="21"/>
      <c r="L14" s="21"/>
      <c r="M14" s="21">
        <f t="shared" si="0"/>
        <v>3359.0309729676756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0.18402130080967147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0.75868417668784494</v>
      </c>
      <c r="C18" s="23"/>
      <c r="D18" s="23">
        <f t="shared" ref="D18:M18" si="1">D14*D16</f>
        <v>1.4410059952029599</v>
      </c>
      <c r="E18" s="23">
        <f t="shared" si="1"/>
        <v>49.197231222504648</v>
      </c>
      <c r="F18" s="23"/>
      <c r="G18" s="23">
        <f t="shared" si="1"/>
        <v>17000.394803778177</v>
      </c>
      <c r="H18" s="23">
        <f t="shared" si="1"/>
        <v>2649.9125211156543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2.4025124786883566E-3</v>
      </c>
      <c r="H50" s="323">
        <f t="shared" si="2"/>
        <v>0</v>
      </c>
      <c r="I50" s="323">
        <f t="shared" si="2"/>
        <v>0</v>
      </c>
      <c r="J50" s="323">
        <f t="shared" si="2"/>
        <v>0</v>
      </c>
      <c r="K50" s="323">
        <f t="shared" si="2"/>
        <v>0</v>
      </c>
      <c r="L50" s="323">
        <f t="shared" si="2"/>
        <v>0</v>
      </c>
      <c r="M50" s="323">
        <f t="shared" si="2"/>
        <v>1.0684560627189212E-4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2.4025124786883566E-3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1.0684560627189212E-4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667.36457741343236</v>
      </c>
      <c r="H54" s="21">
        <f t="shared" si="3"/>
        <v>0</v>
      </c>
      <c r="I54" s="21">
        <f t="shared" si="3"/>
        <v>0</v>
      </c>
      <c r="J54" s="21">
        <f t="shared" si="3"/>
        <v>0</v>
      </c>
      <c r="K54" s="21">
        <f t="shared" si="3"/>
        <v>0</v>
      </c>
      <c r="L54" s="21">
        <f t="shared" si="3"/>
        <v>0</v>
      </c>
      <c r="M54" s="21">
        <f t="shared" si="3"/>
        <v>29.679335075525589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0.18402130080967147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178.18634216938645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21897.215017040096</v>
      </c>
      <c r="D10" s="690">
        <f ca="1">tertiair!C16</f>
        <v>0</v>
      </c>
      <c r="E10" s="690">
        <f ca="1">tertiair!D16</f>
        <v>30547.172644480237</v>
      </c>
      <c r="F10" s="690">
        <f>tertiair!E16</f>
        <v>354.53295784572146</v>
      </c>
      <c r="G10" s="690">
        <f ca="1">tertiair!F16</f>
        <v>4167.698362960522</v>
      </c>
      <c r="H10" s="690">
        <f>tertiair!G16</f>
        <v>0</v>
      </c>
      <c r="I10" s="690">
        <f>tertiair!H16</f>
        <v>0</v>
      </c>
      <c r="J10" s="690">
        <f>tertiair!I16</f>
        <v>0</v>
      </c>
      <c r="K10" s="690">
        <f>tertiair!J16</f>
        <v>0</v>
      </c>
      <c r="L10" s="690">
        <f>tertiair!K16</f>
        <v>0</v>
      </c>
      <c r="M10" s="690">
        <f ca="1">tertiair!L16</f>
        <v>0</v>
      </c>
      <c r="N10" s="690">
        <f>tertiair!M16</f>
        <v>0</v>
      </c>
      <c r="O10" s="690">
        <f ca="1">tertiair!N16</f>
        <v>1318.053734174573</v>
      </c>
      <c r="P10" s="690">
        <f>tertiair!O16</f>
        <v>1.5633333333333335</v>
      </c>
      <c r="Q10" s="691">
        <f>tertiair!P16</f>
        <v>57.2</v>
      </c>
      <c r="R10" s="693">
        <f ca="1">SUM(C10:Q10)</f>
        <v>58343.436049834483</v>
      </c>
      <c r="S10" s="67"/>
    </row>
    <row r="11" spans="1:19" s="458" customFormat="1">
      <c r="A11" s="805" t="s">
        <v>225</v>
      </c>
      <c r="B11" s="810"/>
      <c r="C11" s="690">
        <f>huishoudens!B8</f>
        <v>32259.828661682899</v>
      </c>
      <c r="D11" s="690">
        <f>huishoudens!C8</f>
        <v>0</v>
      </c>
      <c r="E11" s="690">
        <f>huishoudens!D8</f>
        <v>77755.877291647601</v>
      </c>
      <c r="F11" s="690">
        <f>huishoudens!E8</f>
        <v>10172.166865833662</v>
      </c>
      <c r="G11" s="690">
        <f>huishoudens!F8</f>
        <v>21056.384403300937</v>
      </c>
      <c r="H11" s="690">
        <f>huishoudens!G8</f>
        <v>0</v>
      </c>
      <c r="I11" s="690">
        <f>huishoudens!H8</f>
        <v>0</v>
      </c>
      <c r="J11" s="690">
        <f>huishoudens!I8</f>
        <v>0</v>
      </c>
      <c r="K11" s="690">
        <f>huishoudens!J8</f>
        <v>16326.117816508617</v>
      </c>
      <c r="L11" s="690">
        <f>huishoudens!K8</f>
        <v>0</v>
      </c>
      <c r="M11" s="690">
        <f>huishoudens!L8</f>
        <v>0</v>
      </c>
      <c r="N11" s="690">
        <f>huishoudens!M8</f>
        <v>0</v>
      </c>
      <c r="O11" s="690">
        <f>huishoudens!N8</f>
        <v>35562.134839646002</v>
      </c>
      <c r="P11" s="690">
        <f>huishoudens!O8</f>
        <v>329.86333333333334</v>
      </c>
      <c r="Q11" s="691">
        <f>huishoudens!P8</f>
        <v>400.4</v>
      </c>
      <c r="R11" s="693">
        <f>SUM(C11:Q11)</f>
        <v>193862.77321195303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43253.982489542286</v>
      </c>
      <c r="D13" s="690">
        <f>industrie!C18</f>
        <v>1607.1428571428571</v>
      </c>
      <c r="E13" s="690">
        <f>industrie!D18</f>
        <v>65415.560200157561</v>
      </c>
      <c r="F13" s="690">
        <f>industrie!E18</f>
        <v>3922.5607472396819</v>
      </c>
      <c r="G13" s="690">
        <f>industrie!F18</f>
        <v>14146.047515250739</v>
      </c>
      <c r="H13" s="690">
        <f>industrie!G18</f>
        <v>0</v>
      </c>
      <c r="I13" s="690">
        <f>industrie!H18</f>
        <v>0</v>
      </c>
      <c r="J13" s="690">
        <f>industrie!I18</f>
        <v>0</v>
      </c>
      <c r="K13" s="690">
        <f>industrie!J18</f>
        <v>83.619417153958693</v>
      </c>
      <c r="L13" s="690">
        <f>industrie!K18</f>
        <v>0</v>
      </c>
      <c r="M13" s="690">
        <f>industrie!L18</f>
        <v>0</v>
      </c>
      <c r="N13" s="690">
        <f>industrie!M18</f>
        <v>0</v>
      </c>
      <c r="O13" s="690">
        <f>industrie!N18</f>
        <v>6134.1661705689357</v>
      </c>
      <c r="P13" s="690">
        <f>industrie!O18</f>
        <v>0</v>
      </c>
      <c r="Q13" s="691">
        <f>industrie!P18</f>
        <v>0</v>
      </c>
      <c r="R13" s="693">
        <f>SUM(C13:Q13)</f>
        <v>134563.07939705602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97411.026168265293</v>
      </c>
      <c r="D16" s="725">
        <f t="shared" ref="D16:R16" ca="1" si="0">SUM(D9:D15)</f>
        <v>1607.1428571428571</v>
      </c>
      <c r="E16" s="725">
        <f t="shared" ca="1" si="0"/>
        <v>173718.6101362854</v>
      </c>
      <c r="F16" s="725">
        <f t="shared" si="0"/>
        <v>14449.260570919067</v>
      </c>
      <c r="G16" s="725">
        <f t="shared" ca="1" si="0"/>
        <v>39370.130281512204</v>
      </c>
      <c r="H16" s="725">
        <f t="shared" si="0"/>
        <v>0</v>
      </c>
      <c r="I16" s="725">
        <f t="shared" si="0"/>
        <v>0</v>
      </c>
      <c r="J16" s="725">
        <f t="shared" si="0"/>
        <v>0</v>
      </c>
      <c r="K16" s="725">
        <f t="shared" si="0"/>
        <v>16409.737233662574</v>
      </c>
      <c r="L16" s="725">
        <f t="shared" si="0"/>
        <v>0</v>
      </c>
      <c r="M16" s="725">
        <f t="shared" ca="1" si="0"/>
        <v>0</v>
      </c>
      <c r="N16" s="725">
        <f t="shared" si="0"/>
        <v>0</v>
      </c>
      <c r="O16" s="725">
        <f t="shared" ca="1" si="0"/>
        <v>43014.354744389508</v>
      </c>
      <c r="P16" s="725">
        <f t="shared" si="0"/>
        <v>331.42666666666668</v>
      </c>
      <c r="Q16" s="725">
        <f t="shared" si="0"/>
        <v>457.59999999999997</v>
      </c>
      <c r="R16" s="725">
        <f t="shared" ca="1" si="0"/>
        <v>386769.28865884349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667.36457741343236</v>
      </c>
      <c r="I19" s="690">
        <f>transport!H54</f>
        <v>0</v>
      </c>
      <c r="J19" s="690">
        <f>transport!I54</f>
        <v>0</v>
      </c>
      <c r="K19" s="690">
        <f>transport!J54</f>
        <v>0</v>
      </c>
      <c r="L19" s="690">
        <f>transport!K54</f>
        <v>0</v>
      </c>
      <c r="M19" s="690">
        <f>transport!L54</f>
        <v>0</v>
      </c>
      <c r="N19" s="690">
        <f>transport!M54</f>
        <v>29.679335075525589</v>
      </c>
      <c r="O19" s="690">
        <f>transport!N54</f>
        <v>0</v>
      </c>
      <c r="P19" s="690">
        <f>transport!O54</f>
        <v>0</v>
      </c>
      <c r="Q19" s="691">
        <f>transport!P54</f>
        <v>0</v>
      </c>
      <c r="R19" s="693">
        <f>SUM(C19:Q19)</f>
        <v>697.04391248895797</v>
      </c>
      <c r="S19" s="67"/>
    </row>
    <row r="20" spans="1:19" s="458" customFormat="1">
      <c r="A20" s="805" t="s">
        <v>307</v>
      </c>
      <c r="B20" s="810"/>
      <c r="C20" s="690">
        <f>transport!B14</f>
        <v>4.1228062911724148</v>
      </c>
      <c r="D20" s="690">
        <f>transport!C14</f>
        <v>0</v>
      </c>
      <c r="E20" s="690">
        <f>transport!D14</f>
        <v>7.1336930455592071</v>
      </c>
      <c r="F20" s="690">
        <f>transport!E14</f>
        <v>216.7278908480381</v>
      </c>
      <c r="G20" s="690">
        <f>transport!F14</f>
        <v>0</v>
      </c>
      <c r="H20" s="690">
        <f>transport!G14</f>
        <v>63671.890650854599</v>
      </c>
      <c r="I20" s="690">
        <f>transport!H14</f>
        <v>10642.218960303833</v>
      </c>
      <c r="J20" s="690">
        <f>transport!I14</f>
        <v>0</v>
      </c>
      <c r="K20" s="690">
        <f>transport!J14</f>
        <v>0</v>
      </c>
      <c r="L20" s="690">
        <f>transport!K14</f>
        <v>0</v>
      </c>
      <c r="M20" s="690">
        <f>transport!L14</f>
        <v>0</v>
      </c>
      <c r="N20" s="690">
        <f>transport!M14</f>
        <v>3359.0309729676756</v>
      </c>
      <c r="O20" s="690">
        <f>transport!N14</f>
        <v>0</v>
      </c>
      <c r="P20" s="690">
        <f>transport!O14</f>
        <v>0</v>
      </c>
      <c r="Q20" s="691">
        <f>transport!P14</f>
        <v>0</v>
      </c>
      <c r="R20" s="693">
        <f>SUM(C20:Q20)</f>
        <v>77901.124974310878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4.1228062911724148</v>
      </c>
      <c r="D22" s="808">
        <f t="shared" ref="D22:R22" si="1">SUM(D18:D21)</f>
        <v>0</v>
      </c>
      <c r="E22" s="808">
        <f t="shared" si="1"/>
        <v>7.1336930455592071</v>
      </c>
      <c r="F22" s="808">
        <f t="shared" si="1"/>
        <v>216.7278908480381</v>
      </c>
      <c r="G22" s="808">
        <f t="shared" si="1"/>
        <v>0</v>
      </c>
      <c r="H22" s="808">
        <f t="shared" si="1"/>
        <v>64339.255228268034</v>
      </c>
      <c r="I22" s="808">
        <f t="shared" si="1"/>
        <v>10642.218960303833</v>
      </c>
      <c r="J22" s="808">
        <f t="shared" si="1"/>
        <v>0</v>
      </c>
      <c r="K22" s="808">
        <f t="shared" si="1"/>
        <v>0</v>
      </c>
      <c r="L22" s="808">
        <f t="shared" si="1"/>
        <v>0</v>
      </c>
      <c r="M22" s="808">
        <f t="shared" si="1"/>
        <v>0</v>
      </c>
      <c r="N22" s="808">
        <f t="shared" si="1"/>
        <v>3388.7103080432012</v>
      </c>
      <c r="O22" s="808">
        <f t="shared" si="1"/>
        <v>0</v>
      </c>
      <c r="P22" s="808">
        <f t="shared" si="1"/>
        <v>0</v>
      </c>
      <c r="Q22" s="808">
        <f t="shared" si="1"/>
        <v>0</v>
      </c>
      <c r="R22" s="808">
        <f t="shared" si="1"/>
        <v>78598.168886799831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9670.9248244929113</v>
      </c>
      <c r="D24" s="690">
        <f>+landbouw!C8</f>
        <v>0</v>
      </c>
      <c r="E24" s="690">
        <f>+landbouw!D8</f>
        <v>407.39185856996801</v>
      </c>
      <c r="F24" s="690">
        <f>+landbouw!E8</f>
        <v>121.86611147289148</v>
      </c>
      <c r="G24" s="690">
        <f>+landbouw!F8</f>
        <v>33367.113355932022</v>
      </c>
      <c r="H24" s="690">
        <f>+landbouw!G8</f>
        <v>0</v>
      </c>
      <c r="I24" s="690">
        <f>+landbouw!H8</f>
        <v>0</v>
      </c>
      <c r="J24" s="690">
        <f>+landbouw!I8</f>
        <v>0</v>
      </c>
      <c r="K24" s="690">
        <f>+landbouw!J8</f>
        <v>1454.3971584103028</v>
      </c>
      <c r="L24" s="690">
        <f>+landbouw!K8</f>
        <v>0</v>
      </c>
      <c r="M24" s="690">
        <f>+landbouw!L8</f>
        <v>0</v>
      </c>
      <c r="N24" s="690">
        <f>+landbouw!M8</f>
        <v>0</v>
      </c>
      <c r="O24" s="690">
        <f>+landbouw!N8</f>
        <v>0</v>
      </c>
      <c r="P24" s="690">
        <f>+landbouw!O8</f>
        <v>0</v>
      </c>
      <c r="Q24" s="691">
        <f>+landbouw!P8</f>
        <v>0</v>
      </c>
      <c r="R24" s="693">
        <f>SUM(C24:Q24)</f>
        <v>45021.693308878101</v>
      </c>
      <c r="S24" s="67"/>
    </row>
    <row r="25" spans="1:19" s="458" customFormat="1" ht="15" thickBot="1">
      <c r="A25" s="827" t="s">
        <v>872</v>
      </c>
      <c r="B25" s="1004"/>
      <c r="C25" s="1005">
        <f>IF(Onbekend_ele_kWh="---",0,Onbekend_ele_kWh)/1000+IF(REST_rest_ele_kWh="---",0,REST_rest_ele_kWh)/1000</f>
        <v>1142.3874512513401</v>
      </c>
      <c r="D25" s="1005"/>
      <c r="E25" s="1005">
        <f>IF(onbekend_gas_kWh="---",0,onbekend_gas_kWh)/1000+IF(REST_rest_gas_kWh="---",0,REST_rest_gas_kWh)/1000</f>
        <v>3208.6232241185899</v>
      </c>
      <c r="F25" s="1005"/>
      <c r="G25" s="1005"/>
      <c r="H25" s="1005"/>
      <c r="I25" s="1005"/>
      <c r="J25" s="1005"/>
      <c r="K25" s="1005"/>
      <c r="L25" s="1005"/>
      <c r="M25" s="1005"/>
      <c r="N25" s="1005"/>
      <c r="O25" s="1005"/>
      <c r="P25" s="1005"/>
      <c r="Q25" s="1006"/>
      <c r="R25" s="693">
        <f>SUM(C25:Q25)</f>
        <v>4351.0106753699301</v>
      </c>
      <c r="S25" s="67"/>
    </row>
    <row r="26" spans="1:19" s="458" customFormat="1" ht="15.75" thickBot="1">
      <c r="A26" s="698" t="s">
        <v>873</v>
      </c>
      <c r="B26" s="813"/>
      <c r="C26" s="808">
        <f>SUM(C24:C25)</f>
        <v>10813.312275744251</v>
      </c>
      <c r="D26" s="808">
        <f t="shared" ref="D26:R26" si="2">SUM(D24:D25)</f>
        <v>0</v>
      </c>
      <c r="E26" s="808">
        <f t="shared" si="2"/>
        <v>3616.0150826885579</v>
      </c>
      <c r="F26" s="808">
        <f t="shared" si="2"/>
        <v>121.86611147289148</v>
      </c>
      <c r="G26" s="808">
        <f t="shared" si="2"/>
        <v>33367.113355932022</v>
      </c>
      <c r="H26" s="808">
        <f t="shared" si="2"/>
        <v>0</v>
      </c>
      <c r="I26" s="808">
        <f t="shared" si="2"/>
        <v>0</v>
      </c>
      <c r="J26" s="808">
        <f t="shared" si="2"/>
        <v>0</v>
      </c>
      <c r="K26" s="808">
        <f t="shared" si="2"/>
        <v>1454.3971584103028</v>
      </c>
      <c r="L26" s="808">
        <f t="shared" si="2"/>
        <v>0</v>
      </c>
      <c r="M26" s="808">
        <f t="shared" si="2"/>
        <v>0</v>
      </c>
      <c r="N26" s="808">
        <f t="shared" si="2"/>
        <v>0</v>
      </c>
      <c r="O26" s="808">
        <f t="shared" si="2"/>
        <v>0</v>
      </c>
      <c r="P26" s="808">
        <f t="shared" si="2"/>
        <v>0</v>
      </c>
      <c r="Q26" s="808">
        <f t="shared" si="2"/>
        <v>0</v>
      </c>
      <c r="R26" s="808">
        <f t="shared" si="2"/>
        <v>49372.70398424803</v>
      </c>
      <c r="S26" s="67"/>
    </row>
    <row r="27" spans="1:19" s="458" customFormat="1" ht="17.25" thickTop="1" thickBot="1">
      <c r="A27" s="699" t="s">
        <v>116</v>
      </c>
      <c r="B27" s="800"/>
      <c r="C27" s="700">
        <f ca="1">C22+C16+C26</f>
        <v>108228.46125030071</v>
      </c>
      <c r="D27" s="700">
        <f t="shared" ref="D27:R27" ca="1" si="3">D22+D16+D26</f>
        <v>1607.1428571428571</v>
      </c>
      <c r="E27" s="700">
        <f t="shared" ca="1" si="3"/>
        <v>177341.75891201952</v>
      </c>
      <c r="F27" s="700">
        <f t="shared" si="3"/>
        <v>14787.854573239996</v>
      </c>
      <c r="G27" s="700">
        <f t="shared" ca="1" si="3"/>
        <v>72737.243637444219</v>
      </c>
      <c r="H27" s="700">
        <f t="shared" si="3"/>
        <v>64339.255228268034</v>
      </c>
      <c r="I27" s="700">
        <f t="shared" si="3"/>
        <v>10642.218960303833</v>
      </c>
      <c r="J27" s="700">
        <f t="shared" si="3"/>
        <v>0</v>
      </c>
      <c r="K27" s="700">
        <f t="shared" si="3"/>
        <v>17864.134392072876</v>
      </c>
      <c r="L27" s="700">
        <f t="shared" si="3"/>
        <v>0</v>
      </c>
      <c r="M27" s="700">
        <f t="shared" ca="1" si="3"/>
        <v>0</v>
      </c>
      <c r="N27" s="700">
        <f t="shared" si="3"/>
        <v>3388.7103080432012</v>
      </c>
      <c r="O27" s="700">
        <f t="shared" ca="1" si="3"/>
        <v>43014.354744389508</v>
      </c>
      <c r="P27" s="700">
        <f t="shared" si="3"/>
        <v>331.42666666666668</v>
      </c>
      <c r="Q27" s="700">
        <f t="shared" si="3"/>
        <v>457.59999999999997</v>
      </c>
      <c r="R27" s="700">
        <f t="shared" ca="1" si="3"/>
        <v>514740.16152989137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4029.5539915447907</v>
      </c>
      <c r="D40" s="690">
        <f ca="1">tertiair!C20</f>
        <v>0</v>
      </c>
      <c r="E40" s="690">
        <f ca="1">tertiair!D20</f>
        <v>6170.5288741850081</v>
      </c>
      <c r="F40" s="690">
        <f>tertiair!E20</f>
        <v>80.478981430978777</v>
      </c>
      <c r="G40" s="690">
        <f ca="1">tertiair!F20</f>
        <v>1112.7754629104595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11393.337310071238</v>
      </c>
    </row>
    <row r="41" spans="1:18">
      <c r="A41" s="818" t="s">
        <v>225</v>
      </c>
      <c r="B41" s="825"/>
      <c r="C41" s="690">
        <f ca="1">huishoudens!B12</f>
        <v>5936.4956342200103</v>
      </c>
      <c r="D41" s="690">
        <f ca="1">huishoudens!C12</f>
        <v>0</v>
      </c>
      <c r="E41" s="690">
        <f>huishoudens!D12</f>
        <v>15706.687212912817</v>
      </c>
      <c r="F41" s="690">
        <f>huishoudens!E12</f>
        <v>2309.0818785442416</v>
      </c>
      <c r="G41" s="690">
        <f>huishoudens!F12</f>
        <v>5622.0546356813502</v>
      </c>
      <c r="H41" s="690">
        <f>huishoudens!G12</f>
        <v>0</v>
      </c>
      <c r="I41" s="690">
        <f>huishoudens!H12</f>
        <v>0</v>
      </c>
      <c r="J41" s="690">
        <f>huishoudens!I12</f>
        <v>0</v>
      </c>
      <c r="K41" s="690">
        <f>huishoudens!J12</f>
        <v>5779.4457070440503</v>
      </c>
      <c r="L41" s="690">
        <f>huishoudens!K12</f>
        <v>0</v>
      </c>
      <c r="M41" s="690">
        <f>huishoudens!L12</f>
        <v>0</v>
      </c>
      <c r="N41" s="690">
        <f>huishoudens!M12</f>
        <v>0</v>
      </c>
      <c r="O41" s="690">
        <f>huishoudens!N12</f>
        <v>0</v>
      </c>
      <c r="P41" s="690">
        <f>huishoudens!O12</f>
        <v>0</v>
      </c>
      <c r="Q41" s="767">
        <f>huishoudens!P12</f>
        <v>0</v>
      </c>
      <c r="R41" s="846">
        <f t="shared" ca="1" si="4"/>
        <v>35353.76506840247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7959.654122924323</v>
      </c>
      <c r="D43" s="690">
        <f ca="1">industrie!C22</f>
        <v>0</v>
      </c>
      <c r="E43" s="690">
        <f>industrie!D22</f>
        <v>13213.943160431829</v>
      </c>
      <c r="F43" s="690">
        <f>industrie!E22</f>
        <v>890.4212896234078</v>
      </c>
      <c r="G43" s="690">
        <f>industrie!F22</f>
        <v>3776.9946865719476</v>
      </c>
      <c r="H43" s="690">
        <f>industrie!G22</f>
        <v>0</v>
      </c>
      <c r="I43" s="690">
        <f>industrie!H22</f>
        <v>0</v>
      </c>
      <c r="J43" s="690">
        <f>industrie!I22</f>
        <v>0</v>
      </c>
      <c r="K43" s="690">
        <f>industrie!J22</f>
        <v>29.601273672501375</v>
      </c>
      <c r="L43" s="690">
        <f>industrie!K22</f>
        <v>0</v>
      </c>
      <c r="M43" s="690">
        <f>industrie!L22</f>
        <v>0</v>
      </c>
      <c r="N43" s="690">
        <f>industrie!M22</f>
        <v>0</v>
      </c>
      <c r="O43" s="690">
        <f>industrie!N22</f>
        <v>0</v>
      </c>
      <c r="P43" s="690">
        <f>industrie!O22</f>
        <v>0</v>
      </c>
      <c r="Q43" s="767">
        <f>industrie!P22</f>
        <v>0</v>
      </c>
      <c r="R43" s="845">
        <f t="shared" ca="1" si="4"/>
        <v>25870.614533224012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17925.703748689124</v>
      </c>
      <c r="D46" s="725">
        <f t="shared" ref="D46:Q46" ca="1" si="5">SUM(D39:D45)</f>
        <v>0</v>
      </c>
      <c r="E46" s="725">
        <f t="shared" ca="1" si="5"/>
        <v>35091.159247529657</v>
      </c>
      <c r="F46" s="725">
        <f t="shared" si="5"/>
        <v>3279.982149598628</v>
      </c>
      <c r="G46" s="725">
        <f t="shared" ca="1" si="5"/>
        <v>10511.824785163757</v>
      </c>
      <c r="H46" s="725">
        <f t="shared" si="5"/>
        <v>0</v>
      </c>
      <c r="I46" s="725">
        <f t="shared" si="5"/>
        <v>0</v>
      </c>
      <c r="J46" s="725">
        <f t="shared" si="5"/>
        <v>0</v>
      </c>
      <c r="K46" s="725">
        <f t="shared" si="5"/>
        <v>5809.0469807165518</v>
      </c>
      <c r="L46" s="725">
        <f t="shared" si="5"/>
        <v>0</v>
      </c>
      <c r="M46" s="725">
        <f t="shared" ca="1" si="5"/>
        <v>0</v>
      </c>
      <c r="N46" s="725">
        <f t="shared" si="5"/>
        <v>0</v>
      </c>
      <c r="O46" s="725">
        <f t="shared" ca="1" si="5"/>
        <v>0</v>
      </c>
      <c r="P46" s="725">
        <f t="shared" si="5"/>
        <v>0</v>
      </c>
      <c r="Q46" s="725">
        <f t="shared" si="5"/>
        <v>0</v>
      </c>
      <c r="R46" s="725">
        <f ca="1">SUM(R39:R45)</f>
        <v>72617.716911697717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178.18634216938645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178.18634216938645</v>
      </c>
    </row>
    <row r="50" spans="1:18">
      <c r="A50" s="821" t="s">
        <v>307</v>
      </c>
      <c r="B50" s="831"/>
      <c r="C50" s="696">
        <f ca="1">transport!B18</f>
        <v>0.75868417668784494</v>
      </c>
      <c r="D50" s="696">
        <f>transport!C18</f>
        <v>0</v>
      </c>
      <c r="E50" s="696">
        <f>transport!D18</f>
        <v>1.4410059952029599</v>
      </c>
      <c r="F50" s="696">
        <f>transport!E18</f>
        <v>49.197231222504648</v>
      </c>
      <c r="G50" s="696">
        <f>transport!F18</f>
        <v>0</v>
      </c>
      <c r="H50" s="696">
        <f>transport!G18</f>
        <v>17000.394803778177</v>
      </c>
      <c r="I50" s="696">
        <f>transport!H18</f>
        <v>2649.9125211156543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19701.704246288227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0.75868417668784494</v>
      </c>
      <c r="D52" s="725">
        <f t="shared" ref="D52:Q52" ca="1" si="6">SUM(D48:D51)</f>
        <v>0</v>
      </c>
      <c r="E52" s="725">
        <f t="shared" si="6"/>
        <v>1.4410059952029599</v>
      </c>
      <c r="F52" s="725">
        <f t="shared" si="6"/>
        <v>49.197231222504648</v>
      </c>
      <c r="G52" s="725">
        <f t="shared" si="6"/>
        <v>0</v>
      </c>
      <c r="H52" s="725">
        <f t="shared" si="6"/>
        <v>17178.581145947563</v>
      </c>
      <c r="I52" s="725">
        <f t="shared" si="6"/>
        <v>2649.9125211156543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19879.890588457612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1779.6561662357292</v>
      </c>
      <c r="D54" s="696">
        <f ca="1">+landbouw!C12</f>
        <v>0</v>
      </c>
      <c r="E54" s="696">
        <f>+landbouw!D12</f>
        <v>82.293155431133542</v>
      </c>
      <c r="F54" s="696">
        <f>+landbouw!E12</f>
        <v>27.663607304346367</v>
      </c>
      <c r="G54" s="696">
        <f>+landbouw!F12</f>
        <v>8909.0192660338507</v>
      </c>
      <c r="H54" s="696">
        <f>+landbouw!G12</f>
        <v>0</v>
      </c>
      <c r="I54" s="696">
        <f>+landbouw!H12</f>
        <v>0</v>
      </c>
      <c r="J54" s="696">
        <f>+landbouw!I12</f>
        <v>0</v>
      </c>
      <c r="K54" s="696">
        <f>+landbouw!J12</f>
        <v>514.85659407724722</v>
      </c>
      <c r="L54" s="696">
        <f>+landbouw!K12</f>
        <v>0</v>
      </c>
      <c r="M54" s="696">
        <f>+landbouw!L12</f>
        <v>0</v>
      </c>
      <c r="N54" s="696">
        <f>+landbouw!M12</f>
        <v>0</v>
      </c>
      <c r="O54" s="696">
        <f>+landbouw!N12</f>
        <v>0</v>
      </c>
      <c r="P54" s="696">
        <f>+landbouw!O12</f>
        <v>0</v>
      </c>
      <c r="Q54" s="697">
        <f>+landbouw!P12</f>
        <v>0</v>
      </c>
      <c r="R54" s="724">
        <f ca="1">SUM(C54:Q54)</f>
        <v>11313.488789082308</v>
      </c>
    </row>
    <row r="55" spans="1:18" ht="15" thickBot="1">
      <c r="A55" s="821" t="s">
        <v>872</v>
      </c>
      <c r="B55" s="831"/>
      <c r="C55" s="696">
        <f ca="1">C25*'EF ele_warmte'!B12</f>
        <v>210.22362480791674</v>
      </c>
      <c r="D55" s="696"/>
      <c r="E55" s="696">
        <f>E25*EF_CO2_aardgas</f>
        <v>648.14189127195516</v>
      </c>
      <c r="F55" s="696"/>
      <c r="G55" s="696"/>
      <c r="H55" s="696"/>
      <c r="I55" s="696"/>
      <c r="J55" s="696"/>
      <c r="K55" s="696"/>
      <c r="L55" s="696"/>
      <c r="M55" s="696"/>
      <c r="N55" s="696"/>
      <c r="O55" s="696"/>
      <c r="P55" s="696"/>
      <c r="Q55" s="697"/>
      <c r="R55" s="724">
        <f ca="1">SUM(C55:Q55)</f>
        <v>858.3655160798719</v>
      </c>
    </row>
    <row r="56" spans="1:18" ht="15.75" thickBot="1">
      <c r="A56" s="819" t="s">
        <v>873</v>
      </c>
      <c r="B56" s="832"/>
      <c r="C56" s="725">
        <f ca="1">SUM(C54:C55)</f>
        <v>1989.879791043646</v>
      </c>
      <c r="D56" s="725">
        <f t="shared" ref="D56:Q56" ca="1" si="7">SUM(D54:D55)</f>
        <v>0</v>
      </c>
      <c r="E56" s="725">
        <f t="shared" si="7"/>
        <v>730.43504670308869</v>
      </c>
      <c r="F56" s="725">
        <f t="shared" si="7"/>
        <v>27.663607304346367</v>
      </c>
      <c r="G56" s="725">
        <f t="shared" si="7"/>
        <v>8909.0192660338507</v>
      </c>
      <c r="H56" s="725">
        <f t="shared" si="7"/>
        <v>0</v>
      </c>
      <c r="I56" s="725">
        <f t="shared" si="7"/>
        <v>0</v>
      </c>
      <c r="J56" s="725">
        <f t="shared" si="7"/>
        <v>0</v>
      </c>
      <c r="K56" s="725">
        <f t="shared" si="7"/>
        <v>514.85659407724722</v>
      </c>
      <c r="L56" s="725">
        <f t="shared" si="7"/>
        <v>0</v>
      </c>
      <c r="M56" s="725">
        <f t="shared" si="7"/>
        <v>0</v>
      </c>
      <c r="N56" s="725">
        <f t="shared" si="7"/>
        <v>0</v>
      </c>
      <c r="O56" s="725">
        <f t="shared" si="7"/>
        <v>0</v>
      </c>
      <c r="P56" s="725">
        <f t="shared" si="7"/>
        <v>0</v>
      </c>
      <c r="Q56" s="726">
        <f t="shared" si="7"/>
        <v>0</v>
      </c>
      <c r="R56" s="727">
        <f ca="1">SUM(R54:R55)</f>
        <v>12171.85430516218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19916.342223909458</v>
      </c>
      <c r="D61" s="733">
        <f t="shared" ref="D61:Q61" ca="1" si="8">D46+D52+D56</f>
        <v>0</v>
      </c>
      <c r="E61" s="733">
        <f t="shared" ca="1" si="8"/>
        <v>35823.035300227952</v>
      </c>
      <c r="F61" s="733">
        <f t="shared" si="8"/>
        <v>3356.8429881254792</v>
      </c>
      <c r="G61" s="733">
        <f t="shared" ca="1" si="8"/>
        <v>19420.844051197608</v>
      </c>
      <c r="H61" s="733">
        <f t="shared" si="8"/>
        <v>17178.581145947563</v>
      </c>
      <c r="I61" s="733">
        <f t="shared" si="8"/>
        <v>2649.9125211156543</v>
      </c>
      <c r="J61" s="733">
        <f t="shared" si="8"/>
        <v>0</v>
      </c>
      <c r="K61" s="733">
        <f t="shared" si="8"/>
        <v>6323.9035747937987</v>
      </c>
      <c r="L61" s="733">
        <f t="shared" si="8"/>
        <v>0</v>
      </c>
      <c r="M61" s="733">
        <f t="shared" ca="1" si="8"/>
        <v>0</v>
      </c>
      <c r="N61" s="733">
        <f t="shared" si="8"/>
        <v>0</v>
      </c>
      <c r="O61" s="733">
        <f t="shared" ca="1" si="8"/>
        <v>0</v>
      </c>
      <c r="P61" s="733">
        <f t="shared" si="8"/>
        <v>0</v>
      </c>
      <c r="Q61" s="733">
        <f t="shared" si="8"/>
        <v>0</v>
      </c>
      <c r="R61" s="733">
        <f ca="1">R46+R52+R56</f>
        <v>104669.46180531751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0.18402130080967147</v>
      </c>
      <c r="D63" s="776">
        <f t="shared" ca="1" si="9"/>
        <v>0</v>
      </c>
      <c r="E63" s="1011">
        <f t="shared" ca="1" si="9"/>
        <v>0.20200000000000004</v>
      </c>
      <c r="F63" s="776">
        <f t="shared" si="9"/>
        <v>0.22700000000000001</v>
      </c>
      <c r="G63" s="776">
        <f t="shared" ca="1" si="9"/>
        <v>0.26700000000000002</v>
      </c>
      <c r="H63" s="776">
        <f t="shared" si="9"/>
        <v>0.26699999999999996</v>
      </c>
      <c r="I63" s="776">
        <f t="shared" si="9"/>
        <v>0.24899999999999997</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7544.6336670000001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9439.6320000000014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1125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1323.5294117647061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18109.265667</v>
      </c>
      <c r="C78" s="748">
        <f>SUM(C72:C77)</f>
        <v>0</v>
      </c>
      <c r="D78" s="749">
        <f t="shared" ref="D78:H78" si="10">SUM(D76:D77)</f>
        <v>0</v>
      </c>
      <c r="E78" s="749">
        <f t="shared" si="10"/>
        <v>0</v>
      </c>
      <c r="F78" s="749">
        <f t="shared" si="10"/>
        <v>0</v>
      </c>
      <c r="G78" s="749">
        <f t="shared" si="10"/>
        <v>0</v>
      </c>
      <c r="H78" s="749">
        <f t="shared" si="10"/>
        <v>0</v>
      </c>
      <c r="I78" s="749">
        <f>SUM(I76:I77)</f>
        <v>0</v>
      </c>
      <c r="J78" s="749">
        <f>SUM(J76:J77)</f>
        <v>1323.5294117647061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1607.1428571428571</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1890.7563025210086</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1607.1428571428571</v>
      </c>
      <c r="C90" s="748">
        <f>SUM(C87:C89)</f>
        <v>0</v>
      </c>
      <c r="D90" s="748">
        <f t="shared" ref="D90:H90" si="12">SUM(D87:D89)</f>
        <v>0</v>
      </c>
      <c r="E90" s="748">
        <f t="shared" si="12"/>
        <v>0</v>
      </c>
      <c r="F90" s="748">
        <f t="shared" si="12"/>
        <v>0</v>
      </c>
      <c r="G90" s="748">
        <f t="shared" si="12"/>
        <v>0</v>
      </c>
      <c r="H90" s="748">
        <f t="shared" si="12"/>
        <v>0</v>
      </c>
      <c r="I90" s="748">
        <f>SUM(I87:I89)</f>
        <v>0</v>
      </c>
      <c r="J90" s="748">
        <f>SUM(J87:J89)</f>
        <v>1890.7563025210086</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7544.6336670000001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9439.6320000000014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1125</v>
      </c>
      <c r="C8" s="560">
        <f>B101</f>
        <v>0</v>
      </c>
      <c r="D8" s="1028"/>
      <c r="E8" s="1028">
        <f>E101</f>
        <v>0</v>
      </c>
      <c r="F8" s="1029"/>
      <c r="G8" s="561"/>
      <c r="H8" s="1028">
        <f>I101</f>
        <v>0</v>
      </c>
      <c r="I8" s="1028">
        <f>G101+F101</f>
        <v>0</v>
      </c>
      <c r="J8" s="1028">
        <f>H101+D101+C101</f>
        <v>1323.5294117647061</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18109.265667</v>
      </c>
      <c r="C10" s="573">
        <f t="shared" ref="C10:L10" si="0">SUM(C8:C9)</f>
        <v>0</v>
      </c>
      <c r="D10" s="573">
        <f t="shared" si="0"/>
        <v>0</v>
      </c>
      <c r="E10" s="573">
        <f t="shared" si="0"/>
        <v>0</v>
      </c>
      <c r="F10" s="573">
        <f t="shared" si="0"/>
        <v>0</v>
      </c>
      <c r="G10" s="573">
        <f t="shared" si="0"/>
        <v>0</v>
      </c>
      <c r="H10" s="573">
        <f t="shared" si="0"/>
        <v>0</v>
      </c>
      <c r="I10" s="573">
        <f t="shared" si="0"/>
        <v>0</v>
      </c>
      <c r="J10" s="573">
        <f t="shared" si="0"/>
        <v>1323.5294117647061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1607.1428571428571</v>
      </c>
      <c r="C17" s="585">
        <f>B102</f>
        <v>0</v>
      </c>
      <c r="D17" s="586"/>
      <c r="E17" s="586">
        <f>E102</f>
        <v>0</v>
      </c>
      <c r="F17" s="1034"/>
      <c r="G17" s="587"/>
      <c r="H17" s="585">
        <f>I102</f>
        <v>0</v>
      </c>
      <c r="I17" s="586">
        <f>G102+F102</f>
        <v>0</v>
      </c>
      <c r="J17" s="586">
        <f>H102+D102+C102</f>
        <v>1890.7563025210086</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1607.1428571428571</v>
      </c>
      <c r="C20" s="572">
        <f>SUM(C17:C19)</f>
        <v>0</v>
      </c>
      <c r="D20" s="572">
        <f t="shared" ref="D20:L20" si="1">SUM(D17:D19)</f>
        <v>0</v>
      </c>
      <c r="E20" s="572">
        <f t="shared" si="1"/>
        <v>0</v>
      </c>
      <c r="F20" s="572">
        <f t="shared" si="1"/>
        <v>0</v>
      </c>
      <c r="G20" s="572">
        <f t="shared" si="1"/>
        <v>0</v>
      </c>
      <c r="H20" s="572">
        <f t="shared" si="1"/>
        <v>0</v>
      </c>
      <c r="I20" s="572">
        <f t="shared" si="1"/>
        <v>0</v>
      </c>
      <c r="J20" s="572">
        <f t="shared" si="1"/>
        <v>1890.7563025210086</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33021</v>
      </c>
      <c r="C28" s="791">
        <v>8972</v>
      </c>
      <c r="D28" s="644" t="s">
        <v>910</v>
      </c>
      <c r="E28" s="643" t="s">
        <v>911</v>
      </c>
      <c r="F28" s="643" t="s">
        <v>912</v>
      </c>
      <c r="G28" s="643" t="s">
        <v>913</v>
      </c>
      <c r="H28" s="643" t="s">
        <v>914</v>
      </c>
      <c r="I28" s="643" t="s">
        <v>911</v>
      </c>
      <c r="J28" s="790">
        <v>40996</v>
      </c>
      <c r="K28" s="790">
        <v>40996</v>
      </c>
      <c r="L28" s="643" t="s">
        <v>915</v>
      </c>
      <c r="M28" s="643">
        <v>250</v>
      </c>
      <c r="N28" s="643">
        <v>1125</v>
      </c>
      <c r="O28" s="643">
        <v>1607.1428571428571</v>
      </c>
      <c r="P28" s="643">
        <v>0</v>
      </c>
      <c r="Q28" s="643">
        <v>3214.2857142857147</v>
      </c>
      <c r="R28" s="643">
        <v>0</v>
      </c>
      <c r="S28" s="643">
        <v>0</v>
      </c>
      <c r="T28" s="643">
        <v>0</v>
      </c>
      <c r="U28" s="643">
        <v>0</v>
      </c>
      <c r="V28" s="643">
        <v>0</v>
      </c>
      <c r="W28" s="643">
        <v>0</v>
      </c>
      <c r="X28" s="643">
        <v>500</v>
      </c>
      <c r="Y28" s="643" t="s">
        <v>41</v>
      </c>
      <c r="Z28" s="645" t="s">
        <v>390</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250</v>
      </c>
      <c r="N58" s="601">
        <f>SUM(N28:N57)</f>
        <v>1125</v>
      </c>
      <c r="O58" s="601">
        <f t="shared" ref="O58:W58" si="2">SUM(O28:O57)</f>
        <v>1607.1428571428571</v>
      </c>
      <c r="P58" s="601">
        <f t="shared" si="2"/>
        <v>0</v>
      </c>
      <c r="Q58" s="601">
        <f t="shared" si="2"/>
        <v>3214.2857142857147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250</v>
      </c>
      <c r="N59" s="601">
        <f t="shared" si="3"/>
        <v>1125</v>
      </c>
      <c r="O59" s="601">
        <f t="shared" si="3"/>
        <v>1607.1428571428571</v>
      </c>
      <c r="P59" s="601">
        <f t="shared" si="3"/>
        <v>0</v>
      </c>
      <c r="Q59" s="601">
        <f t="shared" si="3"/>
        <v>3214.2857142857147</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1323.5294117647061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1890.7563025210086</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32259.828661682899</v>
      </c>
      <c r="C4" s="462">
        <f>huishoudens!C8</f>
        <v>0</v>
      </c>
      <c r="D4" s="462">
        <f>huishoudens!D8</f>
        <v>77755.877291647601</v>
      </c>
      <c r="E4" s="462">
        <f>huishoudens!E8</f>
        <v>10172.166865833662</v>
      </c>
      <c r="F4" s="462">
        <f>huishoudens!F8</f>
        <v>21056.384403300937</v>
      </c>
      <c r="G4" s="462">
        <f>huishoudens!G8</f>
        <v>0</v>
      </c>
      <c r="H4" s="462">
        <f>huishoudens!H8</f>
        <v>0</v>
      </c>
      <c r="I4" s="462">
        <f>huishoudens!I8</f>
        <v>0</v>
      </c>
      <c r="J4" s="462">
        <f>huishoudens!J8</f>
        <v>16326.117816508617</v>
      </c>
      <c r="K4" s="462">
        <f>huishoudens!K8</f>
        <v>0</v>
      </c>
      <c r="L4" s="462">
        <f>huishoudens!L8</f>
        <v>0</v>
      </c>
      <c r="M4" s="462">
        <f>huishoudens!M8</f>
        <v>0</v>
      </c>
      <c r="N4" s="462">
        <f>huishoudens!N8</f>
        <v>35562.134839646002</v>
      </c>
      <c r="O4" s="462">
        <f>huishoudens!O8</f>
        <v>329.86333333333334</v>
      </c>
      <c r="P4" s="463">
        <f>huishoudens!P8</f>
        <v>400.4</v>
      </c>
      <c r="Q4" s="464">
        <f>SUM(B4:P4)</f>
        <v>193862.77321195303</v>
      </c>
    </row>
    <row r="5" spans="1:17">
      <c r="A5" s="461" t="s">
        <v>156</v>
      </c>
      <c r="B5" s="462">
        <f ca="1">tertiair!B16</f>
        <v>20383.262017040095</v>
      </c>
      <c r="C5" s="462">
        <f ca="1">tertiair!C16</f>
        <v>0</v>
      </c>
      <c r="D5" s="462">
        <f ca="1">tertiair!D16</f>
        <v>30547.172644480237</v>
      </c>
      <c r="E5" s="462">
        <f>tertiair!E16</f>
        <v>354.53295784572146</v>
      </c>
      <c r="F5" s="462">
        <f ca="1">tertiair!F16</f>
        <v>4167.698362960522</v>
      </c>
      <c r="G5" s="462">
        <f>tertiair!G16</f>
        <v>0</v>
      </c>
      <c r="H5" s="462">
        <f>tertiair!H16</f>
        <v>0</v>
      </c>
      <c r="I5" s="462">
        <f>tertiair!I16</f>
        <v>0</v>
      </c>
      <c r="J5" s="462">
        <f>tertiair!J16</f>
        <v>0</v>
      </c>
      <c r="K5" s="462">
        <f>tertiair!K16</f>
        <v>0</v>
      </c>
      <c r="L5" s="462">
        <f ca="1">tertiair!L16</f>
        <v>0</v>
      </c>
      <c r="M5" s="462">
        <f>tertiair!M16</f>
        <v>0</v>
      </c>
      <c r="N5" s="462">
        <f ca="1">tertiair!N16</f>
        <v>1318.053734174573</v>
      </c>
      <c r="O5" s="462">
        <f>tertiair!O16</f>
        <v>1.5633333333333335</v>
      </c>
      <c r="P5" s="463">
        <f>tertiair!P16</f>
        <v>57.2</v>
      </c>
      <c r="Q5" s="461">
        <f t="shared" ref="Q5:Q14" ca="1" si="0">SUM(B5:P5)</f>
        <v>56829.483049834482</v>
      </c>
    </row>
    <row r="6" spans="1:17">
      <c r="A6" s="461" t="s">
        <v>194</v>
      </c>
      <c r="B6" s="462">
        <f>'openbare verlichting'!B8</f>
        <v>1513.953</v>
      </c>
      <c r="C6" s="462"/>
      <c r="D6" s="462"/>
      <c r="E6" s="462"/>
      <c r="F6" s="462"/>
      <c r="G6" s="462"/>
      <c r="H6" s="462"/>
      <c r="I6" s="462"/>
      <c r="J6" s="462"/>
      <c r="K6" s="462"/>
      <c r="L6" s="462"/>
      <c r="M6" s="462"/>
      <c r="N6" s="462"/>
      <c r="O6" s="462"/>
      <c r="P6" s="463"/>
      <c r="Q6" s="461">
        <f t="shared" si="0"/>
        <v>1513.953</v>
      </c>
    </row>
    <row r="7" spans="1:17">
      <c r="A7" s="461" t="s">
        <v>112</v>
      </c>
      <c r="B7" s="462">
        <f>landbouw!B8</f>
        <v>9670.9248244929113</v>
      </c>
      <c r="C7" s="462">
        <f>landbouw!C8</f>
        <v>0</v>
      </c>
      <c r="D7" s="462">
        <f>landbouw!D8</f>
        <v>407.39185856996801</v>
      </c>
      <c r="E7" s="462">
        <f>landbouw!E8</f>
        <v>121.86611147289148</v>
      </c>
      <c r="F7" s="462">
        <f>landbouw!F8</f>
        <v>33367.113355932022</v>
      </c>
      <c r="G7" s="462">
        <f>landbouw!G8</f>
        <v>0</v>
      </c>
      <c r="H7" s="462">
        <f>landbouw!H8</f>
        <v>0</v>
      </c>
      <c r="I7" s="462">
        <f>landbouw!I8</f>
        <v>0</v>
      </c>
      <c r="J7" s="462">
        <f>landbouw!J8</f>
        <v>1454.3971584103028</v>
      </c>
      <c r="K7" s="462">
        <f>landbouw!K8</f>
        <v>0</v>
      </c>
      <c r="L7" s="462">
        <f>landbouw!L8</f>
        <v>0</v>
      </c>
      <c r="M7" s="462">
        <f>landbouw!M8</f>
        <v>0</v>
      </c>
      <c r="N7" s="462">
        <f>landbouw!N8</f>
        <v>0</v>
      </c>
      <c r="O7" s="462">
        <f>landbouw!O8</f>
        <v>0</v>
      </c>
      <c r="P7" s="463">
        <f>landbouw!P8</f>
        <v>0</v>
      </c>
      <c r="Q7" s="461">
        <f t="shared" si="0"/>
        <v>45021.693308878101</v>
      </c>
    </row>
    <row r="8" spans="1:17">
      <c r="A8" s="461" t="s">
        <v>657</v>
      </c>
      <c r="B8" s="462">
        <f>industrie!B18</f>
        <v>43253.982489542286</v>
      </c>
      <c r="C8" s="462">
        <f>industrie!C18</f>
        <v>1607.1428571428571</v>
      </c>
      <c r="D8" s="462">
        <f>industrie!D18</f>
        <v>65415.560200157561</v>
      </c>
      <c r="E8" s="462">
        <f>industrie!E18</f>
        <v>3922.5607472396819</v>
      </c>
      <c r="F8" s="462">
        <f>industrie!F18</f>
        <v>14146.047515250739</v>
      </c>
      <c r="G8" s="462">
        <f>industrie!G18</f>
        <v>0</v>
      </c>
      <c r="H8" s="462">
        <f>industrie!H18</f>
        <v>0</v>
      </c>
      <c r="I8" s="462">
        <f>industrie!I18</f>
        <v>0</v>
      </c>
      <c r="J8" s="462">
        <f>industrie!J18</f>
        <v>83.619417153958693</v>
      </c>
      <c r="K8" s="462">
        <f>industrie!K18</f>
        <v>0</v>
      </c>
      <c r="L8" s="462">
        <f>industrie!L18</f>
        <v>0</v>
      </c>
      <c r="M8" s="462">
        <f>industrie!M18</f>
        <v>0</v>
      </c>
      <c r="N8" s="462">
        <f>industrie!N18</f>
        <v>6134.1661705689357</v>
      </c>
      <c r="O8" s="462">
        <f>industrie!O18</f>
        <v>0</v>
      </c>
      <c r="P8" s="463">
        <f>industrie!P18</f>
        <v>0</v>
      </c>
      <c r="Q8" s="461">
        <f t="shared" si="0"/>
        <v>134563.07939705602</v>
      </c>
    </row>
    <row r="9" spans="1:17" s="467" customFormat="1">
      <c r="A9" s="465" t="s">
        <v>574</v>
      </c>
      <c r="B9" s="466">
        <f>transport!B14</f>
        <v>4.1228062911724148</v>
      </c>
      <c r="C9" s="466">
        <f>transport!C14</f>
        <v>0</v>
      </c>
      <c r="D9" s="466">
        <f>transport!D14</f>
        <v>7.1336930455592071</v>
      </c>
      <c r="E9" s="466">
        <f>transport!E14</f>
        <v>216.7278908480381</v>
      </c>
      <c r="F9" s="466">
        <f>transport!F14</f>
        <v>0</v>
      </c>
      <c r="G9" s="466">
        <f>transport!G14</f>
        <v>63671.890650854599</v>
      </c>
      <c r="H9" s="466">
        <f>transport!H14</f>
        <v>10642.218960303833</v>
      </c>
      <c r="I9" s="466">
        <f>transport!I14</f>
        <v>0</v>
      </c>
      <c r="J9" s="466">
        <f>transport!J14</f>
        <v>0</v>
      </c>
      <c r="K9" s="466">
        <f>transport!K14</f>
        <v>0</v>
      </c>
      <c r="L9" s="466">
        <f>transport!L14</f>
        <v>0</v>
      </c>
      <c r="M9" s="466">
        <f>transport!M14</f>
        <v>3359.0309729676756</v>
      </c>
      <c r="N9" s="466">
        <f>transport!N14</f>
        <v>0</v>
      </c>
      <c r="O9" s="466">
        <f>transport!O14</f>
        <v>0</v>
      </c>
      <c r="P9" s="466">
        <f>transport!P14</f>
        <v>0</v>
      </c>
      <c r="Q9" s="465">
        <f>SUM(B9:P9)</f>
        <v>77901.124974310878</v>
      </c>
    </row>
    <row r="10" spans="1:17">
      <c r="A10" s="461" t="s">
        <v>564</v>
      </c>
      <c r="B10" s="462">
        <f>transport!B54</f>
        <v>0</v>
      </c>
      <c r="C10" s="462">
        <f>transport!C54</f>
        <v>0</v>
      </c>
      <c r="D10" s="462">
        <f>transport!D54</f>
        <v>0</v>
      </c>
      <c r="E10" s="462">
        <f>transport!E54</f>
        <v>0</v>
      </c>
      <c r="F10" s="462">
        <f>transport!F54</f>
        <v>0</v>
      </c>
      <c r="G10" s="462">
        <f>transport!G54</f>
        <v>667.36457741343236</v>
      </c>
      <c r="H10" s="462">
        <f>transport!H54</f>
        <v>0</v>
      </c>
      <c r="I10" s="462">
        <f>transport!I54</f>
        <v>0</v>
      </c>
      <c r="J10" s="462">
        <f>transport!J54</f>
        <v>0</v>
      </c>
      <c r="K10" s="462">
        <f>transport!K54</f>
        <v>0</v>
      </c>
      <c r="L10" s="462">
        <f>transport!L54</f>
        <v>0</v>
      </c>
      <c r="M10" s="462">
        <f>transport!M54</f>
        <v>29.679335075525589</v>
      </c>
      <c r="N10" s="462">
        <f>transport!N54</f>
        <v>0</v>
      </c>
      <c r="O10" s="462">
        <f>transport!O54</f>
        <v>0</v>
      </c>
      <c r="P10" s="463">
        <f>transport!P54</f>
        <v>0</v>
      </c>
      <c r="Q10" s="461">
        <f t="shared" si="0"/>
        <v>697.04391248895797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1142.3874512513401</v>
      </c>
      <c r="C14" s="469"/>
      <c r="D14" s="469">
        <f>'SEAP template'!E25</f>
        <v>3208.6232241185899</v>
      </c>
      <c r="E14" s="469"/>
      <c r="F14" s="469"/>
      <c r="G14" s="469"/>
      <c r="H14" s="469"/>
      <c r="I14" s="469"/>
      <c r="J14" s="469"/>
      <c r="K14" s="469"/>
      <c r="L14" s="469"/>
      <c r="M14" s="469"/>
      <c r="N14" s="469"/>
      <c r="O14" s="469"/>
      <c r="P14" s="470"/>
      <c r="Q14" s="461">
        <f t="shared" si="0"/>
        <v>4351.0106753699301</v>
      </c>
    </row>
    <row r="15" spans="1:17" s="474" customFormat="1">
      <c r="A15" s="471" t="s">
        <v>568</v>
      </c>
      <c r="B15" s="472">
        <f ca="1">SUM(B4:B14)</f>
        <v>108228.46125030069</v>
      </c>
      <c r="C15" s="472">
        <f t="shared" ref="C15:Q15" ca="1" si="1">SUM(C4:C14)</f>
        <v>1607.1428571428571</v>
      </c>
      <c r="D15" s="472">
        <f t="shared" ca="1" si="1"/>
        <v>177341.75891201949</v>
      </c>
      <c r="E15" s="472">
        <f t="shared" si="1"/>
        <v>14787.854573239996</v>
      </c>
      <c r="F15" s="472">
        <f t="shared" ca="1" si="1"/>
        <v>72737.243637444219</v>
      </c>
      <c r="G15" s="472">
        <f t="shared" si="1"/>
        <v>64339.255228268034</v>
      </c>
      <c r="H15" s="472">
        <f t="shared" si="1"/>
        <v>10642.218960303833</v>
      </c>
      <c r="I15" s="472">
        <f t="shared" si="1"/>
        <v>0</v>
      </c>
      <c r="J15" s="472">
        <f t="shared" si="1"/>
        <v>17864.134392072876</v>
      </c>
      <c r="K15" s="472">
        <f t="shared" si="1"/>
        <v>0</v>
      </c>
      <c r="L15" s="472">
        <f t="shared" ca="1" si="1"/>
        <v>0</v>
      </c>
      <c r="M15" s="472">
        <f t="shared" si="1"/>
        <v>3388.7103080432012</v>
      </c>
      <c r="N15" s="472">
        <f t="shared" ca="1" si="1"/>
        <v>43014.354744389508</v>
      </c>
      <c r="O15" s="472">
        <f t="shared" si="1"/>
        <v>331.42666666666668</v>
      </c>
      <c r="P15" s="472">
        <f t="shared" si="1"/>
        <v>457.59999999999997</v>
      </c>
      <c r="Q15" s="472">
        <f t="shared" ca="1" si="1"/>
        <v>514740.16152989137</v>
      </c>
    </row>
    <row r="17" spans="1:17">
      <c r="A17" s="475" t="s">
        <v>569</v>
      </c>
      <c r="B17" s="781">
        <f ca="1">huishoudens!B10</f>
        <v>0.18402130080967147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5936.4956342200103</v>
      </c>
      <c r="C22" s="462">
        <f t="shared" ref="C22:C32" ca="1" si="3">C4*$C$17</f>
        <v>0</v>
      </c>
      <c r="D22" s="462">
        <f t="shared" ref="D22:D32" si="4">D4*$D$17</f>
        <v>15706.687212912817</v>
      </c>
      <c r="E22" s="462">
        <f t="shared" ref="E22:E32" si="5">E4*$E$17</f>
        <v>2309.0818785442416</v>
      </c>
      <c r="F22" s="462">
        <f t="shared" ref="F22:F32" si="6">F4*$F$17</f>
        <v>5622.0546356813502</v>
      </c>
      <c r="G22" s="462">
        <f t="shared" ref="G22:G32" si="7">G4*$G$17</f>
        <v>0</v>
      </c>
      <c r="H22" s="462">
        <f t="shared" ref="H22:H32" si="8">H4*$H$17</f>
        <v>0</v>
      </c>
      <c r="I22" s="462">
        <f t="shared" ref="I22:I32" si="9">I4*$I$17</f>
        <v>0</v>
      </c>
      <c r="J22" s="462">
        <f t="shared" ref="J22:J32" si="10">J4*$J$17</f>
        <v>5779.4457070440503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35353.76506840247</v>
      </c>
    </row>
    <row r="23" spans="1:17">
      <c r="A23" s="461" t="s">
        <v>156</v>
      </c>
      <c r="B23" s="462">
        <f t="shared" ca="1" si="2"/>
        <v>3750.9543911200863</v>
      </c>
      <c r="C23" s="462">
        <f t="shared" ca="1" si="3"/>
        <v>0</v>
      </c>
      <c r="D23" s="462">
        <f t="shared" ca="1" si="4"/>
        <v>6170.5288741850081</v>
      </c>
      <c r="E23" s="462">
        <f t="shared" si="5"/>
        <v>80.478981430978777</v>
      </c>
      <c r="F23" s="462">
        <f t="shared" ca="1" si="6"/>
        <v>1112.7754629104595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11114.737709646533</v>
      </c>
    </row>
    <row r="24" spans="1:17">
      <c r="A24" s="461" t="s">
        <v>194</v>
      </c>
      <c r="B24" s="462">
        <f t="shared" ca="1" si="2"/>
        <v>278.59960042470453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278.59960042470453</v>
      </c>
    </row>
    <row r="25" spans="1:17">
      <c r="A25" s="461" t="s">
        <v>112</v>
      </c>
      <c r="B25" s="462">
        <f t="shared" ca="1" si="2"/>
        <v>1779.6561662357292</v>
      </c>
      <c r="C25" s="462">
        <f t="shared" ca="1" si="3"/>
        <v>0</v>
      </c>
      <c r="D25" s="462">
        <f t="shared" si="4"/>
        <v>82.293155431133542</v>
      </c>
      <c r="E25" s="462">
        <f t="shared" si="5"/>
        <v>27.663607304346367</v>
      </c>
      <c r="F25" s="462">
        <f t="shared" si="6"/>
        <v>8909.0192660338507</v>
      </c>
      <c r="G25" s="462">
        <f t="shared" si="7"/>
        <v>0</v>
      </c>
      <c r="H25" s="462">
        <f t="shared" si="8"/>
        <v>0</v>
      </c>
      <c r="I25" s="462">
        <f t="shared" si="9"/>
        <v>0</v>
      </c>
      <c r="J25" s="462">
        <f t="shared" si="10"/>
        <v>514.85659407724722</v>
      </c>
      <c r="K25" s="462">
        <f t="shared" si="11"/>
        <v>0</v>
      </c>
      <c r="L25" s="462">
        <f t="shared" si="12"/>
        <v>0</v>
      </c>
      <c r="M25" s="462">
        <f t="shared" si="13"/>
        <v>0</v>
      </c>
      <c r="N25" s="462">
        <f t="shared" si="14"/>
        <v>0</v>
      </c>
      <c r="O25" s="462">
        <f t="shared" si="15"/>
        <v>0</v>
      </c>
      <c r="P25" s="463">
        <f t="shared" si="16"/>
        <v>0</v>
      </c>
      <c r="Q25" s="461">
        <f t="shared" ca="1" si="17"/>
        <v>11313.488789082308</v>
      </c>
    </row>
    <row r="26" spans="1:17">
      <c r="A26" s="461" t="s">
        <v>657</v>
      </c>
      <c r="B26" s="462">
        <f t="shared" ca="1" si="2"/>
        <v>7959.654122924323</v>
      </c>
      <c r="C26" s="462">
        <f t="shared" ca="1" si="3"/>
        <v>0</v>
      </c>
      <c r="D26" s="462">
        <f t="shared" si="4"/>
        <v>13213.943160431829</v>
      </c>
      <c r="E26" s="462">
        <f t="shared" si="5"/>
        <v>890.4212896234078</v>
      </c>
      <c r="F26" s="462">
        <f t="shared" si="6"/>
        <v>3776.9946865719476</v>
      </c>
      <c r="G26" s="462">
        <f t="shared" si="7"/>
        <v>0</v>
      </c>
      <c r="H26" s="462">
        <f t="shared" si="8"/>
        <v>0</v>
      </c>
      <c r="I26" s="462">
        <f t="shared" si="9"/>
        <v>0</v>
      </c>
      <c r="J26" s="462">
        <f t="shared" si="10"/>
        <v>29.601273672501375</v>
      </c>
      <c r="K26" s="462">
        <f t="shared" si="11"/>
        <v>0</v>
      </c>
      <c r="L26" s="462">
        <f t="shared" si="12"/>
        <v>0</v>
      </c>
      <c r="M26" s="462">
        <f t="shared" si="13"/>
        <v>0</v>
      </c>
      <c r="N26" s="462">
        <f t="shared" si="14"/>
        <v>0</v>
      </c>
      <c r="O26" s="462">
        <f t="shared" si="15"/>
        <v>0</v>
      </c>
      <c r="P26" s="463">
        <f t="shared" si="16"/>
        <v>0</v>
      </c>
      <c r="Q26" s="461">
        <f t="shared" ca="1" si="17"/>
        <v>25870.614533224012</v>
      </c>
    </row>
    <row r="27" spans="1:17" s="467" customFormat="1">
      <c r="A27" s="465" t="s">
        <v>574</v>
      </c>
      <c r="B27" s="775">
        <f t="shared" ca="1" si="2"/>
        <v>0.75868417668784494</v>
      </c>
      <c r="C27" s="466">
        <f t="shared" ca="1" si="3"/>
        <v>0</v>
      </c>
      <c r="D27" s="466">
        <f t="shared" si="4"/>
        <v>1.4410059952029599</v>
      </c>
      <c r="E27" s="466">
        <f t="shared" si="5"/>
        <v>49.197231222504648</v>
      </c>
      <c r="F27" s="466">
        <f t="shared" si="6"/>
        <v>0</v>
      </c>
      <c r="G27" s="466">
        <f t="shared" si="7"/>
        <v>17000.394803778177</v>
      </c>
      <c r="H27" s="466">
        <f t="shared" si="8"/>
        <v>2649.9125211156543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19701.704246288227</v>
      </c>
    </row>
    <row r="28" spans="1:17">
      <c r="A28" s="461" t="s">
        <v>564</v>
      </c>
      <c r="B28" s="462">
        <f t="shared" ca="1" si="2"/>
        <v>0</v>
      </c>
      <c r="C28" s="462">
        <f t="shared" ca="1" si="3"/>
        <v>0</v>
      </c>
      <c r="D28" s="462">
        <f t="shared" si="4"/>
        <v>0</v>
      </c>
      <c r="E28" s="462">
        <f t="shared" si="5"/>
        <v>0</v>
      </c>
      <c r="F28" s="462">
        <f t="shared" si="6"/>
        <v>0</v>
      </c>
      <c r="G28" s="462">
        <f t="shared" si="7"/>
        <v>178.18634216938645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178.18634216938645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210.22362480791674</v>
      </c>
      <c r="C32" s="462">
        <f t="shared" ca="1" si="3"/>
        <v>0</v>
      </c>
      <c r="D32" s="462">
        <f t="shared" si="4"/>
        <v>648.14189127195516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858.3655160798719</v>
      </c>
    </row>
    <row r="33" spans="1:17" s="474" customFormat="1">
      <c r="A33" s="471" t="s">
        <v>568</v>
      </c>
      <c r="B33" s="472">
        <f ca="1">SUM(B22:B32)</f>
        <v>19916.342223909458</v>
      </c>
      <c r="C33" s="472">
        <f t="shared" ref="C33:Q33" ca="1" si="18">SUM(C22:C32)</f>
        <v>0</v>
      </c>
      <c r="D33" s="472">
        <f t="shared" ca="1" si="18"/>
        <v>35823.035300227944</v>
      </c>
      <c r="E33" s="472">
        <f t="shared" si="18"/>
        <v>3356.8429881254792</v>
      </c>
      <c r="F33" s="472">
        <f t="shared" ca="1" si="18"/>
        <v>19420.844051197608</v>
      </c>
      <c r="G33" s="472">
        <f t="shared" si="18"/>
        <v>17178.581145947563</v>
      </c>
      <c r="H33" s="472">
        <f t="shared" si="18"/>
        <v>2649.9125211156543</v>
      </c>
      <c r="I33" s="472">
        <f t="shared" si="18"/>
        <v>0</v>
      </c>
      <c r="J33" s="472">
        <f t="shared" si="18"/>
        <v>6323.9035747937987</v>
      </c>
      <c r="K33" s="472">
        <f t="shared" si="18"/>
        <v>0</v>
      </c>
      <c r="L33" s="472">
        <f t="shared" ca="1" si="18"/>
        <v>0</v>
      </c>
      <c r="M33" s="472">
        <f t="shared" si="18"/>
        <v>0</v>
      </c>
      <c r="N33" s="472">
        <f t="shared" ca="1" si="18"/>
        <v>0</v>
      </c>
      <c r="O33" s="472">
        <f t="shared" si="18"/>
        <v>0</v>
      </c>
      <c r="P33" s="472">
        <f t="shared" si="18"/>
        <v>0</v>
      </c>
      <c r="Q33" s="472">
        <f t="shared" ca="1" si="18"/>
        <v>104669.46180531751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7544.6336670000001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9439.6320000000014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1125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1323.5294117647061</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18109.265667</v>
      </c>
      <c r="C10" s="1051">
        <f>SUM(C4:C9)</f>
        <v>0</v>
      </c>
      <c r="D10" s="1051">
        <f t="shared" ref="D10:H10" si="0">SUM(D8:D9)</f>
        <v>0</v>
      </c>
      <c r="E10" s="1051">
        <f t="shared" si="0"/>
        <v>0</v>
      </c>
      <c r="F10" s="1051">
        <f t="shared" si="0"/>
        <v>0</v>
      </c>
      <c r="G10" s="1051">
        <f t="shared" si="0"/>
        <v>0</v>
      </c>
      <c r="H10" s="1051">
        <f t="shared" si="0"/>
        <v>0</v>
      </c>
      <c r="I10" s="1051">
        <f>SUM(I8:I9)</f>
        <v>0</v>
      </c>
      <c r="J10" s="1051">
        <f>SUM(J8:J9)</f>
        <v>1323.5294117647061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0.18402130080967147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1607.1428571428571</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1890.7563025210086</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1607.1428571428571</v>
      </c>
      <c r="C20" s="1051">
        <f>SUM(C17:C19)</f>
        <v>0</v>
      </c>
      <c r="D20" s="1051">
        <f t="shared" ref="D20:H20" si="2">SUM(D17:D19)</f>
        <v>0</v>
      </c>
      <c r="E20" s="1051">
        <f t="shared" si="2"/>
        <v>0</v>
      </c>
      <c r="F20" s="1051">
        <f t="shared" si="2"/>
        <v>0</v>
      </c>
      <c r="G20" s="1051">
        <f t="shared" si="2"/>
        <v>0</v>
      </c>
      <c r="H20" s="1051">
        <f t="shared" si="2"/>
        <v>0</v>
      </c>
      <c r="I20" s="1051">
        <f>SUM(I17:I19)</f>
        <v>0</v>
      </c>
      <c r="J20" s="1051">
        <f>SUM(J17:J19)</f>
        <v>1890.7563025210086</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0.18402130080967147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2019-07-04T14:26:22Z</dcterms:modified>
</cp:coreProperties>
</file>