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4"/>
  <c r="D31"/>
  <c r="D28"/>
  <c r="D32"/>
  <c r="K32"/>
  <c r="K28"/>
  <c r="K26"/>
  <c r="K25"/>
  <c r="K27"/>
  <c r="K22"/>
  <c r="K24"/>
  <c r="K31"/>
  <c r="K30"/>
  <c r="K29"/>
  <c r="C24" i="14"/>
  <c r="C26" s="1"/>
  <c r="B7" i="48"/>
  <c r="E31"/>
  <c r="E32"/>
  <c r="E28"/>
  <c r="E24"/>
  <c r="E29"/>
  <c r="E30"/>
  <c r="M32"/>
  <c r="M26"/>
  <c r="M25"/>
  <c r="M29"/>
  <c r="M22"/>
  <c r="M30"/>
  <c r="M24"/>
  <c r="M23"/>
  <c r="L10" i="14"/>
  <c r="L16" s="1"/>
  <c r="L27" s="1"/>
  <c r="K5" i="48"/>
  <c r="L27"/>
  <c r="L32"/>
  <c r="L29"/>
  <c r="L24"/>
  <c r="L22"/>
  <c r="L31"/>
  <c r="L28"/>
  <c r="L30"/>
  <c r="J29"/>
  <c r="J32"/>
  <c r="J27"/>
  <c r="J31"/>
  <c r="J30"/>
  <c r="J28"/>
  <c r="J24"/>
  <c r="O4"/>
  <c r="P11" i="14"/>
  <c r="I22" i="48"/>
  <c r="I31"/>
  <c r="I26"/>
  <c r="I32"/>
  <c r="I25"/>
  <c r="I27"/>
  <c r="I24"/>
  <c r="I29"/>
  <c r="I28"/>
  <c r="I30"/>
  <c r="E11" i="14"/>
  <c r="D4" i="48"/>
  <c r="D22" s="1"/>
  <c r="H29"/>
  <c r="H26"/>
  <c r="H32"/>
  <c r="H25"/>
  <c r="H30"/>
  <c r="H24"/>
  <c r="H28"/>
  <c r="H22"/>
  <c r="H23"/>
  <c r="D11" i="14"/>
  <c r="C4" i="48"/>
  <c r="G32"/>
  <c r="G26"/>
  <c r="G29"/>
  <c r="G24"/>
  <c r="G25"/>
  <c r="G30"/>
  <c r="G22"/>
  <c r="G23"/>
  <c r="P5"/>
  <c r="P23" s="1"/>
  <c r="Q10" i="14"/>
  <c r="P4" i="48"/>
  <c r="Q11" i="14"/>
  <c r="C11"/>
  <c r="B4" i="48"/>
  <c r="F32"/>
  <c r="F27"/>
  <c r="F29"/>
  <c r="F30"/>
  <c r="F28"/>
  <c r="F31"/>
  <c r="F24"/>
  <c r="N32"/>
  <c r="N27"/>
  <c r="N31"/>
  <c r="N29"/>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B9" i="48"/>
  <c r="C20" i="14"/>
  <c r="O5" i="48"/>
  <c r="O23" s="1"/>
  <c r="P10" i="14"/>
  <c r="Q16"/>
  <c r="Q27" s="1"/>
  <c r="O22" i="48"/>
  <c r="K15"/>
  <c r="K23"/>
  <c r="K33" s="1"/>
  <c r="E9"/>
  <c r="F20" i="14"/>
  <c r="F22" s="1"/>
  <c r="D9" i="48"/>
  <c r="D27" s="1"/>
  <c r="E20" i="14"/>
  <c r="E22" s="1"/>
  <c r="K24"/>
  <c r="K26" s="1"/>
  <c r="J7" i="48"/>
  <c r="J25" s="1"/>
  <c r="P22"/>
  <c r="P33" s="1"/>
  <c r="P15"/>
  <c r="J10" i="14"/>
  <c r="J16" s="1"/>
  <c r="J27" s="1"/>
  <c r="I5" i="48"/>
  <c r="L63"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H22" s="1"/>
  <c r="H27" s="1"/>
  <c r="G9" i="48"/>
  <c r="O8"/>
  <c r="P13" i="14"/>
  <c r="Q13" i="48"/>
  <c r="G31"/>
  <c r="R18" i="14"/>
  <c r="N19"/>
  <c r="M10" i="48"/>
  <c r="M28" s="1"/>
  <c r="E7"/>
  <c r="E25" s="1"/>
  <c r="F24" i="14"/>
  <c r="F26" s="1"/>
  <c r="H19"/>
  <c r="G10" i="48"/>
  <c r="I23"/>
  <c r="I33" s="1"/>
  <c r="I15"/>
  <c r="Q46" i="14"/>
  <c r="Q61" s="1"/>
  <c r="Q63" s="1"/>
  <c r="K11"/>
  <c r="J4" i="48"/>
  <c r="E27"/>
  <c r="N22" i="14"/>
  <c r="N27" s="1"/>
  <c r="P16"/>
  <c r="P27" s="1"/>
  <c r="P46"/>
  <c r="P61" s="1"/>
  <c r="P63"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9" i="48" l="1"/>
  <c r="I20" i="14"/>
  <c r="I22" s="1"/>
  <c r="I27" s="1"/>
  <c r="O26" i="48"/>
  <c r="O33" s="1"/>
  <c r="O15"/>
  <c r="E20" i="15"/>
  <c r="F40" i="14" s="1"/>
  <c r="E5" i="48"/>
  <c r="E23" s="1"/>
  <c r="F10" i="14"/>
  <c r="R10" s="1"/>
  <c r="E22" i="48"/>
  <c r="Q4"/>
  <c r="N63" i="14"/>
  <c r="R11"/>
  <c r="K10"/>
  <c r="J5" i="48"/>
  <c r="J23" s="1"/>
  <c r="J22"/>
  <c r="M27"/>
  <c r="M33" s="1"/>
  <c r="M15"/>
  <c r="R19" i="14"/>
  <c r="G27" i="48"/>
  <c r="G15"/>
  <c r="G28"/>
  <c r="Q10"/>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R22" l="1"/>
  <c r="Q5" i="48"/>
  <c r="J33"/>
  <c r="H27"/>
  <c r="H33" s="1"/>
  <c r="H15"/>
  <c r="Q9"/>
  <c r="R20" i="14"/>
  <c r="G33" i="48"/>
  <c r="F46" i="14"/>
  <c r="F61" s="1"/>
  <c r="E8" i="48"/>
  <c r="F13" i="14"/>
  <c r="F16" s="1"/>
  <c r="F27" s="1"/>
  <c r="F63" s="1"/>
  <c r="J22" i="16"/>
  <c r="K43" i="14" s="1"/>
  <c r="K46" s="1"/>
  <c r="K61" s="1"/>
  <c r="K13"/>
  <c r="J8" i="48"/>
  <c r="J26" s="1"/>
  <c r="J15"/>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<sst xmlns="http://schemas.openxmlformats.org/spreadsheetml/2006/main" count="2429" uniqueCount="910">
  <si>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</si>
  <si>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</si>
  <si>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</si>
  <si>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</si>
  <si>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</si>
  <si>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</si>
  <si>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</si>
  <si>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</si>
  <si>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</si>
  <si>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</si>
  <si>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</si>
  <si>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</si>
  <si>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</si>
  <si>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</si>
  <si>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</si>
  <si>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</si>
  <si>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</si>
  <si>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</si>
  <si>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</si>
  <si>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</si>
  <si>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</si>
  <si>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</si>
  <si>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</si>
  <si>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</si>
  <si>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</si>
  <si>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</si>
  <si>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</si>
  <si>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</si>
  <si>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</si>
  <si>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</si>
  <si>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</si>
  <si>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</si>
  <si>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</si>
  <si>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</si>
  <si>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</si>
  <si>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</si>
  <si>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</si>
  <si>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</si>
  <si>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</si>
  <si>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</si>
  <si>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</si>
  <si>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</si>
  <si>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</si>
  <si>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</si>
  <si>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</si>
  <si>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</si>
  <si>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</si>
  <si>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</si>
  <si>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</si>
  <si>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</si>
  <si>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</si>
  <si>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</si>
  <si>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</si>
  <si>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</si>
  <si>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</si>
  <si>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</si>
  <si>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</si>
  <si>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</si>
  <si>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</si>
  <si>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</si>
  <si>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</si>
  <si>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</si>
  <si>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</si>
  <si>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</si>
  <si>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</si>
  <si>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</si>
  <si>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</si>
  <si>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</si>
  <si>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</si>
  <si>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</si>
  <si>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</si>
  <si>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</si>
  <si>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</si>
  <si>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</si>
  <si>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</si>
  <si>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</si>
  <si>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</si>
  <si>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</si>
  <si>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</si>
  <si>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</si>
  <si>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</si>
  <si>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</si>
  <si>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</si>
  <si>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</si>
  <si>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</si>
  <si>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</si>
  <si>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</si>
  <si>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</si>
  <si>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</si>
  <si>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</si>
  <si>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</si>
  <si>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</si>
  <si>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</si>
  <si>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</si>
  <si>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</si>
  <si>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</si>
  <si>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</si>
  <si>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</si>
  <si>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</si>
  <si>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</si>
  <si>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</si>
  <si>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</si>
  <si>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</si>
  <si>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</si>
  <si>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</si>
  <si>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</si>
  <si>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</si>
  <si>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</si>
  <si>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</si>
  <si>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</si>
  <si>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</si>
  <si>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</si>
  <si>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</si>
  <si>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</si>
  <si>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</si>
  <si>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</si>
  <si>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</si>
  <si>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</si>
  <si>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</si>
  <si>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</si>
  <si>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</si>
  <si>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</si>
  <si>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</si>
  <si>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</si>
  <si>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</si>
  <si>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</si>
  <si>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</si>
  <si>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</si>
  <si>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</si>
  <si>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</si>
  <si>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</si>
  <si>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</si>
  <si>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</si>
  <si>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</si>
  <si>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</si>
  <si>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</si>
  <si>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</si>
  <si>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</si>
  <si>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</si>
  <si>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</si>
  <si>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</si>
  <si>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</si>
  <si>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</si>
  <si>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</si>
  <si>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</si>
  <si>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</si>
  <si>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</si>
  <si>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</si>
  <si>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</si>
  <si>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</si>
  <si>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</si>
  <si>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</si>
  <si>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</si>
  <si>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</si>
  <si>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</si>
  <si>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</si>
  <si>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</si>
  <si>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</si>
  <si>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</si>
  <si>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</si>
  <si>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</si>
  <si>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</si>
  <si>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</si>
  <si>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</si>
  <si>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</si>
  <si>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</si>
  <si>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</si>
  <si>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</si>
  <si>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</si>
  <si>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</si>
  <si>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</si>
  <si>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</si>
  <si>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</si>
  <si>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</si>
  <si>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</si>
  <si>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</si>
  <si>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</si>
  <si>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</si>
  <si>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</si>
  <si>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</si>
  <si>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</si>
  <si>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</si>
  <si>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</si>
  <si>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</si>
  <si>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</si>
  <si>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</si>
  <si>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</si>
  <si>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</si>
  <si>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</si>
  <si>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</si>
  <si>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</si>
  <si>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</si>
  <si>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</si>
  <si>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</si>
  <si>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</si>
  <si>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</si>
  <si>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</si>
  <si>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</si>
  <si>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</si>
  <si>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</si>
  <si>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</si>
  <si>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</si>
  <si>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</si>
  <si>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</si>
  <si>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</si>
  <si>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</si>
  <si>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</si>
  <si>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</si>
  <si>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</si>
  <si>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</si>
  <si>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</si>
  <si>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</si>
  <si>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</si>
  <si>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</si>
  <si>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</si>
  <si>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</si>
  <si>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</si>
  <si>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</si>
  <si>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</si>
  <si>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</si>
  <si>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</si>
  <si>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</si>
  <si>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</si>
  <si>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</si>
  <si>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</si>
  <si>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</si>
  <si>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</si>
  <si>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</si>
  <si>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</si>
  <si>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</si>
  <si>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</si>
  <si>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</si>
  <si>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</si>
  <si>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</si>
  <si>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</si>
  <si>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</si>
  <si>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</si>
  <si>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</si>
  <si>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</si>
  <si>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</si>
  <si>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</si>
  <si>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</si>
  <si>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</si>
  <si>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</si>
  <si>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</si>
  <si>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</si>
  <si>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</si>
  <si>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</si>
  <si>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</si>
  <si>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</si>
  <si>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</si>
  <si>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</si>
  <si>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</si>
  <si>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</si>
  <si>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</si>
  <si>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</si>
  <si>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</si>
  <si>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</si>
  <si>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</si>
  <si>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</si>
  <si>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</si>
  <si>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</si>
  <si>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</si>
  <si>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</si>
  <si>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</si>
  <si>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</si>
  <si>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</si>
  <si>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</si>
  <si>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</si>
  <si>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</si>
  <si>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</si>
  <si>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</si>
  <si>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</si>
  <si>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</si>
  <si>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</si>
  <si>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</si>
  <si>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</si>
  <si>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</si>
  <si>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</si>
  <si>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</si>
  <si>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</si>
  <si>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</si>
  <si>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</si>
  <si>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</si>
  <si>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</si>
  <si>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</si>
  <si>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</si>
  <si>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</si>
  <si>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</si>
  <si>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</si>
  <si>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</si>
  <si>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</si>
  <si>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</si>
  <si>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</si>
  <si>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</si>
  <si>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</si>
  <si>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</si>
  <si>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</si>
  <si>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</si>
  <si>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</si>
  <si>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</si>
  <si>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</si>
  <si>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</si>
  <si>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</si>
  <si>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</si>
  <si>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</si>
  <si>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</si>
  <si>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</si>
  <si>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</si>
  <si>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</si>
  <si>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</si>
  <si>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</si>
  <si>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</si>
  <si>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</si>
  <si>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</si>
  <si>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</si>
  <si>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</si>
  <si>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</si>
  <si>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</si>
  <si>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</si>
  <si>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</si>
  <si>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</si>
  <si>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</si>
  <si>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</si>
  <si>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</si>
  <si>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</si>
  <si>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</si>
  <si>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</si>
  <si>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</si>
  <si>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</si>
  <si>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</si>
  <si>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</si>
  <si>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</si>
  <si>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</si>
  <si>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</si>
  <si>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</si>
  <si>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</si>
  <si>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</si>
  <si>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</si>
  <si>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</si>
  <si>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</si>
  <si>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</si>
  <si>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</si>
  <si>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</si>
  <si>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</si>
  <si>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</si>
  <si>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</si>
  <si>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</si>
  <si>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</si>
  <si>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</si>
  <si>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</si>
  <si>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</si>
  <si>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</si>
  <si>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</si>
  <si>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</si>
  <si>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</si>
  <si>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</si>
  <si>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</si>
  <si>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</si>
  <si>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</si>
  <si>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</si>
  <si>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</si>
  <si>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</si>
  <si>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</si>
  <si>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</si>
  <si>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</si>
  <si>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</si>
  <si>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</si>
  <si>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</si>
  <si>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</si>
  <si>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</si>
  <si>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</si>
  <si>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</si>
  <si>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</si>
  <si>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</si>
  <si>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</si>
  <si>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</si>
  <si>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</si>
  <si>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</si>
  <si>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</si>
  <si>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</si>
  <si>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</si>
  <si>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</si>
  <si>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</si>
  <si>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</si>
  <si>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</si>
  <si>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</si>
  <si>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</si>
  <si>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</si>
  <si>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</si>
  <si>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</si>
  <si>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</si>
  <si>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</si>
  <si>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</si>
  <si>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</si>
  <si>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</si>
  <si>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</si>
  <si>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</si>
  <si>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</si>
  <si>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</si>
  <si>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</si>
  <si>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</si>
  <si>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</si>
  <si>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</si>
  <si>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</si>
  <si>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</si>
  <si>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</si>
  <si>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</si>
  <si>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</si>
  <si>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</si>
  <si>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</si>
  <si>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</si>
  <si>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</si>
  <si>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</si>
  <si>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</si>
  <si>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</si>
  <si>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</si>
  <si>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</si>
  <si>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</si>
  <si>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</si>
  <si>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</si>
  <si>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</si>
  <si>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</si>
  <si>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</si>
  <si>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</si>
  <si>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</si>
  <si>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</si>
  <si>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</si>
  <si>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</si>
  <si>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</si>
  <si>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</si>
  <si>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</si>
  <si>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</si>
  <si>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</si>
  <si>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</si>
  <si>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</si>
  <si>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</si>
  <si>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</si>
  <si>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</si>
  <si>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</si>
  <si>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</si>
  <si>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</si>
  <si>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</si>
  <si>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</si>
  <si>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</si>
  <si>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</si>
  <si>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</si>
  <si>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</si>
  <si>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</si>
  <si>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</si>
  <si>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</si>
  <si>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</si>
  <si>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</si>
  <si>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</si>
  <si>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</si>
  <si>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</si>
  <si>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</si>
  <si>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</si>
  <si>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</si>
  <si>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</si>
  <si>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</si>
  <si>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</si>
  <si>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</si>
  <si>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</si>
  <si>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</si>
  <si>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</si>
  <si>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</si>
  <si>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</si>
  <si>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</si>
  <si>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</si>
  <si>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</si>
  <si>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</si>
  <si>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</si>
  <si>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</si>
  <si>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</si>
  <si>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</si>
  <si>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</si>
  <si>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</si>
  <si>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</si>
  <si>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</si>
  <si>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</si>
  <si>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</si>
  <si>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</si>
  <si>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</si>
  <si>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</si>
  <si>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</si>
  <si>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</si>
  <si>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</si>
  <si>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</si>
  <si>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</si>
  <si>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</si>
  <si>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</si>
  <si>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</si>
  <si>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</si>
  <si>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</si>
  <si>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</si>
  <si>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</si>
  <si>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</si>
  <si>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</si>
  <si>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</si>
  <si>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</si>
  <si>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</si>
  <si>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</si>
  <si>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</si>
  <si>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</si>
  <si>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</si>
  <si>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</si>
  <si>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</si>
  <si>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</si>
  <si>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</si>
  <si>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</si>
  <si>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</si>
  <si>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</si>
  <si>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</si>
  <si>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</si>
  <si>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</si>
  <si>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</si>
  <si>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</si>
  <si>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</si>
  <si>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</si>
  <si>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</si>
  <si>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</si>
  <si>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</si>
  <si>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</si>
  <si>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</si>
  <si>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</si>
  <si>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</si>
  <si>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</si>
  <si>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</si>
  <si>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</si>
  <si>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</si>
  <si>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</si>
  <si>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</si>
  <si>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</si>
  <si>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</si>
  <si>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</si>
  <si>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</si>
  <si>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</si>
  <si>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</si>
  <si>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</si>
  <si>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</si>
  <si>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</si>
  <si>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</si>
  <si>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</si>
  <si>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</si>
  <si>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</si>
  <si>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</si>
  <si>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</si>
  <si>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</si>
  <si>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</si>
  <si>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</si>
  <si>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</si>
  <si>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</si>
  <si>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</si>
  <si>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</si>
  <si>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</si>
  <si>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</si>
  <si>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</si>
  <si>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</si>
  <si>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</si>
  <si>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</si>
  <si>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</si>
  <si>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</si>
  <si>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</si>
  <si>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</si>
  <si>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</si>
  <si>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</si>
  <si>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</si>
  <si>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</si>
  <si>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</si>
  <si>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</si>
  <si>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</si>
  <si>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</si>
  <si>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</si>
  <si>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</si>
  <si>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</si>
  <si>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</si>
  <si>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</si>
  <si>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</si>
  <si>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</si>
  <si>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</si>
  <si>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</si>
  <si>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</si>
  <si>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</si>
  <si>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</si>
  <si>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</si>
  <si>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</si>
  <si>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</si>
  <si>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</si>
  <si>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</si>
  <si>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</si>
  <si>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</si>
  <si>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</si>
  <si>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</si>
  <si>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</si>
  <si>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</si>
  <si>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</si>
  <si>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</si>
  <si>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</si>
  <si>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</si>
  <si>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</si>
  <si>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</si>
  <si>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</si>
  <si>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</si>
  <si>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</si>
  <si>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</si>
  <si>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</si>
  <si>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</si>
  <si>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</si>
  <si>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</si>
  <si>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</si>
  <si>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</si>
  <si>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</si>
  <si>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</si>
  <si>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</si>
  <si>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</si>
  <si>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</si>
  <si>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</si>
  <si>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</si>
  <si>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</si>
  <si>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</si>
  <si>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</si>
  <si>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</si>
  <si>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</si>
  <si>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</si>
  <si>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</si>
  <si>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</si>
  <si>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</si>
  <si>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</si>
  <si>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</si>
  <si>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</si>
  <si>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</si>
  <si>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</si>
  <si>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</si>
  <si>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</si>
  <si>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</si>
  <si>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</si>
  <si>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</si>
  <si>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</si>
  <si>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</si>
  <si>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</si>
  <si>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</si>
  <si>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</si>
  <si>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</si>
  <si>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</si>
  <si>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</si>
  <si>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</si>
  <si>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</si>
  <si>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</si>
  <si>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</si>
  <si>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</si>
  <si>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</si>
  <si>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</si>
  <si>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</si>
  <si>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</si>
  <si>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</si>
  <si>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</si>
  <si>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</si>
  <si>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</si>
  <si>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</si>
  <si>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</si>
  <si>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</si>
  <si>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</si>
  <si>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</si>
  <si>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</si>
  <si>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</si>
  <si>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</si>
  <si>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</si>
  <si>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</si>
  <si>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</si>
  <si>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</si>
  <si>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</si>
  <si>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</si>
  <si>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</si>
  <si>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</si>
  <si>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</si>
  <si>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</si>
  <si>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</si>
  <si>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</si>
  <si>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</si>
  <si>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</si>
  <si>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</si>
  <si>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</si>
  <si>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</si>
  <si>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</si>
  <si>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</si>
  <si>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</si>
  <si>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</si>
  <si>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</si>
  <si>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</si>
  <si>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</si>
  <si>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</si>
  <si>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</si>
  <si>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</si>
  <si>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</si>
  <si>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</si>
  <si>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</si>
  <si>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</si>
  <si>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</si>
  <si>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</si>
  <si>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</si>
  <si>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</si>
  <si>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</si>
  <si>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</si>
  <si>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</si>
  <si>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</si>
  <si>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</si>
  <si>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</si>
  <si>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</si>
  <si>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</si>
  <si>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</si>
  <si>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</si>
  <si>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</si>
  <si>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</si>
  <si>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</si>
  <si>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</si>
  <si>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</si>
  <si>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</si>
  <si>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</si>
  <si>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</si>
  <si>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</si>
  <si>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</si>
  <si>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</si>
  <si>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</si>
  <si>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</si>
  <si>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</si>
  <si>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</si>
  <si>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</si>
  <si>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</si>
  <si>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</si>
  <si>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</si>
  <si>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</si>
  <si>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</si>
  <si>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</si>
  <si>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</si>
  <si>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</si>
  <si>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</si>
  <si>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</si>
  <si>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</si>
  <si>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</si>
  <si>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</si>
  <si>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</si>
  <si>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</si>
  <si>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</si>
  <si>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</si>
  <si>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</si>
  <si>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</si>
  <si>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</si>
  <si>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</si>
  <si>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</si>
  <si>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</si>
  <si>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</si>
  <si>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</si>
  <si>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</si>
  <si>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</si>
  <si>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</si>
  <si>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</si>
  <si>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</si>
  <si>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</si>
  <si>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</si>
  <si>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</si>
  <si>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</si>
  <si>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</si>
  <si>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</si>
  <si>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</si>
  <si>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</si>
  <si>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</si>
  <si>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</si>
  <si>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</si>
  <si>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</si>
  <si>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</si>
  <si>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</si>
  <si>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</si>
  <si>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</si>
  <si>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</si>
  <si>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</si>
  <si>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</si>
  <si>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</si>
  <si>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</si>
  <si>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</si>
  <si>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</si>
  <si>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</si>
  <si>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</si>
  <si>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</si>
  <si>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</si>
  <si>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</si>
  <si>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</si>
  <si>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</si>
  <si>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</si>
  <si>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</si>
  <si>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</si>
  <si>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</si>
  <si>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</si>
  <si>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</si>
  <si>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</si>
  <si>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</si>
  <si>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</si>
  <si>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</si>
  <si>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</si>
  <si>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</si>
  <si>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</si>
  <si>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</si>
  <si>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</si>
  <si>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</si>
  <si>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</si>
  <si>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</si>
  <si>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</si>
  <si>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</si>
  <si>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</si>
  <si>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</si>
  <si>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</si>
  <si>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</si>
  <si>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</si>
  <si>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</si>
  <si>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</si>
  <si>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</si>
  <si>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</si>
  <si>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</si>
  <si>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</si>
  <si>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</si>
  <si>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</si>
  <si>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</si>
  <si>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</si>
  <si>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</si>
  <si>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</si>
  <si>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</si>
  <si>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</si>
  <si>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</si>
  <si>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</si>
  <si>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</si>
  <si>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</si>
  <si>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</si>
  <si>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</si>
  <si>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</si>
  <si>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</si>
  <si>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</si>
  <si>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</si>
  <si>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</si>
  <si>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</si>
  <si>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</si>
  <si>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</si>
  <si>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</si>
  <si>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</si>
  <si>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</si>
  <si>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</si>
  <si>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</si>
  <si>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</si>
  <si>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</si>
  <si>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</si>
  <si>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</si>
  <si>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</si>
  <si>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</si>
  <si>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</si>
  <si>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</si>
  <si>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</si>
  <si>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</si>
  <si>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</si>
  <si>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</si>
  <si>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</si>
  <si>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</si>
  <si>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</si>
  <si>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</si>
  <si>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</si>
  <si>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</si>
  <si>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</si>
  <si>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</si>
  <si>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</si>
  <si>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</si>
  <si>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</si>
  <si>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</si>
  <si>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</si>
  <si>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</si>
  <si>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</si>
  <si>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</si>
  <si>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</si>
  <si>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</si>
  <si>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</si>
  <si>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</si>
  <si>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</si>
  <si>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</si>
  <si>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</si>
  <si>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</si>
  <si>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</si>
  <si>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</si>
  <si>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</si>
  <si>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</si>
  <si>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</si>
  <si>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</si>
  <si>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</si>
  <si>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</si>
  <si>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</si>
  <si>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</si>
  <si>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</si>
  <si>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</si>
  <si>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</si>
  <si>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</si>
  <si>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</si>
  <si>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</si>
  <si>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</si>
  <si>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</si>
  <si>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</si>
  <si>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</si>
  <si>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</si>
  <si>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31022</t>
  </si>
  <si>
    <t>OOSTKAMP</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</si>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</sst>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203491.67589919348</c:v>
                </c:pt>
                <c:pt idx="1">
                  <c:v>65831.005748149866</c:v>
                </c:pt>
                <c:pt idx="2">
                  <c:v>1625.9449999999999</c:v>
                </c:pt>
                <c:pt idx="3">
                  <c:v>18323.81731752817</c:v>
                </c:pt>
                <c:pt idx="4">
                  <c:v>81987.290524055541</c:v>
                </c:pt>
                <c:pt idx="5">
                  <c:v>388539.12281365047</c:v>
                </c:pt>
                <c:pt idx="6">
                  <c:v>1699.5581690937715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203491.67589919348</c:v>
                </c:pt>
                <c:pt idx="1">
                  <c:v>65831.005748149866</c:v>
                </c:pt>
                <c:pt idx="2">
                  <c:v>1625.9449999999999</c:v>
                </c:pt>
                <c:pt idx="3">
                  <c:v>18323.81731752817</c:v>
                </c:pt>
                <c:pt idx="4">
                  <c:v>81987.290524055541</c:v>
                </c:pt>
                <c:pt idx="5">
                  <c:v>388539.12281365047</c:v>
                </c:pt>
                <c:pt idx="6">
                  <c:v>1699.5581690937715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36778.950587053623</c:v>
                </c:pt>
                <c:pt idx="2">
                  <c:v>13296.263937901966</c:v>
                </c:pt>
                <c:pt idx="3">
                  <c:v>332.12749085010256</c:v>
                </c:pt>
                <c:pt idx="4">
                  <c:v>4680.3442223223219</c:v>
                </c:pt>
                <c:pt idx="5">
                  <c:v>14537.99427507894</c:v>
                </c:pt>
                <c:pt idx="6">
                  <c:v>98327.091449656713</c:v>
                </c:pt>
                <c:pt idx="7">
                  <c:v>434.46050963068427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36778.950587053623</c:v>
                </c:pt>
                <c:pt idx="2">
                  <c:v>13296.263937901966</c:v>
                </c:pt>
                <c:pt idx="3">
                  <c:v>332.12749085010256</c:v>
                </c:pt>
                <c:pt idx="4">
                  <c:v>4680.3442223223219</c:v>
                </c:pt>
                <c:pt idx="5">
                  <c:v>14537.99427507894</c:v>
                </c:pt>
                <c:pt idx="6">
                  <c:v>98327.091449656713</c:v>
                </c:pt>
                <c:pt idx="7">
                  <c:v>434.46050963068427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31022</v>
      </c>
      <c r="B6" s="398"/>
      <c r="C6" s="399"/>
    </row>
    <row r="7" spans="1:7" s="396" customFormat="1" ht="15.75" customHeight="1">
      <c r="A7" s="400" t="str">
        <f>txtMunicipality</f>
        <v>OOSTKAMP</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0.20426735888981642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0.20426735888981642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31022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9288</v>
      </c>
      <c r="C9" s="338">
        <v>9894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4713</v>
      </c>
    </row>
    <row r="15" spans="1:6">
      <c r="A15" s="1295" t="s">
        <v>184</v>
      </c>
      <c r="B15" s="335">
        <v>462</v>
      </c>
    </row>
    <row r="16" spans="1:6">
      <c r="A16" s="1295" t="s">
        <v>6</v>
      </c>
      <c r="B16" s="335">
        <v>2247</v>
      </c>
    </row>
    <row r="17" spans="1:6">
      <c r="A17" s="1295" t="s">
        <v>7</v>
      </c>
      <c r="B17" s="335">
        <v>1691</v>
      </c>
    </row>
    <row r="18" spans="1:6">
      <c r="A18" s="1295" t="s">
        <v>8</v>
      </c>
      <c r="B18" s="335">
        <v>2538</v>
      </c>
    </row>
    <row r="19" spans="1:6">
      <c r="A19" s="1295" t="s">
        <v>9</v>
      </c>
      <c r="B19" s="335">
        <v>2474</v>
      </c>
    </row>
    <row r="20" spans="1:6">
      <c r="A20" s="1295" t="s">
        <v>10</v>
      </c>
      <c r="B20" s="335">
        <v>2014</v>
      </c>
    </row>
    <row r="21" spans="1:6">
      <c r="A21" s="1295" t="s">
        <v>11</v>
      </c>
      <c r="B21" s="335">
        <v>7343</v>
      </c>
    </row>
    <row r="22" spans="1:6">
      <c r="A22" s="1295" t="s">
        <v>12</v>
      </c>
      <c r="B22" s="335">
        <v>55809</v>
      </c>
    </row>
    <row r="23" spans="1:6">
      <c r="A23" s="1295" t="s">
        <v>13</v>
      </c>
      <c r="B23" s="335">
        <v>98</v>
      </c>
    </row>
    <row r="24" spans="1:6">
      <c r="A24" s="1295" t="s">
        <v>14</v>
      </c>
      <c r="B24" s="335">
        <v>10</v>
      </c>
    </row>
    <row r="25" spans="1:6">
      <c r="A25" s="1295" t="s">
        <v>15</v>
      </c>
      <c r="B25" s="335">
        <v>885</v>
      </c>
    </row>
    <row r="26" spans="1:6">
      <c r="A26" s="1295" t="s">
        <v>16</v>
      </c>
      <c r="B26" s="335">
        <v>285</v>
      </c>
    </row>
    <row r="27" spans="1:6">
      <c r="A27" s="1295" t="s">
        <v>17</v>
      </c>
      <c r="B27" s="335">
        <v>13</v>
      </c>
    </row>
    <row r="28" spans="1:6" s="341" customFormat="1">
      <c r="A28" s="1296" t="s">
        <v>18</v>
      </c>
      <c r="B28" s="1296">
        <v>295734</v>
      </c>
    </row>
    <row r="29" spans="1:6">
      <c r="A29" s="1296" t="s">
        <v>906</v>
      </c>
      <c r="B29" s="1296">
        <v>138</v>
      </c>
      <c r="C29" s="341"/>
      <c r="D29" s="341"/>
      <c r="E29" s="341"/>
      <c r="F29" s="341"/>
    </row>
    <row r="30" spans="1:6">
      <c r="A30" s="1291" t="s">
        <v>907</v>
      </c>
      <c r="B30" s="1291">
        <v>47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159372.76449610101</v>
      </c>
      <c r="E38" s="335">
        <v>0</v>
      </c>
      <c r="F38" s="335">
        <v>0</v>
      </c>
    </row>
    <row r="39" spans="1:6">
      <c r="A39" s="1295" t="s">
        <v>30</v>
      </c>
      <c r="B39" s="1295" t="s">
        <v>31</v>
      </c>
      <c r="C39" s="335">
        <v>5145</v>
      </c>
      <c r="D39" s="335">
        <v>88941374.578975394</v>
      </c>
      <c r="E39" s="335">
        <v>8747</v>
      </c>
      <c r="F39" s="335">
        <v>41171197.054555804</v>
      </c>
    </row>
    <row r="40" spans="1:6">
      <c r="A40" s="1295" t="s">
        <v>30</v>
      </c>
      <c r="B40" s="1295" t="s">
        <v>29</v>
      </c>
      <c r="C40" s="335">
        <v>0</v>
      </c>
      <c r="D40" s="335">
        <v>0</v>
      </c>
      <c r="E40" s="335">
        <v>0</v>
      </c>
      <c r="F40" s="335">
        <v>0</v>
      </c>
    </row>
    <row r="41" spans="1:6">
      <c r="A41" s="1295" t="s">
        <v>32</v>
      </c>
      <c r="B41" s="1295" t="s">
        <v>33</v>
      </c>
      <c r="C41" s="335">
        <v>81</v>
      </c>
      <c r="D41" s="335">
        <v>2133135.9044125201</v>
      </c>
      <c r="E41" s="335">
        <v>240</v>
      </c>
      <c r="F41" s="335">
        <v>2503895.0958365402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3375658.5060518798</v>
      </c>
      <c r="E44" s="335">
        <v>24</v>
      </c>
      <c r="F44" s="335">
        <v>1499379.9334839699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829965.79999242898</v>
      </c>
      <c r="E47" s="335">
        <v>11</v>
      </c>
      <c r="F47" s="335">
        <v>4201847.5414399495</v>
      </c>
    </row>
    <row r="48" spans="1:6">
      <c r="A48" s="1295" t="s">
        <v>32</v>
      </c>
      <c r="B48" s="1295" t="s">
        <v>29</v>
      </c>
      <c r="C48" s="335">
        <v>55</v>
      </c>
      <c r="D48" s="335">
        <v>26114830.175769001</v>
      </c>
      <c r="E48" s="335">
        <v>63</v>
      </c>
      <c r="F48" s="335">
        <v>15588256.126806499</v>
      </c>
    </row>
    <row r="49" spans="1:6">
      <c r="A49" s="1295" t="s">
        <v>32</v>
      </c>
      <c r="B49" s="1295" t="s">
        <v>40</v>
      </c>
      <c r="C49" s="335">
        <v>0</v>
      </c>
      <c r="D49" s="335">
        <v>0</v>
      </c>
      <c r="E49" s="335">
        <v>6</v>
      </c>
      <c r="F49" s="335">
        <v>197216.96290920099</v>
      </c>
    </row>
    <row r="50" spans="1:6">
      <c r="A50" s="1295" t="s">
        <v>32</v>
      </c>
      <c r="B50" s="1295" t="s">
        <v>41</v>
      </c>
      <c r="C50" s="335">
        <v>14</v>
      </c>
      <c r="D50" s="335">
        <v>2283127.7934448398</v>
      </c>
      <c r="E50" s="335">
        <v>31</v>
      </c>
      <c r="F50" s="335">
        <v>2111558.8000866999</v>
      </c>
    </row>
    <row r="51" spans="1:6">
      <c r="A51" s="1295" t="s">
        <v>42</v>
      </c>
      <c r="B51" s="1295" t="s">
        <v>43</v>
      </c>
      <c r="C51" s="335">
        <v>7</v>
      </c>
      <c r="D51" s="335">
        <v>97451.5124566944</v>
      </c>
      <c r="E51" s="335">
        <v>192</v>
      </c>
      <c r="F51" s="335">
        <v>3760531.6256298199</v>
      </c>
    </row>
    <row r="52" spans="1:6">
      <c r="A52" s="1295" t="s">
        <v>42</v>
      </c>
      <c r="B52" s="1295" t="s">
        <v>29</v>
      </c>
      <c r="C52" s="335">
        <v>6</v>
      </c>
      <c r="D52" s="335">
        <v>166916.343910628</v>
      </c>
      <c r="E52" s="335">
        <v>4</v>
      </c>
      <c r="F52" s="335">
        <v>159783.77163326601</v>
      </c>
    </row>
    <row r="53" spans="1:6">
      <c r="A53" s="1295" t="s">
        <v>44</v>
      </c>
      <c r="B53" s="1295" t="s">
        <v>45</v>
      </c>
      <c r="C53" s="335">
        <v>133</v>
      </c>
      <c r="D53" s="335">
        <v>3698293.9109184402</v>
      </c>
      <c r="E53" s="335">
        <v>293</v>
      </c>
      <c r="F53" s="335">
        <v>1430865.33206862</v>
      </c>
    </row>
    <row r="54" spans="1:6">
      <c r="A54" s="1295" t="s">
        <v>46</v>
      </c>
      <c r="B54" s="1295" t="s">
        <v>47</v>
      </c>
      <c r="C54" s="335">
        <v>0</v>
      </c>
      <c r="D54" s="335">
        <v>0</v>
      </c>
      <c r="E54" s="335">
        <v>1</v>
      </c>
      <c r="F54" s="335">
        <v>1625945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36</v>
      </c>
      <c r="D57" s="335">
        <v>3038665.0611545001</v>
      </c>
      <c r="E57" s="335">
        <v>194</v>
      </c>
      <c r="F57" s="335">
        <v>2747572.4526572302</v>
      </c>
    </row>
    <row r="58" spans="1:6">
      <c r="A58" s="1295" t="s">
        <v>49</v>
      </c>
      <c r="B58" s="1295" t="s">
        <v>51</v>
      </c>
      <c r="C58" s="335">
        <v>20</v>
      </c>
      <c r="D58" s="335">
        <v>624397.76323189901</v>
      </c>
      <c r="E58" s="335">
        <v>39</v>
      </c>
      <c r="F58" s="335">
        <v>337851.76298973098</v>
      </c>
    </row>
    <row r="59" spans="1:6">
      <c r="A59" s="1295" t="s">
        <v>49</v>
      </c>
      <c r="B59" s="1295" t="s">
        <v>52</v>
      </c>
      <c r="C59" s="335">
        <v>137</v>
      </c>
      <c r="D59" s="335">
        <v>5775495.3742802497</v>
      </c>
      <c r="E59" s="335">
        <v>365</v>
      </c>
      <c r="F59" s="335">
        <v>10094566.899722001</v>
      </c>
    </row>
    <row r="60" spans="1:6">
      <c r="A60" s="1295" t="s">
        <v>49</v>
      </c>
      <c r="B60" s="1295" t="s">
        <v>53</v>
      </c>
      <c r="C60" s="335">
        <v>59</v>
      </c>
      <c r="D60" s="335">
        <v>4151090.1851042002</v>
      </c>
      <c r="E60" s="335">
        <v>82</v>
      </c>
      <c r="F60" s="335">
        <v>2842414.9203470498</v>
      </c>
    </row>
    <row r="61" spans="1:6">
      <c r="A61" s="1295" t="s">
        <v>49</v>
      </c>
      <c r="B61" s="1295" t="s">
        <v>54</v>
      </c>
      <c r="C61" s="335">
        <v>186</v>
      </c>
      <c r="D61" s="335">
        <v>8837024.3393272199</v>
      </c>
      <c r="E61" s="335">
        <v>412</v>
      </c>
      <c r="F61" s="335">
        <v>9268720.5821311008</v>
      </c>
    </row>
    <row r="62" spans="1:6">
      <c r="A62" s="1295" t="s">
        <v>49</v>
      </c>
      <c r="B62" s="1295" t="s">
        <v>55</v>
      </c>
      <c r="C62" s="335">
        <v>16</v>
      </c>
      <c r="D62" s="335">
        <v>736033.50880787906</v>
      </c>
      <c r="E62" s="335">
        <v>30</v>
      </c>
      <c r="F62" s="335">
        <v>533497.54185055394</v>
      </c>
    </row>
    <row r="63" spans="1:6">
      <c r="A63" s="1295" t="s">
        <v>49</v>
      </c>
      <c r="B63" s="1295" t="s">
        <v>29</v>
      </c>
      <c r="C63" s="335">
        <v>98</v>
      </c>
      <c r="D63" s="335">
        <v>6921796.91116965</v>
      </c>
      <c r="E63" s="335">
        <v>91</v>
      </c>
      <c r="F63" s="335">
        <v>4275189.06920557</v>
      </c>
    </row>
    <row r="64" spans="1:6">
      <c r="A64" s="1295" t="s">
        <v>56</v>
      </c>
      <c r="B64" s="1295" t="s">
        <v>57</v>
      </c>
      <c r="C64" s="335">
        <v>0</v>
      </c>
      <c r="D64" s="335">
        <v>0</v>
      </c>
      <c r="E64" s="335">
        <v>0</v>
      </c>
      <c r="F64" s="335">
        <v>0</v>
      </c>
    </row>
    <row r="65" spans="1:6">
      <c r="A65" s="1295" t="s">
        <v>56</v>
      </c>
      <c r="B65" s="1295" t="s">
        <v>29</v>
      </c>
      <c r="C65" s="335">
        <v>2</v>
      </c>
      <c r="D65" s="335">
        <v>92254.493926584895</v>
      </c>
      <c r="E65" s="335">
        <v>2</v>
      </c>
      <c r="F65" s="335">
        <v>20805.2654275557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699590.65697019105</v>
      </c>
      <c r="E68" s="335">
        <v>20</v>
      </c>
      <c r="F68" s="335">
        <v>4071168.78867837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76218528</v>
      </c>
      <c r="E73" s="335">
        <v>74527129.443244487</v>
      </c>
    </row>
    <row r="74" spans="1:6">
      <c r="A74" s="1295" t="s">
        <v>64</v>
      </c>
      <c r="B74" s="1295" t="s">
        <v>727</v>
      </c>
      <c r="C74" s="1295" t="s">
        <v>728</v>
      </c>
      <c r="D74" s="335">
        <v>7565627.4993769983</v>
      </c>
      <c r="E74" s="335">
        <v>6700363.7109676367</v>
      </c>
    </row>
    <row r="75" spans="1:6">
      <c r="A75" s="1295" t="s">
        <v>65</v>
      </c>
      <c r="B75" s="1295" t="s">
        <v>725</v>
      </c>
      <c r="C75" s="1295" t="s">
        <v>729</v>
      </c>
      <c r="D75" s="335">
        <v>39716456</v>
      </c>
      <c r="E75" s="335">
        <v>39079366.992035128</v>
      </c>
    </row>
    <row r="76" spans="1:6">
      <c r="A76" s="1295" t="s">
        <v>65</v>
      </c>
      <c r="B76" s="1295" t="s">
        <v>727</v>
      </c>
      <c r="C76" s="1295" t="s">
        <v>730</v>
      </c>
      <c r="D76" s="335">
        <v>2507998.4993769983</v>
      </c>
      <c r="E76" s="335">
        <v>2283196.129962157</v>
      </c>
    </row>
    <row r="77" spans="1:6">
      <c r="A77" s="1295" t="s">
        <v>66</v>
      </c>
      <c r="B77" s="1295" t="s">
        <v>725</v>
      </c>
      <c r="C77" s="1295" t="s">
        <v>731</v>
      </c>
      <c r="D77" s="335">
        <v>255941894</v>
      </c>
      <c r="E77" s="335">
        <v>303350965.48548669</v>
      </c>
    </row>
    <row r="78" spans="1:6">
      <c r="A78" s="1291" t="s">
        <v>66</v>
      </c>
      <c r="B78" s="1291" t="s">
        <v>727</v>
      </c>
      <c r="C78" s="1291" t="s">
        <v>732</v>
      </c>
      <c r="D78" s="1291">
        <v>40273443</v>
      </c>
      <c r="E78" s="1291">
        <v>44604119.972017415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449003.00124600378</v>
      </c>
      <c r="C83" s="335">
        <v>451681.75927493797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4806.4319999999998</v>
      </c>
    </row>
    <row r="92" spans="1:6">
      <c r="A92" s="1291" t="s">
        <v>69</v>
      </c>
      <c r="B92" s="338">
        <v>3459.7220000000002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2716</v>
      </c>
    </row>
    <row r="98" spans="1:6">
      <c r="A98" s="1295" t="s">
        <v>72</v>
      </c>
      <c r="B98" s="335">
        <v>1</v>
      </c>
    </row>
    <row r="99" spans="1:6">
      <c r="A99" s="1295" t="s">
        <v>73</v>
      </c>
      <c r="B99" s="335">
        <v>234</v>
      </c>
    </row>
    <row r="100" spans="1:6">
      <c r="A100" s="1295" t="s">
        <v>74</v>
      </c>
      <c r="B100" s="335">
        <v>1001</v>
      </c>
    </row>
    <row r="101" spans="1:6">
      <c r="A101" s="1295" t="s">
        <v>75</v>
      </c>
      <c r="B101" s="335">
        <v>222</v>
      </c>
    </row>
    <row r="102" spans="1:6">
      <c r="A102" s="1295" t="s">
        <v>76</v>
      </c>
      <c r="B102" s="335">
        <v>140</v>
      </c>
    </row>
    <row r="103" spans="1:6">
      <c r="A103" s="1295" t="s">
        <v>77</v>
      </c>
      <c r="B103" s="335">
        <v>292</v>
      </c>
    </row>
    <row r="104" spans="1:6">
      <c r="A104" s="1295" t="s">
        <v>78</v>
      </c>
      <c r="B104" s="335">
        <v>3420</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21</v>
      </c>
      <c r="C123" s="335">
        <v>18</v>
      </c>
    </row>
    <row r="124" spans="1:6">
      <c r="A124" s="1291" t="s">
        <v>89</v>
      </c>
      <c r="B124" s="335">
        <v>0</v>
      </c>
      <c r="C124" s="335">
        <v>3</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191</v>
      </c>
    </row>
    <row r="130" spans="1:6">
      <c r="A130" s="1295" t="s">
        <v>295</v>
      </c>
      <c r="B130" s="335">
        <v>1</v>
      </c>
    </row>
    <row r="131" spans="1:6">
      <c r="A131" s="1295" t="s">
        <v>296</v>
      </c>
      <c r="B131" s="335">
        <v>0</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109177.02841831619</v>
      </c>
      <c r="C3" s="43" t="s">
        <v>170</v>
      </c>
      <c r="D3" s="43"/>
      <c r="E3" s="156"/>
      <c r="F3" s="43"/>
      <c r="G3" s="43"/>
      <c r="H3" s="43"/>
      <c r="I3" s="43"/>
      <c r="J3" s="43"/>
      <c r="K3" s="96"/>
    </row>
    <row r="4" spans="1:11">
      <c r="A4" s="366" t="s">
        <v>171</v>
      </c>
      <c r="B4" s="49">
        <f>IF(ISERROR('SEAP template'!B78),0,'SEAP template'!B78)</f>
        <v>8266.1540000000005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0.20426735888981642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1625.9449999999999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1625.9449999999999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0.20426735888981642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332.12749085010256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41171.197054555807</v>
      </c>
      <c r="C5" s="17">
        <f>IF(ISERROR('Eigen informatie GS &amp; warmtenet'!B57),0,'Eigen informatie GS &amp; warmtenet'!B57)</f>
        <v>0</v>
      </c>
      <c r="D5" s="30">
        <f>(SUM(HH_hh_gas_kWh,HH_rest_gas_kWh)/1000)*0.902</f>
        <v>80225.119870235809</v>
      </c>
      <c r="E5" s="17">
        <f>B46*B57</f>
        <v>9444.1562288562072</v>
      </c>
      <c r="F5" s="17">
        <f>B51*B62</f>
        <v>31201.480383370996</v>
      </c>
      <c r="G5" s="18"/>
      <c r="H5" s="17"/>
      <c r="I5" s="17"/>
      <c r="J5" s="17">
        <f>B50*B61+C50*C61</f>
        <v>1997.538960355278</v>
      </c>
      <c r="K5" s="17"/>
      <c r="L5" s="17"/>
      <c r="M5" s="17"/>
      <c r="N5" s="17">
        <f>B48*B59+C48*C59</f>
        <v>33589.791401819377</v>
      </c>
      <c r="O5" s="17">
        <f>B69*B70*B71</f>
        <v>331.42666666666673</v>
      </c>
      <c r="P5" s="17">
        <f>B77*B78*B79/1000-B77*B78*B79/1000/B80</f>
        <v>724.5333333333333</v>
      </c>
    </row>
    <row r="6" spans="1:16">
      <c r="A6" s="16" t="s">
        <v>634</v>
      </c>
      <c r="B6" s="783">
        <f>kWh_PV_kleiner_dan_10kW</f>
        <v>4806.4319999999998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45977.629054555808</v>
      </c>
      <c r="C8" s="21">
        <f>C5</f>
        <v>0</v>
      </c>
      <c r="D8" s="21">
        <f>D5</f>
        <v>80225.119870235809</v>
      </c>
      <c r="E8" s="21">
        <f>E5</f>
        <v>9444.1562288562072</v>
      </c>
      <c r="F8" s="21">
        <f>F5</f>
        <v>31201.480383370996</v>
      </c>
      <c r="G8" s="21"/>
      <c r="H8" s="21"/>
      <c r="I8" s="21"/>
      <c r="J8" s="21">
        <f>J5</f>
        <v>1997.538960355278</v>
      </c>
      <c r="K8" s="21"/>
      <c r="L8" s="21">
        <f>L5</f>
        <v>0</v>
      </c>
      <c r="M8" s="21">
        <f>M5</f>
        <v>0</v>
      </c>
      <c r="N8" s="21">
        <f>N5</f>
        <v>33589.791401819377</v>
      </c>
      <c r="O8" s="21">
        <f>O5</f>
        <v>331.42666666666673</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0.20426735888981642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9391.7288549898021</v>
      </c>
      <c r="C12" s="23">
        <f ca="1">C10*C8</f>
        <v>0</v>
      </c>
      <c r="D12" s="23">
        <f>D8*D10</f>
        <v>16205.474213787635</v>
      </c>
      <c r="E12" s="23">
        <f>E10*E8</f>
        <v>2143.8234639503589</v>
      </c>
      <c r="F12" s="23">
        <f>F10*F8</f>
        <v>8330.7952623600559</v>
      </c>
      <c r="G12" s="23"/>
      <c r="H12" s="23"/>
      <c r="I12" s="23"/>
      <c r="J12" s="23">
        <f>J10*J8</f>
        <v>707.12879196576841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2716</v>
      </c>
      <c r="C18" s="168" t="s">
        <v>111</v>
      </c>
      <c r="D18" s="230"/>
      <c r="E18" s="15"/>
    </row>
    <row r="19" spans="1:7">
      <c r="A19" s="173" t="s">
        <v>72</v>
      </c>
      <c r="B19" s="37">
        <f>aantalw2001_ander</f>
        <v>1</v>
      </c>
      <c r="C19" s="168" t="s">
        <v>111</v>
      </c>
      <c r="D19" s="231"/>
      <c r="E19" s="15"/>
    </row>
    <row r="20" spans="1:7">
      <c r="A20" s="173" t="s">
        <v>73</v>
      </c>
      <c r="B20" s="37">
        <f>aantalw2001_propaan</f>
        <v>234</v>
      </c>
      <c r="C20" s="169">
        <f>IF(ISERROR(B20/SUM($B$20,$B$21,$B$22)*100),0,B20/SUM($B$20,$B$21,$B$22)*100)</f>
        <v>16.060398078242965</v>
      </c>
      <c r="D20" s="231"/>
      <c r="E20" s="15"/>
    </row>
    <row r="21" spans="1:7">
      <c r="A21" s="173" t="s">
        <v>74</v>
      </c>
      <c r="B21" s="37">
        <f>aantalw2001_elektriciteit</f>
        <v>1001</v>
      </c>
      <c r="C21" s="169">
        <f>IF(ISERROR(B21/SUM($B$20,$B$21,$B$22)*100),0,B21/SUM($B$20,$B$21,$B$22)*100)</f>
        <v>68.702814001372687</v>
      </c>
      <c r="D21" s="231"/>
      <c r="E21" s="15"/>
    </row>
    <row r="22" spans="1:7">
      <c r="A22" s="173" t="s">
        <v>75</v>
      </c>
      <c r="B22" s="37">
        <f>aantalw2001_hout</f>
        <v>222</v>
      </c>
      <c r="C22" s="169">
        <f>IF(ISERROR(B22/SUM($B$20,$B$21,$B$22)*100),0,B22/SUM($B$20,$B$21,$B$22)*100)</f>
        <v>15.236787920384351</v>
      </c>
      <c r="D22" s="231"/>
      <c r="E22" s="15"/>
    </row>
    <row r="23" spans="1:7">
      <c r="A23" s="173" t="s">
        <v>76</v>
      </c>
      <c r="B23" s="37">
        <f>aantalw2001_niet_gespec</f>
        <v>140</v>
      </c>
      <c r="C23" s="168" t="s">
        <v>111</v>
      </c>
      <c r="D23" s="230"/>
      <c r="E23" s="15"/>
    </row>
    <row r="24" spans="1:7">
      <c r="A24" s="173" t="s">
        <v>77</v>
      </c>
      <c r="B24" s="37">
        <f>aantalw2001_steenkool</f>
        <v>292</v>
      </c>
      <c r="C24" s="168" t="s">
        <v>111</v>
      </c>
      <c r="D24" s="231"/>
      <c r="E24" s="15"/>
    </row>
    <row r="25" spans="1:7">
      <c r="A25" s="173" t="s">
        <v>78</v>
      </c>
      <c r="B25" s="37">
        <f>aantalw2001_stookolie</f>
        <v>3420</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9288</v>
      </c>
      <c r="C28" s="36"/>
      <c r="D28" s="230"/>
    </row>
    <row r="29" spans="1:7" s="15" customFormat="1">
      <c r="A29" s="232" t="s">
        <v>746</v>
      </c>
      <c r="B29" s="37">
        <f>SUM(HH_hh_gas_aantal,HH_rest_gas_aantal)</f>
        <v>5145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5145</v>
      </c>
      <c r="C32" s="169">
        <f>IF(ISERROR(B32/SUM($B$32,$B$34,$B$35,$B$36,$B$38,$B$39)*100),0,B32/SUM($B$32,$B$34,$B$35,$B$36,$B$38,$B$39)*100)</f>
        <v>55.621621621621621</v>
      </c>
      <c r="D32" s="235"/>
      <c r="G32" s="15"/>
    </row>
    <row r="33" spans="1:7">
      <c r="A33" s="173" t="s">
        <v>72</v>
      </c>
      <c r="B33" s="34" t="s">
        <v>111</v>
      </c>
      <c r="C33" s="169"/>
      <c r="D33" s="235"/>
      <c r="G33" s="15"/>
    </row>
    <row r="34" spans="1:7">
      <c r="A34" s="173" t="s">
        <v>73</v>
      </c>
      <c r="B34" s="33">
        <f>IF((($B$28-$B$32-$B$39-$B$77-$B$38)*C20/100)&lt;0,0,($B$28-$B$32-$B$39-$B$77-$B$38)*C20/100)</f>
        <v>453.22443376801647</v>
      </c>
      <c r="C34" s="169">
        <f>IF(ISERROR(B34/SUM($B$32,$B$34,$B$35,$B$36,$B$38,$B$39)*100),0,B34/SUM($B$32,$B$34,$B$35,$B$36,$B$38,$B$39)*100)</f>
        <v>4.8997236083028808</v>
      </c>
      <c r="D34" s="235"/>
      <c r="G34" s="15"/>
    </row>
    <row r="35" spans="1:7">
      <c r="A35" s="173" t="s">
        <v>74</v>
      </c>
      <c r="B35" s="33">
        <f>IF((($B$28-$B$32-$B$39-$B$77-$B$38)*C21/100)&lt;0,0,($B$28-$B$32-$B$39-$B$77-$B$38)*C21/100)</f>
        <v>1938.7934111187371</v>
      </c>
      <c r="C35" s="169">
        <f>IF(ISERROR(B35/SUM($B$32,$B$34,$B$35,$B$36,$B$38,$B$39)*100),0,B35/SUM($B$32,$B$34,$B$35,$B$36,$B$38,$B$39)*100)</f>
        <v>20.959928768851213</v>
      </c>
      <c r="D35" s="235"/>
      <c r="G35" s="15"/>
    </row>
    <row r="36" spans="1:7">
      <c r="A36" s="173" t="s">
        <v>75</v>
      </c>
      <c r="B36" s="33">
        <f>IF((($B$28-$B$32-$B$39-$B$77-$B$38)*C22/100)&lt;0,0,($B$28-$B$32-$B$39-$B$77-$B$38)*C22/100)</f>
        <v>429.98215511324639</v>
      </c>
      <c r="C36" s="169">
        <f>IF(ISERROR(B36/SUM($B$32,$B$34,$B$35,$B$36,$B$38,$B$39)*100),0,B36/SUM($B$32,$B$34,$B$35,$B$36,$B$38,$B$39)*100)</f>
        <v>4.6484557309540158</v>
      </c>
      <c r="D36" s="235"/>
      <c r="G36" s="15"/>
    </row>
    <row r="37" spans="1:7">
      <c r="A37" s="173" t="s">
        <v>76</v>
      </c>
      <c r="B37" s="34" t="s">
        <v>111</v>
      </c>
      <c r="C37" s="169"/>
      <c r="D37" s="175"/>
      <c r="G37" s="15"/>
    </row>
    <row r="38" spans="1:7">
      <c r="A38" s="173" t="s">
        <v>77</v>
      </c>
      <c r="B38" s="33">
        <f>IF((B24-(B29-B18)*0.1)&lt;0,0,B24-(B29-B18)*0.1)</f>
        <v>49.099999999999994</v>
      </c>
      <c r="C38" s="169">
        <f>IF(ISERROR(B38/SUM($B$32,$B$34,$B$35,$B$36,$B$38,$B$39)*100),0,B38/SUM($B$32,$B$34,$B$35,$B$36,$B$38,$B$39)*100)</f>
        <v>0.53081081081081072</v>
      </c>
      <c r="D38" s="236"/>
      <c r="G38" s="15"/>
    </row>
    <row r="39" spans="1:7">
      <c r="A39" s="173" t="s">
        <v>78</v>
      </c>
      <c r="B39" s="33">
        <f>IF((B25-(B29-B18))&lt;0,0,B25-(B29-B18)*0.9)</f>
        <v>1233.9000000000001</v>
      </c>
      <c r="C39" s="169">
        <f>IF(ISERROR(B39/SUM($B$32,$B$34,$B$35,$B$36,$B$38,$B$39)*100),0,B39/SUM($B$32,$B$34,$B$35,$B$36,$B$38,$B$39)*100)</f>
        <v>13.33945945945946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5145</v>
      </c>
      <c r="C44" s="34" t="s">
        <v>111</v>
      </c>
      <c r="D44" s="176"/>
    </row>
    <row r="45" spans="1:7">
      <c r="A45" s="173" t="s">
        <v>72</v>
      </c>
      <c r="B45" s="33" t="str">
        <f t="shared" si="0"/>
        <v>-</v>
      </c>
      <c r="C45" s="34" t="s">
        <v>111</v>
      </c>
      <c r="D45" s="176"/>
    </row>
    <row r="46" spans="1:7">
      <c r="A46" s="173" t="s">
        <v>73</v>
      </c>
      <c r="B46" s="33">
        <f t="shared" si="0"/>
        <v>453.22443376801647</v>
      </c>
      <c r="C46" s="34" t="s">
        <v>111</v>
      </c>
      <c r="D46" s="176"/>
    </row>
    <row r="47" spans="1:7">
      <c r="A47" s="173" t="s">
        <v>74</v>
      </c>
      <c r="B47" s="33">
        <f t="shared" si="0"/>
        <v>1938.7934111187371</v>
      </c>
      <c r="C47" s="34" t="s">
        <v>111</v>
      </c>
      <c r="D47" s="176"/>
    </row>
    <row r="48" spans="1:7">
      <c r="A48" s="173" t="s">
        <v>75</v>
      </c>
      <c r="B48" s="33">
        <f t="shared" si="0"/>
        <v>429.98215511324639</v>
      </c>
      <c r="C48" s="33">
        <f>B48*10</f>
        <v>4299.8215511324643</v>
      </c>
      <c r="D48" s="236"/>
    </row>
    <row r="49" spans="1:6">
      <c r="A49" s="173" t="s">
        <v>76</v>
      </c>
      <c r="B49" s="33" t="str">
        <f t="shared" si="0"/>
        <v>-</v>
      </c>
      <c r="C49" s="34" t="s">
        <v>111</v>
      </c>
      <c r="D49" s="236"/>
    </row>
    <row r="50" spans="1:6">
      <c r="A50" s="173" t="s">
        <v>77</v>
      </c>
      <c r="B50" s="33">
        <f t="shared" si="0"/>
        <v>49.099999999999994</v>
      </c>
      <c r="C50" s="33">
        <f>B50*2</f>
        <v>98.199999999999989</v>
      </c>
      <c r="D50" s="236"/>
    </row>
    <row r="51" spans="1:6">
      <c r="A51" s="173" t="s">
        <v>78</v>
      </c>
      <c r="B51" s="33">
        <f t="shared" si="0"/>
        <v>1233.9000000000001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30099.813228903236</v>
      </c>
      <c r="C5" s="17">
        <f>IF(ISERROR('Eigen informatie GS &amp; warmtenet'!B58),0,'Eigen informatie GS &amp; warmtenet'!B58)</f>
        <v>0</v>
      </c>
      <c r="D5" s="30">
        <f>SUM(D6:D12)</f>
        <v>27136.221835054188</v>
      </c>
      <c r="E5" s="17">
        <f>SUM(E6:E12)</f>
        <v>406.96927882001432</v>
      </c>
      <c r="F5" s="17">
        <f>SUM(F6:F12)</f>
        <v>5894.9653542473934</v>
      </c>
      <c r="G5" s="18"/>
      <c r="H5" s="17"/>
      <c r="I5" s="17"/>
      <c r="J5" s="17">
        <f>SUM(J6:J12)</f>
        <v>0</v>
      </c>
      <c r="K5" s="17"/>
      <c r="L5" s="17"/>
      <c r="M5" s="17"/>
      <c r="N5" s="17">
        <f>SUM(N6:N12)</f>
        <v>2291.472717791687</v>
      </c>
      <c r="O5" s="17">
        <f>B38*B39*B40</f>
        <v>1.5633333333333335</v>
      </c>
      <c r="P5" s="17">
        <f>B46*B47*B48/1000-B46*B47*B48/1000/B49</f>
        <v>0</v>
      </c>
      <c r="R5" s="32"/>
    </row>
    <row r="6" spans="1:18">
      <c r="A6" s="32" t="s">
        <v>54</v>
      </c>
      <c r="B6" s="37">
        <f>B26</f>
        <v>9268.7205821310999</v>
      </c>
      <c r="C6" s="33"/>
      <c r="D6" s="37">
        <f>IF(ISERROR(TER_kantoor_gas_kWh/1000),0,TER_kantoor_gas_kWh/1000)*0.902</f>
        <v>7970.9959540731525</v>
      </c>
      <c r="E6" s="33">
        <f>$C$26*'E Balans VL '!I12/100/3.6*1000000</f>
        <v>36.010941764059808</v>
      </c>
      <c r="F6" s="33">
        <f>$C$26*('E Balans VL '!L12+'E Balans VL '!N12)/100/3.6*1000000</f>
        <v>1409.688061908902</v>
      </c>
      <c r="G6" s="34"/>
      <c r="H6" s="33"/>
      <c r="I6" s="33"/>
      <c r="J6" s="33">
        <f>$C$26*('E Balans VL '!D12+'E Balans VL '!E12)/100/3.6*1000000</f>
        <v>0</v>
      </c>
      <c r="K6" s="33"/>
      <c r="L6" s="33"/>
      <c r="M6" s="33"/>
      <c r="N6" s="33">
        <f>$C$26*'E Balans VL '!Y12/100/3.6*1000000</f>
        <v>5.1081754061350697</v>
      </c>
      <c r="O6" s="33"/>
      <c r="P6" s="33"/>
      <c r="R6" s="32"/>
    </row>
    <row r="7" spans="1:18">
      <c r="A7" s="32" t="s">
        <v>53</v>
      </c>
      <c r="B7" s="37">
        <f t="shared" ref="B7:B12" si="0">B27</f>
        <v>2842.4149203470497</v>
      </c>
      <c r="C7" s="33"/>
      <c r="D7" s="37">
        <f>IF(ISERROR(TER_horeca_gas_kWh/1000),0,TER_horeca_gas_kWh/1000)*0.902</f>
        <v>3744.2833469639886</v>
      </c>
      <c r="E7" s="33">
        <f>$C$27*'E Balans VL '!I9/100/3.6*1000000</f>
        <v>160.11399239899089</v>
      </c>
      <c r="F7" s="33">
        <f>$C$27*('E Balans VL '!L9+'E Balans VL '!N9)/100/3.6*1000000</f>
        <v>819.58229112069671</v>
      </c>
      <c r="G7" s="34"/>
      <c r="H7" s="33"/>
      <c r="I7" s="33"/>
      <c r="J7" s="33">
        <f>$C$27*('E Balans VL '!D9+'E Balans VL '!E9)/100/3.6*1000000</f>
        <v>0</v>
      </c>
      <c r="K7" s="33"/>
      <c r="L7" s="33"/>
      <c r="M7" s="33"/>
      <c r="N7" s="33">
        <f>$C$27*'E Balans VL '!Y9/100/3.6*1000000</f>
        <v>0.78477598893017586</v>
      </c>
      <c r="O7" s="33"/>
      <c r="P7" s="33"/>
      <c r="R7" s="32"/>
    </row>
    <row r="8" spans="1:18">
      <c r="A8" s="6" t="s">
        <v>52</v>
      </c>
      <c r="B8" s="37">
        <f t="shared" si="0"/>
        <v>10094.566899722</v>
      </c>
      <c r="C8" s="33"/>
      <c r="D8" s="37">
        <f>IF(ISERROR(TER_handel_gas_kWh/1000),0,TER_handel_gas_kWh/1000)*0.902</f>
        <v>5209.4968276007858</v>
      </c>
      <c r="E8" s="33">
        <f>$C$28*'E Balans VL '!I13/100/3.6*1000000</f>
        <v>145.49695648369567</v>
      </c>
      <c r="F8" s="33">
        <f>$C$28*('E Balans VL '!L13+'E Balans VL '!N13)/100/3.6*1000000</f>
        <v>1753.661357081432</v>
      </c>
      <c r="G8" s="34"/>
      <c r="H8" s="33"/>
      <c r="I8" s="33"/>
      <c r="J8" s="33">
        <f>$C$28*('E Balans VL '!D13+'E Balans VL '!E13)/100/3.6*1000000</f>
        <v>0</v>
      </c>
      <c r="K8" s="33"/>
      <c r="L8" s="33"/>
      <c r="M8" s="33"/>
      <c r="N8" s="33">
        <f>$C$28*'E Balans VL '!Y13/100/3.6*1000000</f>
        <v>30.244446181903822</v>
      </c>
      <c r="O8" s="33"/>
      <c r="P8" s="33"/>
      <c r="R8" s="32"/>
    </row>
    <row r="9" spans="1:18">
      <c r="A9" s="32" t="s">
        <v>51</v>
      </c>
      <c r="B9" s="37">
        <f t="shared" si="0"/>
        <v>337.85176298973096</v>
      </c>
      <c r="C9" s="33"/>
      <c r="D9" s="37">
        <f>IF(ISERROR(TER_gezond_gas_kWh/1000),0,TER_gezond_gas_kWh/1000)*0.902</f>
        <v>563.20678243517295</v>
      </c>
      <c r="E9" s="33">
        <f>$C$29*'E Balans VL '!I10/100/3.6*1000000</f>
        <v>0.36091325083416814</v>
      </c>
      <c r="F9" s="33">
        <f>$C$29*('E Balans VL '!L10+'E Balans VL '!N10)/100/3.6*1000000</f>
        <v>55.113890244000295</v>
      </c>
      <c r="G9" s="34"/>
      <c r="H9" s="33"/>
      <c r="I9" s="33"/>
      <c r="J9" s="33">
        <f>$C$29*('E Balans VL '!D10+'E Balans VL '!E10)/100/3.6*1000000</f>
        <v>0</v>
      </c>
      <c r="K9" s="33"/>
      <c r="L9" s="33"/>
      <c r="M9" s="33"/>
      <c r="N9" s="33">
        <f>$C$29*'E Balans VL '!Y10/100/3.6*1000000</f>
        <v>3.4779911256092264</v>
      </c>
      <c r="O9" s="33"/>
      <c r="P9" s="33"/>
      <c r="R9" s="32"/>
    </row>
    <row r="10" spans="1:18">
      <c r="A10" s="32" t="s">
        <v>50</v>
      </c>
      <c r="B10" s="37">
        <f t="shared" si="0"/>
        <v>2747.5724526572303</v>
      </c>
      <c r="C10" s="33"/>
      <c r="D10" s="37">
        <f>IF(ISERROR(TER_ander_gas_kWh/1000),0,TER_ander_gas_kWh/1000)*0.902</f>
        <v>2740.8758851613593</v>
      </c>
      <c r="E10" s="33">
        <f>$C$30*'E Balans VL '!I14/100/3.6*1000000</f>
        <v>12.635667772975584</v>
      </c>
      <c r="F10" s="33">
        <f>$C$30*('E Balans VL '!L14+'E Balans VL '!N14)/100/3.6*1000000</f>
        <v>823.53413028594127</v>
      </c>
      <c r="G10" s="34"/>
      <c r="H10" s="33"/>
      <c r="I10" s="33"/>
      <c r="J10" s="33">
        <f>$C$30*('E Balans VL '!D14+'E Balans VL '!E14)/100/3.6*1000000</f>
        <v>0</v>
      </c>
      <c r="K10" s="33"/>
      <c r="L10" s="33"/>
      <c r="M10" s="33"/>
      <c r="N10" s="33">
        <f>$C$30*'E Balans VL '!Y14/100/3.6*1000000</f>
        <v>1912.4917964190511</v>
      </c>
      <c r="O10" s="33"/>
      <c r="P10" s="33"/>
      <c r="R10" s="32"/>
    </row>
    <row r="11" spans="1:18">
      <c r="A11" s="32" t="s">
        <v>55</v>
      </c>
      <c r="B11" s="37">
        <f t="shared" si="0"/>
        <v>533.49754185055394</v>
      </c>
      <c r="C11" s="33"/>
      <c r="D11" s="37">
        <f>IF(ISERROR(TER_onderwijs_gas_kWh/1000),0,TER_onderwijs_gas_kWh/1000)*0.902</f>
        <v>663.90222494470686</v>
      </c>
      <c r="E11" s="33">
        <f>$C$31*'E Balans VL '!I11/100/3.6*1000000</f>
        <v>0.49488912967630283</v>
      </c>
      <c r="F11" s="33">
        <f>$C$31*('E Balans VL '!L11+'E Balans VL '!N11)/100/3.6*1000000</f>
        <v>187.40542489265982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4275.1890692055704</v>
      </c>
      <c r="C12" s="33"/>
      <c r="D12" s="37">
        <f>IF(ISERROR(TER_rest_gas_kWh/1000),0,TER_rest_gas_kWh/1000)*0.902</f>
        <v>6243.4608138750245</v>
      </c>
      <c r="E12" s="33">
        <f>$C$32*'E Balans VL '!I8/100/3.6*1000000</f>
        <v>51.855918019781889</v>
      </c>
      <c r="F12" s="33">
        <f>$C$32*('E Balans VL '!L8+'E Balans VL '!N8)/100/3.6*1000000</f>
        <v>845.9801987137613</v>
      </c>
      <c r="G12" s="34"/>
      <c r="H12" s="33"/>
      <c r="I12" s="33"/>
      <c r="J12" s="33">
        <f>$C$32*('E Balans VL '!D8+'E Balans VL '!E8)/100/3.6*1000000</f>
        <v>0</v>
      </c>
      <c r="K12" s="33"/>
      <c r="L12" s="33"/>
      <c r="M12" s="33"/>
      <c r="N12" s="33">
        <f>$C$32*'E Balans VL '!Y8/100/3.6*1000000</f>
        <v>339.36553267005763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30099.813228903236</v>
      </c>
      <c r="C16" s="21">
        <f t="shared" ca="1" si="1"/>
        <v>0</v>
      </c>
      <c r="D16" s="21">
        <f t="shared" ca="1" si="1"/>
        <v>27136.221835054188</v>
      </c>
      <c r="E16" s="21">
        <f t="shared" si="1"/>
        <v>406.96927882001432</v>
      </c>
      <c r="F16" s="21">
        <f t="shared" ca="1" si="1"/>
        <v>5894.9653542473934</v>
      </c>
      <c r="G16" s="21">
        <f t="shared" si="1"/>
        <v>0</v>
      </c>
      <c r="H16" s="21">
        <f t="shared" si="1"/>
        <v>0</v>
      </c>
      <c r="I16" s="21">
        <f t="shared" si="1"/>
        <v>0</v>
      </c>
      <c r="J16" s="21">
        <f t="shared" si="1"/>
        <v>0</v>
      </c>
      <c r="K16" s="21">
        <f t="shared" si="1"/>
        <v>0</v>
      </c>
      <c r="L16" s="21">
        <f t="shared" ca="1" si="1"/>
        <v>0</v>
      </c>
      <c r="M16" s="21">
        <f t="shared" si="1"/>
        <v>0</v>
      </c>
      <c r="N16" s="21">
        <f t="shared" ca="1" si="1"/>
        <v>2291.472717791687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0.20426735888981642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6148.4093513448215</v>
      </c>
      <c r="C20" s="23">
        <f t="shared" ref="C20:P20" ca="1" si="2">C16*C18</f>
        <v>0</v>
      </c>
      <c r="D20" s="23">
        <f t="shared" ca="1" si="2"/>
        <v>5481.516810680946</v>
      </c>
      <c r="E20" s="23">
        <f t="shared" si="2"/>
        <v>92.382026292143252</v>
      </c>
      <c r="F20" s="23">
        <f t="shared" ca="1" si="2"/>
        <v>1573.955749584054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9268.7205821310999</v>
      </c>
      <c r="C26" s="39">
        <f>IF(ISERROR(B26*3.6/1000000/'E Balans VL '!Z12*100),0,B26*3.6/1000000/'E Balans VL '!Z12*100)</f>
        <v>0.19687221629180254</v>
      </c>
      <c r="D26" s="239" t="s">
        <v>692</v>
      </c>
      <c r="F26" s="6"/>
    </row>
    <row r="27" spans="1:18">
      <c r="A27" s="233" t="s">
        <v>53</v>
      </c>
      <c r="B27" s="33">
        <f>IF(ISERROR(TER_horeca_ele_kWh/1000),0,TER_horeca_ele_kWh/1000)</f>
        <v>2842.4149203470497</v>
      </c>
      <c r="C27" s="39">
        <f>IF(ISERROR(B27*3.6/1000000/'E Balans VL '!Z9*100),0,B27*3.6/1000000/'E Balans VL '!Z9*100)</f>
        <v>0.22101507058639711</v>
      </c>
      <c r="D27" s="239" t="s">
        <v>692</v>
      </c>
      <c r="F27" s="6"/>
    </row>
    <row r="28" spans="1:18">
      <c r="A28" s="173" t="s">
        <v>52</v>
      </c>
      <c r="B28" s="33">
        <f>IF(ISERROR(TER_handel_ele_kWh/1000),0,TER_handel_ele_kWh/1000)</f>
        <v>10094.566899722</v>
      </c>
      <c r="C28" s="39">
        <f>IF(ISERROR(B28*3.6/1000000/'E Balans VL '!Z13*100),0,B28*3.6/1000000/'E Balans VL '!Z13*100)</f>
        <v>0.28881743911785895</v>
      </c>
      <c r="D28" s="239" t="s">
        <v>692</v>
      </c>
      <c r="F28" s="6"/>
    </row>
    <row r="29" spans="1:18">
      <c r="A29" s="233" t="s">
        <v>51</v>
      </c>
      <c r="B29" s="33">
        <f>IF(ISERROR(TER_gezond_ele_kWh/1000),0,TER_gezond_ele_kWh/1000)</f>
        <v>337.85176298973096</v>
      </c>
      <c r="C29" s="39">
        <f>IF(ISERROR(B29*3.6/1000000/'E Balans VL '!Z10*100),0,B29*3.6/1000000/'E Balans VL '!Z10*100)</f>
        <v>3.6833692899299761E-2</v>
      </c>
      <c r="D29" s="239" t="s">
        <v>692</v>
      </c>
      <c r="F29" s="6"/>
    </row>
    <row r="30" spans="1:18">
      <c r="A30" s="233" t="s">
        <v>50</v>
      </c>
      <c r="B30" s="33">
        <f>IF(ISERROR(TER_ander_ele_kWh/1000),0,TER_ander_ele_kWh/1000)</f>
        <v>2747.5724526572303</v>
      </c>
      <c r="C30" s="39">
        <f>IF(ISERROR(B30*3.6/1000000/'E Balans VL '!Z14*100),0,B30*3.6/1000000/'E Balans VL '!Z14*100)</f>
        <v>0.20106111936509666</v>
      </c>
      <c r="D30" s="239" t="s">
        <v>692</v>
      </c>
      <c r="F30" s="6"/>
    </row>
    <row r="31" spans="1:18">
      <c r="A31" s="233" t="s">
        <v>55</v>
      </c>
      <c r="B31" s="33">
        <f>IF(ISERROR(TER_onderwijs_ele_kWh/1000),0,TER_onderwijs_ele_kWh/1000)</f>
        <v>533.49754185055394</v>
      </c>
      <c r="C31" s="39">
        <f>IF(ISERROR(B31*3.6/1000000/'E Balans VL '!Z11*100),0,B31*3.6/1000000/'E Balans VL '!Z11*100)</f>
        <v>0.10715337744503414</v>
      </c>
      <c r="D31" s="239" t="s">
        <v>692</v>
      </c>
    </row>
    <row r="32" spans="1:18">
      <c r="A32" s="233" t="s">
        <v>260</v>
      </c>
      <c r="B32" s="33">
        <f>IF(ISERROR(TER_rest_ele_kWh/1000),0,TER_rest_ele_kWh/1000)</f>
        <v>4275.1890692055704</v>
      </c>
      <c r="C32" s="39">
        <f>IF(ISERROR(B32*3.6/1000000/'E Balans VL '!Z8*100),0,B32*3.6/1000000/'E Balans VL '!Z8*100)</f>
        <v>3.4840196433602748E-2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26102.154460562862</v>
      </c>
      <c r="C5" s="17">
        <f>IF(ISERROR('Eigen informatie GS &amp; warmtenet'!B59),0,'Eigen informatie GS &amp; warmtenet'!B59)</f>
        <v>0</v>
      </c>
      <c r="D5" s="30">
        <f>SUM(D6:D15)</f>
        <v>31332.519798062945</v>
      </c>
      <c r="E5" s="17">
        <f>SUM(E6:E15)</f>
        <v>1806.7355522595294</v>
      </c>
      <c r="F5" s="17">
        <f>SUM(F6:F15)</f>
        <v>9186.2346858534765</v>
      </c>
      <c r="G5" s="18"/>
      <c r="H5" s="17"/>
      <c r="I5" s="17"/>
      <c r="J5" s="17">
        <f>SUM(J6:J15)</f>
        <v>39.98161409947739</v>
      </c>
      <c r="K5" s="17"/>
      <c r="L5" s="17"/>
      <c r="M5" s="17"/>
      <c r="N5" s="17">
        <f>SUM(N6:N15)</f>
        <v>13519.664413217246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1499.3799334839698</v>
      </c>
      <c r="C8" s="33"/>
      <c r="D8" s="37">
        <f>IF( ISERROR(IND_metaal_Gas_kWH/1000),0,IND_metaal_Gas_kWH/1000)*0.902</f>
        <v>3044.8439724587961</v>
      </c>
      <c r="E8" s="33">
        <f>C30*'E Balans VL '!I18/100/3.6*1000000</f>
        <v>43.067819671497219</v>
      </c>
      <c r="F8" s="33">
        <f>C30*'E Balans VL '!L18/100/3.6*1000000+C30*'E Balans VL '!N18/100/3.6*1000000</f>
        <v>384.56211571828334</v>
      </c>
      <c r="G8" s="34"/>
      <c r="H8" s="33"/>
      <c r="I8" s="33"/>
      <c r="J8" s="40">
        <f>C30*'E Balans VL '!D18/100/3.6*1000000+C30*'E Balans VL '!E18/100/3.6*1000000</f>
        <v>0</v>
      </c>
      <c r="K8" s="33"/>
      <c r="L8" s="33"/>
      <c r="M8" s="33"/>
      <c r="N8" s="33">
        <f>C30*'E Balans VL '!Y18/100/3.6*1000000</f>
        <v>40.711225862162507</v>
      </c>
      <c r="O8" s="33"/>
      <c r="P8" s="33"/>
      <c r="R8" s="32"/>
    </row>
    <row r="9" spans="1:18">
      <c r="A9" s="6" t="s">
        <v>33</v>
      </c>
      <c r="B9" s="37">
        <f t="shared" si="0"/>
        <v>2503.8950958365403</v>
      </c>
      <c r="C9" s="33"/>
      <c r="D9" s="37">
        <f>IF( ISERROR(IND_andere_gas_kWh/1000),0,IND_andere_gas_kWh/1000)*0.902</f>
        <v>1924.0885857800934</v>
      </c>
      <c r="E9" s="33">
        <f>C31*'E Balans VL '!I19/100/3.6*1000000</f>
        <v>677.7428390729583</v>
      </c>
      <c r="F9" s="33">
        <f>C31*'E Balans VL '!L19/100/3.6*1000000+C31*'E Balans VL '!N19/100/3.6*1000000</f>
        <v>1667.8591012773927</v>
      </c>
      <c r="G9" s="34"/>
      <c r="H9" s="33"/>
      <c r="I9" s="33"/>
      <c r="J9" s="40">
        <f>C31*'E Balans VL '!D19/100/3.6*1000000+C31*'E Balans VL '!E19/100/3.6*1000000</f>
        <v>0</v>
      </c>
      <c r="K9" s="33"/>
      <c r="L9" s="33"/>
      <c r="M9" s="33"/>
      <c r="N9" s="33">
        <f>C31*'E Balans VL '!Y19/100/3.6*1000000</f>
        <v>817.48015553224809</v>
      </c>
      <c r="O9" s="33"/>
      <c r="P9" s="33"/>
      <c r="R9" s="32"/>
    </row>
    <row r="10" spans="1:18">
      <c r="A10" s="6" t="s">
        <v>41</v>
      </c>
      <c r="B10" s="37">
        <f t="shared" si="0"/>
        <v>2111.5588000867001</v>
      </c>
      <c r="C10" s="33"/>
      <c r="D10" s="37">
        <f>IF( ISERROR(IND_voed_gas_kWh/1000),0,IND_voed_gas_kWh/1000)*0.902</f>
        <v>2059.3812696872455</v>
      </c>
      <c r="E10" s="33">
        <f>C32*'E Balans VL '!I20/100/3.6*1000000</f>
        <v>172.22358691518019</v>
      </c>
      <c r="F10" s="33">
        <f>C32*'E Balans VL '!L20/100/3.6*1000000+C32*'E Balans VL '!N20/100/3.6*1000000</f>
        <v>3148.5257483298728</v>
      </c>
      <c r="G10" s="34"/>
      <c r="H10" s="33"/>
      <c r="I10" s="33"/>
      <c r="J10" s="40">
        <f>C32*'E Balans VL '!D20/100/3.6*1000000+C32*'E Balans VL '!E20/100/3.6*1000000</f>
        <v>2.7933359836603635E-2</v>
      </c>
      <c r="K10" s="33"/>
      <c r="L10" s="33"/>
      <c r="M10" s="33"/>
      <c r="N10" s="33">
        <f>C32*'E Balans VL '!Y20/100/3.6*1000000</f>
        <v>620.30146658955005</v>
      </c>
      <c r="O10" s="33"/>
      <c r="P10" s="33"/>
      <c r="R10" s="32"/>
    </row>
    <row r="11" spans="1:18">
      <c r="A11" s="6" t="s">
        <v>40</v>
      </c>
      <c r="B11" s="37">
        <f t="shared" si="0"/>
        <v>197.21696290920099</v>
      </c>
      <c r="C11" s="33"/>
      <c r="D11" s="37">
        <f>IF( ISERROR(IND_textiel_gas_kWh/1000),0,IND_textiel_gas_kWh/1000)*0.902</f>
        <v>0</v>
      </c>
      <c r="E11" s="33">
        <f>C33*'E Balans VL '!I21/100/3.6*1000000</f>
        <v>3.9092437050421897E-2</v>
      </c>
      <c r="F11" s="33">
        <f>C33*'E Balans VL '!L21/100/3.6*1000000+C33*'E Balans VL '!N21/100/3.6*1000000</f>
        <v>7.2637386869712124</v>
      </c>
      <c r="G11" s="34"/>
      <c r="H11" s="33"/>
      <c r="I11" s="33"/>
      <c r="J11" s="40">
        <f>C33*'E Balans VL '!D21/100/3.6*1000000+C33*'E Balans VL '!E21/100/3.6*1000000</f>
        <v>0</v>
      </c>
      <c r="K11" s="33"/>
      <c r="L11" s="33"/>
      <c r="M11" s="33"/>
      <c r="N11" s="33">
        <f>C33*'E Balans VL '!Y21/100/3.6*1000000</f>
        <v>0.91700909171347456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4201.84754143995</v>
      </c>
      <c r="C13" s="33"/>
      <c r="D13" s="37">
        <f>IF( ISERROR(IND_papier_gas_kWh/1000),0,IND_papier_gas_kWh/1000)*0.902</f>
        <v>748.62915159317095</v>
      </c>
      <c r="E13" s="33">
        <f>C35*'E Balans VL '!I23/100/3.6*1000000</f>
        <v>44.022007828606348</v>
      </c>
      <c r="F13" s="33">
        <f>C35*'E Balans VL '!L23/100/3.6*1000000+C35*'E Balans VL '!N23/100/3.6*1000000</f>
        <v>313.54260830305708</v>
      </c>
      <c r="G13" s="34"/>
      <c r="H13" s="33"/>
      <c r="I13" s="33"/>
      <c r="J13" s="40">
        <f>C35*'E Balans VL '!D23/100/3.6*1000000+C35*'E Balans VL '!E23/100/3.6*1000000</f>
        <v>0</v>
      </c>
      <c r="K13" s="33"/>
      <c r="L13" s="33"/>
      <c r="M13" s="33"/>
      <c r="N13" s="33">
        <f>C35*'E Balans VL '!Y23/100/3.6*1000000</f>
        <v>8981.010544307177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15588.2561268065</v>
      </c>
      <c r="C15" s="33"/>
      <c r="D15" s="37">
        <f>IF( ISERROR(IND_rest_gas_kWh/1000),0,IND_rest_gas_kWh/1000)*0.902</f>
        <v>23555.576818543639</v>
      </c>
      <c r="E15" s="33">
        <f>C37*'E Balans VL '!I15/100/3.6*1000000</f>
        <v>869.64020633423695</v>
      </c>
      <c r="F15" s="33">
        <f>C37*'E Balans VL '!L15/100/3.6*1000000+C37*'E Balans VL '!N15/100/3.6*1000000</f>
        <v>3664.4813735378984</v>
      </c>
      <c r="G15" s="34"/>
      <c r="H15" s="33"/>
      <c r="I15" s="33"/>
      <c r="J15" s="40">
        <f>C37*'E Balans VL '!D15/100/3.6*1000000+C37*'E Balans VL '!E15/100/3.6*1000000</f>
        <v>39.953680739640788</v>
      </c>
      <c r="K15" s="33"/>
      <c r="L15" s="33"/>
      <c r="M15" s="33"/>
      <c r="N15" s="33">
        <f>C37*'E Balans VL '!Y15/100/3.6*1000000</f>
        <v>3059.2440118343952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26102.154460562862</v>
      </c>
      <c r="C18" s="21">
        <f>C5+C16</f>
        <v>0</v>
      </c>
      <c r="D18" s="21">
        <f>MAX((D5+D16),0)</f>
        <v>31332.519798062945</v>
      </c>
      <c r="E18" s="21">
        <f>MAX((E5+E16),0)</f>
        <v>1806.7355522595294</v>
      </c>
      <c r="F18" s="21">
        <f>MAX((F5+F16),0)</f>
        <v>9186.2346858534765</v>
      </c>
      <c r="G18" s="21"/>
      <c r="H18" s="21"/>
      <c r="I18" s="21"/>
      <c r="J18" s="21">
        <f>MAX((J5+J16),0)</f>
        <v>39.98161409947739</v>
      </c>
      <c r="K18" s="21"/>
      <c r="L18" s="21">
        <f>MAX((L5+L16),0)</f>
        <v>0</v>
      </c>
      <c r="M18" s="21"/>
      <c r="N18" s="21">
        <f>MAX((N5+N16),0)</f>
        <v>13519.664413217246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0.20426735888981642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5331.8181529932172</v>
      </c>
      <c r="C22" s="23">
        <f ca="1">C18*C20</f>
        <v>0</v>
      </c>
      <c r="D22" s="23">
        <f>D18*D20</f>
        <v>6329.1689992087158</v>
      </c>
      <c r="E22" s="23">
        <f>E18*E20</f>
        <v>410.12897036291321</v>
      </c>
      <c r="F22" s="23">
        <f>F18*F20</f>
        <v>2452.7246611228784</v>
      </c>
      <c r="G22" s="23"/>
      <c r="H22" s="23"/>
      <c r="I22" s="23"/>
      <c r="J22" s="23">
        <f>J18*J20</f>
        <v>14.153491391214995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1499.3799334839698</v>
      </c>
      <c r="C30" s="39">
        <f>IF(ISERROR(B30*3.6/1000000/'E Balans VL '!Z18*100),0,B30*3.6/1000000/'E Balans VL '!Z18*100)</f>
        <v>0.14753515794557809</v>
      </c>
      <c r="D30" s="239" t="s">
        <v>692</v>
      </c>
    </row>
    <row r="31" spans="1:18">
      <c r="A31" s="6" t="s">
        <v>33</v>
      </c>
      <c r="B31" s="37">
        <f>IF( ISERROR(IND_ander_ele_kWh/1000),0,IND_ander_ele_kWh/1000)</f>
        <v>2503.8950958365403</v>
      </c>
      <c r="C31" s="39">
        <f>IF(ISERROR(B31*3.6/1000000/'E Balans VL '!Z19*100),0,B31*3.6/1000000/'E Balans VL '!Z19*100)</f>
        <v>0.10904263408623847</v>
      </c>
      <c r="D31" s="239" t="s">
        <v>692</v>
      </c>
    </row>
    <row r="32" spans="1:18">
      <c r="A32" s="173" t="s">
        <v>41</v>
      </c>
      <c r="B32" s="37">
        <f>IF( ISERROR(IND_voed_ele_kWh/1000),0,IND_voed_ele_kWh/1000)</f>
        <v>2111.5588000867001</v>
      </c>
      <c r="C32" s="39">
        <f>IF(ISERROR(B32*3.6/1000000/'E Balans VL '!Z20*100),0,B32*3.6/1000000/'E Balans VL '!Z20*100)</f>
        <v>0.40063783032577338</v>
      </c>
      <c r="D32" s="239" t="s">
        <v>692</v>
      </c>
    </row>
    <row r="33" spans="1:5">
      <c r="A33" s="173" t="s">
        <v>40</v>
      </c>
      <c r="B33" s="37">
        <f>IF( ISERROR(IND_textiel_ele_kWh/1000),0,IND_textiel_ele_kWh/1000)</f>
        <v>197.21696290920099</v>
      </c>
      <c r="C33" s="39">
        <f>IF(ISERROR(B33*3.6/1000000/'E Balans VL '!Z21*100),0,B33*3.6/1000000/'E Balans VL '!Z21*100)</f>
        <v>1.1260088444534104E-2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4201.84754143995</v>
      </c>
      <c r="C35" s="39">
        <f>IF(ISERROR(B35*3.6/1000000/'E Balans VL '!Z22*100),0,B35*3.6/1000000/'E Balans VL '!Z22*100)</f>
        <v>0.59082195796430803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15588.2561268065</v>
      </c>
      <c r="C37" s="39">
        <f>IF(ISERROR(B37*3.6/1000000/'E Balans VL '!Z15*100),0,B37*3.6/1000000/'E Balans VL '!Z15*100)</f>
        <v>0.12012665978217198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3920.3153972630857</v>
      </c>
      <c r="C5" s="17">
        <f>'Eigen informatie GS &amp; warmtenet'!B60</f>
        <v>0</v>
      </c>
      <c r="D5" s="30">
        <f>IF(ISERROR(SUM(LB_lb_gas_kWh,LB_rest_gas_kWh)/1000),0,SUM(LB_lb_gas_kWh,LB_rest_gas_kWh)/1000)*0.902</f>
        <v>238.45980644332477</v>
      </c>
      <c r="E5" s="17">
        <f>B17*'E Balans VL '!I25/3.6*1000000/100</f>
        <v>49.401024398595375</v>
      </c>
      <c r="F5" s="17">
        <f>B17*('E Balans VL '!L25/3.6*1000000+'E Balans VL '!N25/3.6*1000000)/100</f>
        <v>13526.070218247403</v>
      </c>
      <c r="G5" s="18"/>
      <c r="H5" s="17"/>
      <c r="I5" s="17"/>
      <c r="J5" s="17">
        <f>('E Balans VL '!D25+'E Balans VL '!E25)/3.6*1000000*landbouw!B17/100</f>
        <v>589.57087117576214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3920.3153972630857</v>
      </c>
      <c r="C8" s="21">
        <f>C5+C6</f>
        <v>0</v>
      </c>
      <c r="D8" s="21">
        <f>MAX((D5+D6),0)</f>
        <v>238.45980644332477</v>
      </c>
      <c r="E8" s="21">
        <f>MAX((E5+E6),0)</f>
        <v>49.401024398595375</v>
      </c>
      <c r="F8" s="21">
        <f>MAX((F5+F6),0)</f>
        <v>13526.070218247403</v>
      </c>
      <c r="G8" s="21"/>
      <c r="H8" s="21"/>
      <c r="I8" s="21"/>
      <c r="J8" s="21">
        <f>MAX((J5+J6),0)</f>
        <v>589.57087117576214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0.20426735888981642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800.79247221401204</v>
      </c>
      <c r="C12" s="23">
        <f ca="1">C8*C10</f>
        <v>0</v>
      </c>
      <c r="D12" s="23">
        <f>D8*D10</f>
        <v>48.168880901551603</v>
      </c>
      <c r="E12" s="23">
        <f>E8*E10</f>
        <v>11.214032538481151</v>
      </c>
      <c r="F12" s="23">
        <f>F8*F10</f>
        <v>3611.4607482720571</v>
      </c>
      <c r="G12" s="23"/>
      <c r="H12" s="23"/>
      <c r="I12" s="23"/>
      <c r="J12" s="23">
        <f>J8*J10</f>
        <v>208.70808839621978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0.54676043674914743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876.79076761399642</v>
      </c>
      <c r="C26" s="249">
        <f>B26*'GWP N2O_CH4'!B5</f>
        <v>18412.606119893924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422.92181979907127</v>
      </c>
      <c r="C27" s="249">
        <f>B27*'GWP N2O_CH4'!B5</f>
        <v>8881.3582157804958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12.897298452682426</v>
      </c>
      <c r="C28" s="249">
        <f>B28*'GWP N2O_CH4'!B4</f>
        <v>3998.1625203315521</v>
      </c>
      <c r="D28" s="50"/>
    </row>
    <row r="29" spans="1:4">
      <c r="A29" s="41" t="s">
        <v>277</v>
      </c>
      <c r="B29" s="249">
        <f>B34*'ha_N2O bodem landbouw'!B4</f>
        <v>28.073569645712716</v>
      </c>
      <c r="C29" s="249">
        <f>B29*'GWP N2O_CH4'!B4</f>
        <v>8702.8065901709415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7.0096898215972221E-3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7.3101401865249347E-5</v>
      </c>
      <c r="C5" s="448" t="s">
        <v>211</v>
      </c>
      <c r="D5" s="433">
        <f>SUM(D6:D11)</f>
        <v>1.1531181273973748E-4</v>
      </c>
      <c r="E5" s="433">
        <f>SUM(E6:E11)</f>
        <v>4.154436730983908E-3</v>
      </c>
      <c r="F5" s="446" t="s">
        <v>211</v>
      </c>
      <c r="G5" s="433">
        <f>SUM(G6:G11)</f>
        <v>1.1557986812160006</v>
      </c>
      <c r="H5" s="433">
        <f>SUM(H6:H11)</f>
        <v>0.17830521678592412</v>
      </c>
      <c r="I5" s="448" t="s">
        <v>211</v>
      </c>
      <c r="J5" s="448" t="s">
        <v>211</v>
      </c>
      <c r="K5" s="448" t="s">
        <v>211</v>
      </c>
      <c r="L5" s="448" t="s">
        <v>211</v>
      </c>
      <c r="M5" s="433">
        <f>SUM(M6:M11)</f>
        <v>6.029409418162808E-2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1.4982596591836935E-5</v>
      </c>
      <c r="C6" s="887"/>
      <c r="D6" s="887">
        <f>vkm_2011_GW_PW*SUMIFS(TableVerdeelsleutelVkm[CNG],TableVerdeelsleutelVkm[Voertuigtype],"Lichte voertuigen")*SUMIFS(TableECFTransport[EnergieConsumptieFactor (PJ per km)],TableECFTransport[Index],CONCATENATE($A6,"_CNG_CNG"))</f>
        <v>2.1218287079488531E-5</v>
      </c>
      <c r="E6" s="887">
        <f>vkm_2011_GW_PW*SUMIFS(TableVerdeelsleutelVkm[LPG],TableVerdeelsleutelVkm[Voertuigtype],"Lichte voertuigen")*SUMIFS(TableECFTransport[EnergieConsumptieFactor (PJ per km)],TableECFTransport[Index],CONCATENATE($A6,"_LPG_LPG"))</f>
        <v>6.6639654472155007E-4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0.11976970638279702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3.2093256564491197E-2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6.8707656876105007E-3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7.1417619829515028E-2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2.5373939955924021E-5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3.2228511617288769E-3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7.8072307865279379E-6</v>
      </c>
      <c r="C8" s="887"/>
      <c r="D8" s="436">
        <f>vkm_2011_NGW_PW*SUMIFS(TableVerdeelsleutelVkm[CNG],TableVerdeelsleutelVkm[Voertuigtype],"Lichte voertuigen")*SUMIFS(TableECFTransport[EnergieConsumptieFactor (PJ per km)],TableECFTransport[Index],CONCATENATE($A8,"_CNG_CNG"))</f>
        <v>1.969746038677915E-5</v>
      </c>
      <c r="E8" s="436">
        <f>vkm_2011_NGW_PW*SUMIFS(TableVerdeelsleutelVkm[LPG],TableVerdeelsleutelVkm[Voertuigtype],"Lichte voertuigen")*SUMIFS(TableECFTransport[EnergieConsumptieFactor (PJ per km)],TableECFTransport[Index],CONCATENATE($A8,"_LPG_LPG"))</f>
        <v>5.6980323945714391E-4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9.6587174468059783E-2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2.8747279043256847E-2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5.6719495000418212E-3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3.0200491672741959E-2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1.0153628065544767E-5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1.3628262526626125E-3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5.0311574486884476E-5</v>
      </c>
      <c r="C10" s="887"/>
      <c r="D10" s="436">
        <f>vkm_2011_SW_PW*SUMIFS(TableVerdeelsleutelVkm[CNG],TableVerdeelsleutelVkm[Voertuigtype],"Lichte voertuigen")*SUMIFS(TableECFTransport[EnergieConsumptieFactor (PJ per km)],TableECFTransport[Index],CONCATENATE($A10,"_CNG_CNG"))</f>
        <v>7.43960652734698E-5</v>
      </c>
      <c r="E10" s="436">
        <f>vkm_2011_SW_PW*SUMIFS(TableVerdeelsleutelVkm[LPG],TableVerdeelsleutelVkm[Voertuigtype],"Lichte voertuigen")*SUMIFS(TableECFTransport[EnergieConsumptieFactor (PJ per km)],TableECFTransport[Index],CONCATENATE($A10,"_LPG_LPG"))</f>
        <v>2.9182369468052144E-3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0.47500318403147118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0.11729014113207695</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2.6792298209916215E-2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0.36282050483141565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1.3901247807764222E-4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1.6373403369668058E-2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20.30594496256926</v>
      </c>
      <c r="C14" s="21"/>
      <c r="D14" s="21">
        <f t="shared" ref="D14:M14" si="0">((D5)*10^9/3600)+D12</f>
        <v>32.031059094371521</v>
      </c>
      <c r="E14" s="21">
        <f t="shared" si="0"/>
        <v>1154.0102030510855</v>
      </c>
      <c r="F14" s="21"/>
      <c r="G14" s="21">
        <f t="shared" si="0"/>
        <v>321055.18922666681</v>
      </c>
      <c r="H14" s="21">
        <f t="shared" si="0"/>
        <v>49529.226884978918</v>
      </c>
      <c r="I14" s="21"/>
      <c r="J14" s="21"/>
      <c r="K14" s="21"/>
      <c r="L14" s="21"/>
      <c r="M14" s="21">
        <f t="shared" si="0"/>
        <v>16748.359494896689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0.20426735888981642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4.1478417472659954</v>
      </c>
      <c r="C18" s="23"/>
      <c r="D18" s="23">
        <f t="shared" ref="D18:M18" si="1">D14*D16</f>
        <v>6.4702739370630473</v>
      </c>
      <c r="E18" s="23">
        <f t="shared" si="1"/>
        <v>261.96031609259643</v>
      </c>
      <c r="F18" s="23"/>
      <c r="G18" s="23">
        <f t="shared" si="1"/>
        <v>85721.735523520038</v>
      </c>
      <c r="H18" s="23">
        <f t="shared" si="1"/>
        <v>12332.777494359751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5.8578945118743942E-3</v>
      </c>
      <c r="H50" s="323">
        <f t="shared" si="2"/>
        <v>0</v>
      </c>
      <c r="I50" s="323">
        <f t="shared" si="2"/>
        <v>0</v>
      </c>
      <c r="J50" s="323">
        <f t="shared" si="2"/>
        <v>0</v>
      </c>
      <c r="K50" s="323">
        <f t="shared" si="2"/>
        <v>0</v>
      </c>
      <c r="L50" s="323">
        <f t="shared" si="2"/>
        <v>0</v>
      </c>
      <c r="M50" s="323">
        <f t="shared" si="2"/>
        <v>2.6051489686318376E-4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5.8578945118743942E-3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2.6051489686318376E-4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1627.1929199651095</v>
      </c>
      <c r="H54" s="21">
        <f t="shared" si="3"/>
        <v>0</v>
      </c>
      <c r="I54" s="21">
        <f t="shared" si="3"/>
        <v>0</v>
      </c>
      <c r="J54" s="21">
        <f t="shared" si="3"/>
        <v>0</v>
      </c>
      <c r="K54" s="21">
        <f t="shared" si="3"/>
        <v>0</v>
      </c>
      <c r="L54" s="21">
        <f t="shared" si="3"/>
        <v>0</v>
      </c>
      <c r="M54" s="21">
        <f t="shared" si="3"/>
        <v>72.365249128662157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0.20426735888981642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434.46050963068427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31725.758228903236</v>
      </c>
      <c r="D10" s="690">
        <f ca="1">tertiair!C16</f>
        <v>0</v>
      </c>
      <c r="E10" s="690">
        <f ca="1">tertiair!D16</f>
        <v>27136.221835054188</v>
      </c>
      <c r="F10" s="690">
        <f>tertiair!E16</f>
        <v>406.96927882001432</v>
      </c>
      <c r="G10" s="690">
        <f ca="1">tertiair!F16</f>
        <v>5894.9653542473934</v>
      </c>
      <c r="H10" s="690">
        <f>tertiair!G16</f>
        <v>0</v>
      </c>
      <c r="I10" s="690">
        <f>tertiair!H16</f>
        <v>0</v>
      </c>
      <c r="J10" s="690">
        <f>tertiair!I16</f>
        <v>0</v>
      </c>
      <c r="K10" s="690">
        <f>tertiair!J16</f>
        <v>0</v>
      </c>
      <c r="L10" s="690">
        <f>tertiair!K16</f>
        <v>0</v>
      </c>
      <c r="M10" s="690">
        <f ca="1">tertiair!L16</f>
        <v>0</v>
      </c>
      <c r="N10" s="690">
        <f>tertiair!M16</f>
        <v>0</v>
      </c>
      <c r="O10" s="690">
        <f ca="1">tertiair!N16</f>
        <v>2291.472717791687</v>
      </c>
      <c r="P10" s="690">
        <f>tertiair!O16</f>
        <v>1.5633333333333335</v>
      </c>
      <c r="Q10" s="691">
        <f>tertiair!P16</f>
        <v>0</v>
      </c>
      <c r="R10" s="693">
        <f ca="1">SUM(C10:Q10)</f>
        <v>67456.950748149859</v>
      </c>
      <c r="S10" s="67"/>
    </row>
    <row r="11" spans="1:19" s="458" customFormat="1">
      <c r="A11" s="805" t="s">
        <v>225</v>
      </c>
      <c r="B11" s="810"/>
      <c r="C11" s="690">
        <f>huishoudens!B8</f>
        <v>45977.629054555808</v>
      </c>
      <c r="D11" s="690">
        <f>huishoudens!C8</f>
        <v>0</v>
      </c>
      <c r="E11" s="690">
        <f>huishoudens!D8</f>
        <v>80225.119870235809</v>
      </c>
      <c r="F11" s="690">
        <f>huishoudens!E8</f>
        <v>9444.1562288562072</v>
      </c>
      <c r="G11" s="690">
        <f>huishoudens!F8</f>
        <v>31201.480383370996</v>
      </c>
      <c r="H11" s="690">
        <f>huishoudens!G8</f>
        <v>0</v>
      </c>
      <c r="I11" s="690">
        <f>huishoudens!H8</f>
        <v>0</v>
      </c>
      <c r="J11" s="690">
        <f>huishoudens!I8</f>
        <v>0</v>
      </c>
      <c r="K11" s="690">
        <f>huishoudens!J8</f>
        <v>1997.538960355278</v>
      </c>
      <c r="L11" s="690">
        <f>huishoudens!K8</f>
        <v>0</v>
      </c>
      <c r="M11" s="690">
        <f>huishoudens!L8</f>
        <v>0</v>
      </c>
      <c r="N11" s="690">
        <f>huishoudens!M8</f>
        <v>0</v>
      </c>
      <c r="O11" s="690">
        <f>huishoudens!N8</f>
        <v>33589.791401819377</v>
      </c>
      <c r="P11" s="690">
        <f>huishoudens!O8</f>
        <v>331.42666666666673</v>
      </c>
      <c r="Q11" s="691">
        <f>huishoudens!P8</f>
        <v>724.5333333333333</v>
      </c>
      <c r="R11" s="693">
        <f>SUM(C11:Q11)</f>
        <v>203491.67589919348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26102.154460562862</v>
      </c>
      <c r="D13" s="690">
        <f>industrie!C18</f>
        <v>0</v>
      </c>
      <c r="E13" s="690">
        <f>industrie!D18</f>
        <v>31332.519798062945</v>
      </c>
      <c r="F13" s="690">
        <f>industrie!E18</f>
        <v>1806.7355522595294</v>
      </c>
      <c r="G13" s="690">
        <f>industrie!F18</f>
        <v>9186.2346858534765</v>
      </c>
      <c r="H13" s="690">
        <f>industrie!G18</f>
        <v>0</v>
      </c>
      <c r="I13" s="690">
        <f>industrie!H18</f>
        <v>0</v>
      </c>
      <c r="J13" s="690">
        <f>industrie!I18</f>
        <v>0</v>
      </c>
      <c r="K13" s="690">
        <f>industrie!J18</f>
        <v>39.98161409947739</v>
      </c>
      <c r="L13" s="690">
        <f>industrie!K18</f>
        <v>0</v>
      </c>
      <c r="M13" s="690">
        <f>industrie!L18</f>
        <v>0</v>
      </c>
      <c r="N13" s="690">
        <f>industrie!M18</f>
        <v>0</v>
      </c>
      <c r="O13" s="690">
        <f>industrie!N18</f>
        <v>13519.664413217246</v>
      </c>
      <c r="P13" s="690">
        <f>industrie!O18</f>
        <v>0</v>
      </c>
      <c r="Q13" s="691">
        <f>industrie!P18</f>
        <v>0</v>
      </c>
      <c r="R13" s="693">
        <f>SUM(C13:Q13)</f>
        <v>81987.290524055541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103805.5417440219</v>
      </c>
      <c r="D16" s="725">
        <f t="shared" ref="D16:R16" ca="1" si="0">SUM(D9:D15)</f>
        <v>0</v>
      </c>
      <c r="E16" s="725">
        <f t="shared" ca="1" si="0"/>
        <v>138693.86150335293</v>
      </c>
      <c r="F16" s="725">
        <f t="shared" si="0"/>
        <v>11657.861059935751</v>
      </c>
      <c r="G16" s="725">
        <f t="shared" ca="1" si="0"/>
        <v>46282.680423471858</v>
      </c>
      <c r="H16" s="725">
        <f t="shared" si="0"/>
        <v>0</v>
      </c>
      <c r="I16" s="725">
        <f t="shared" si="0"/>
        <v>0</v>
      </c>
      <c r="J16" s="725">
        <f t="shared" si="0"/>
        <v>0</v>
      </c>
      <c r="K16" s="725">
        <f t="shared" si="0"/>
        <v>2037.5205744547554</v>
      </c>
      <c r="L16" s="725">
        <f t="shared" si="0"/>
        <v>0</v>
      </c>
      <c r="M16" s="725">
        <f t="shared" ca="1" si="0"/>
        <v>0</v>
      </c>
      <c r="N16" s="725">
        <f t="shared" si="0"/>
        <v>0</v>
      </c>
      <c r="O16" s="725">
        <f t="shared" ca="1" si="0"/>
        <v>49400.928532828308</v>
      </c>
      <c r="P16" s="725">
        <f t="shared" si="0"/>
        <v>332.99000000000007</v>
      </c>
      <c r="Q16" s="725">
        <f t="shared" si="0"/>
        <v>724.5333333333333</v>
      </c>
      <c r="R16" s="725">
        <f t="shared" ca="1" si="0"/>
        <v>352935.91717139888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1627.1929199651095</v>
      </c>
      <c r="I19" s="690">
        <f>transport!H54</f>
        <v>0</v>
      </c>
      <c r="J19" s="690">
        <f>transport!I54</f>
        <v>0</v>
      </c>
      <c r="K19" s="690">
        <f>transport!J54</f>
        <v>0</v>
      </c>
      <c r="L19" s="690">
        <f>transport!K54</f>
        <v>0</v>
      </c>
      <c r="M19" s="690">
        <f>transport!L54</f>
        <v>0</v>
      </c>
      <c r="N19" s="690">
        <f>transport!M54</f>
        <v>72.365249128662157</v>
      </c>
      <c r="O19" s="690">
        <f>transport!N54</f>
        <v>0</v>
      </c>
      <c r="P19" s="690">
        <f>transport!O54</f>
        <v>0</v>
      </c>
      <c r="Q19" s="691">
        <f>transport!P54</f>
        <v>0</v>
      </c>
      <c r="R19" s="693">
        <f>SUM(C19:Q19)</f>
        <v>1699.5581690937715</v>
      </c>
      <c r="S19" s="67"/>
    </row>
    <row r="20" spans="1:19" s="458" customFormat="1">
      <c r="A20" s="805" t="s">
        <v>307</v>
      </c>
      <c r="B20" s="810"/>
      <c r="C20" s="690">
        <f>transport!B14</f>
        <v>20.30594496256926</v>
      </c>
      <c r="D20" s="690">
        <f>transport!C14</f>
        <v>0</v>
      </c>
      <c r="E20" s="690">
        <f>transport!D14</f>
        <v>32.031059094371521</v>
      </c>
      <c r="F20" s="690">
        <f>transport!E14</f>
        <v>1154.0102030510855</v>
      </c>
      <c r="G20" s="690">
        <f>transport!F14</f>
        <v>0</v>
      </c>
      <c r="H20" s="690">
        <f>transport!G14</f>
        <v>321055.18922666681</v>
      </c>
      <c r="I20" s="690">
        <f>transport!H14</f>
        <v>49529.226884978918</v>
      </c>
      <c r="J20" s="690">
        <f>transport!I14</f>
        <v>0</v>
      </c>
      <c r="K20" s="690">
        <f>transport!J14</f>
        <v>0</v>
      </c>
      <c r="L20" s="690">
        <f>transport!K14</f>
        <v>0</v>
      </c>
      <c r="M20" s="690">
        <f>transport!L14</f>
        <v>0</v>
      </c>
      <c r="N20" s="690">
        <f>transport!M14</f>
        <v>16748.359494896689</v>
      </c>
      <c r="O20" s="690">
        <f>transport!N14</f>
        <v>0</v>
      </c>
      <c r="P20" s="690">
        <f>transport!O14</f>
        <v>0</v>
      </c>
      <c r="Q20" s="691">
        <f>transport!P14</f>
        <v>0</v>
      </c>
      <c r="R20" s="693">
        <f>SUM(C20:Q20)</f>
        <v>388539.12281365047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20.30594496256926</v>
      </c>
      <c r="D22" s="808">
        <f t="shared" ref="D22:R22" si="1">SUM(D18:D21)</f>
        <v>0</v>
      </c>
      <c r="E22" s="808">
        <f t="shared" si="1"/>
        <v>32.031059094371521</v>
      </c>
      <c r="F22" s="808">
        <f t="shared" si="1"/>
        <v>1154.0102030510855</v>
      </c>
      <c r="G22" s="808">
        <f t="shared" si="1"/>
        <v>0</v>
      </c>
      <c r="H22" s="808">
        <f t="shared" si="1"/>
        <v>322682.38214663195</v>
      </c>
      <c r="I22" s="808">
        <f t="shared" si="1"/>
        <v>49529.226884978918</v>
      </c>
      <c r="J22" s="808">
        <f t="shared" si="1"/>
        <v>0</v>
      </c>
      <c r="K22" s="808">
        <f t="shared" si="1"/>
        <v>0</v>
      </c>
      <c r="L22" s="808">
        <f t="shared" si="1"/>
        <v>0</v>
      </c>
      <c r="M22" s="808">
        <f t="shared" si="1"/>
        <v>0</v>
      </c>
      <c r="N22" s="808">
        <f t="shared" si="1"/>
        <v>16820.724744025352</v>
      </c>
      <c r="O22" s="808">
        <f t="shared" si="1"/>
        <v>0</v>
      </c>
      <c r="P22" s="808">
        <f t="shared" si="1"/>
        <v>0</v>
      </c>
      <c r="Q22" s="808">
        <f t="shared" si="1"/>
        <v>0</v>
      </c>
      <c r="R22" s="808">
        <f t="shared" si="1"/>
        <v>390238.68098274426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3920.3153972630857</v>
      </c>
      <c r="D24" s="690">
        <f>+landbouw!C8</f>
        <v>0</v>
      </c>
      <c r="E24" s="690">
        <f>+landbouw!D8</f>
        <v>238.45980644332477</v>
      </c>
      <c r="F24" s="690">
        <f>+landbouw!E8</f>
        <v>49.401024398595375</v>
      </c>
      <c r="G24" s="690">
        <f>+landbouw!F8</f>
        <v>13526.070218247403</v>
      </c>
      <c r="H24" s="690">
        <f>+landbouw!G8</f>
        <v>0</v>
      </c>
      <c r="I24" s="690">
        <f>+landbouw!H8</f>
        <v>0</v>
      </c>
      <c r="J24" s="690">
        <f>+landbouw!I8</f>
        <v>0</v>
      </c>
      <c r="K24" s="690">
        <f>+landbouw!J8</f>
        <v>589.57087117576214</v>
      </c>
      <c r="L24" s="690">
        <f>+landbouw!K8</f>
        <v>0</v>
      </c>
      <c r="M24" s="690">
        <f>+landbouw!L8</f>
        <v>0</v>
      </c>
      <c r="N24" s="690">
        <f>+landbouw!M8</f>
        <v>0</v>
      </c>
      <c r="O24" s="690">
        <f>+landbouw!N8</f>
        <v>0</v>
      </c>
      <c r="P24" s="690">
        <f>+landbouw!O8</f>
        <v>0</v>
      </c>
      <c r="Q24" s="691">
        <f>+landbouw!P8</f>
        <v>0</v>
      </c>
      <c r="R24" s="693">
        <f>SUM(C24:Q24)</f>
        <v>18323.81731752817</v>
      </c>
      <c r="S24" s="67"/>
    </row>
    <row r="25" spans="1:19" s="458" customFormat="1" ht="15" thickBot="1">
      <c r="A25" s="827" t="s">
        <v>872</v>
      </c>
      <c r="B25" s="1004"/>
      <c r="C25" s="1005">
        <f>IF(Onbekend_ele_kWh="---",0,Onbekend_ele_kWh)/1000+IF(REST_rest_ele_kWh="---",0,REST_rest_ele_kWh)/1000</f>
        <v>1430.8653320686201</v>
      </c>
      <c r="D25" s="1005"/>
      <c r="E25" s="1005">
        <f>IF(onbekend_gas_kWh="---",0,onbekend_gas_kWh)/1000+IF(REST_rest_gas_kWh="---",0,REST_rest_gas_kWh)/1000</f>
        <v>3698.2939109184404</v>
      </c>
      <c r="F25" s="1005"/>
      <c r="G25" s="1005"/>
      <c r="H25" s="1005"/>
      <c r="I25" s="1005"/>
      <c r="J25" s="1005"/>
      <c r="K25" s="1005"/>
      <c r="L25" s="1005"/>
      <c r="M25" s="1005"/>
      <c r="N25" s="1005"/>
      <c r="O25" s="1005"/>
      <c r="P25" s="1005"/>
      <c r="Q25" s="1006"/>
      <c r="R25" s="693">
        <f>SUM(C25:Q25)</f>
        <v>5129.1592429870607</v>
      </c>
      <c r="S25" s="67"/>
    </row>
    <row r="26" spans="1:19" s="458" customFormat="1" ht="15.75" thickBot="1">
      <c r="A26" s="698" t="s">
        <v>873</v>
      </c>
      <c r="B26" s="813"/>
      <c r="C26" s="808">
        <f>SUM(C24:C25)</f>
        <v>5351.1807293317061</v>
      </c>
      <c r="D26" s="808">
        <f t="shared" ref="D26:R26" si="2">SUM(D24:D25)</f>
        <v>0</v>
      </c>
      <c r="E26" s="808">
        <f t="shared" si="2"/>
        <v>3936.7537173617652</v>
      </c>
      <c r="F26" s="808">
        <f t="shared" si="2"/>
        <v>49.401024398595375</v>
      </c>
      <c r="G26" s="808">
        <f t="shared" si="2"/>
        <v>13526.070218247403</v>
      </c>
      <c r="H26" s="808">
        <f t="shared" si="2"/>
        <v>0</v>
      </c>
      <c r="I26" s="808">
        <f t="shared" si="2"/>
        <v>0</v>
      </c>
      <c r="J26" s="808">
        <f t="shared" si="2"/>
        <v>0</v>
      </c>
      <c r="K26" s="808">
        <f t="shared" si="2"/>
        <v>589.57087117576214</v>
      </c>
      <c r="L26" s="808">
        <f t="shared" si="2"/>
        <v>0</v>
      </c>
      <c r="M26" s="808">
        <f t="shared" si="2"/>
        <v>0</v>
      </c>
      <c r="N26" s="808">
        <f t="shared" si="2"/>
        <v>0</v>
      </c>
      <c r="O26" s="808">
        <f t="shared" si="2"/>
        <v>0</v>
      </c>
      <c r="P26" s="808">
        <f t="shared" si="2"/>
        <v>0</v>
      </c>
      <c r="Q26" s="808">
        <f t="shared" si="2"/>
        <v>0</v>
      </c>
      <c r="R26" s="808">
        <f t="shared" si="2"/>
        <v>23452.976560515232</v>
      </c>
      <c r="S26" s="67"/>
    </row>
    <row r="27" spans="1:19" s="458" customFormat="1" ht="17.25" thickTop="1" thickBot="1">
      <c r="A27" s="699" t="s">
        <v>116</v>
      </c>
      <c r="B27" s="800"/>
      <c r="C27" s="700">
        <f ca="1">C22+C16+C26</f>
        <v>109177.02841831619</v>
      </c>
      <c r="D27" s="700">
        <f t="shared" ref="D27:R27" ca="1" si="3">D22+D16+D26</f>
        <v>0</v>
      </c>
      <c r="E27" s="700">
        <f t="shared" ca="1" si="3"/>
        <v>142662.64627980909</v>
      </c>
      <c r="F27" s="700">
        <f t="shared" si="3"/>
        <v>12861.272287385433</v>
      </c>
      <c r="G27" s="700">
        <f t="shared" ca="1" si="3"/>
        <v>59808.750641719264</v>
      </c>
      <c r="H27" s="700">
        <f t="shared" si="3"/>
        <v>322682.38214663195</v>
      </c>
      <c r="I27" s="700">
        <f t="shared" si="3"/>
        <v>49529.226884978918</v>
      </c>
      <c r="J27" s="700">
        <f t="shared" si="3"/>
        <v>0</v>
      </c>
      <c r="K27" s="700">
        <f t="shared" si="3"/>
        <v>2627.0914456305177</v>
      </c>
      <c r="L27" s="700">
        <f t="shared" si="3"/>
        <v>0</v>
      </c>
      <c r="M27" s="700">
        <f t="shared" ca="1" si="3"/>
        <v>0</v>
      </c>
      <c r="N27" s="700">
        <f t="shared" si="3"/>
        <v>16820.724744025352</v>
      </c>
      <c r="O27" s="700">
        <f t="shared" ca="1" si="3"/>
        <v>49400.928532828308</v>
      </c>
      <c r="P27" s="700">
        <f t="shared" si="3"/>
        <v>332.99000000000007</v>
      </c>
      <c r="Q27" s="700">
        <f t="shared" si="3"/>
        <v>724.5333333333333</v>
      </c>
      <c r="R27" s="700">
        <f t="shared" ca="1" si="3"/>
        <v>766627.57471465843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6480.5368421949242</v>
      </c>
      <c r="D40" s="690">
        <f ca="1">tertiair!C20</f>
        <v>0</v>
      </c>
      <c r="E40" s="690">
        <f ca="1">tertiair!D20</f>
        <v>5481.516810680946</v>
      </c>
      <c r="F40" s="690">
        <f>tertiair!E20</f>
        <v>92.382026292143252</v>
      </c>
      <c r="G40" s="690">
        <f ca="1">tertiair!F20</f>
        <v>1573.955749584054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13628.391428752069</v>
      </c>
    </row>
    <row r="41" spans="1:18">
      <c r="A41" s="818" t="s">
        <v>225</v>
      </c>
      <c r="B41" s="825"/>
      <c r="C41" s="690">
        <f ca="1">huishoudens!B12</f>
        <v>9391.7288549898021</v>
      </c>
      <c r="D41" s="690">
        <f ca="1">huishoudens!C12</f>
        <v>0</v>
      </c>
      <c r="E41" s="690">
        <f>huishoudens!D12</f>
        <v>16205.474213787635</v>
      </c>
      <c r="F41" s="690">
        <f>huishoudens!E12</f>
        <v>2143.8234639503589</v>
      </c>
      <c r="G41" s="690">
        <f>huishoudens!F12</f>
        <v>8330.7952623600559</v>
      </c>
      <c r="H41" s="690">
        <f>huishoudens!G12</f>
        <v>0</v>
      </c>
      <c r="I41" s="690">
        <f>huishoudens!H12</f>
        <v>0</v>
      </c>
      <c r="J41" s="690">
        <f>huishoudens!I12</f>
        <v>0</v>
      </c>
      <c r="K41" s="690">
        <f>huishoudens!J12</f>
        <v>707.12879196576841</v>
      </c>
      <c r="L41" s="690">
        <f>huishoudens!K12</f>
        <v>0</v>
      </c>
      <c r="M41" s="690">
        <f>huishoudens!L12</f>
        <v>0</v>
      </c>
      <c r="N41" s="690">
        <f>huishoudens!M12</f>
        <v>0</v>
      </c>
      <c r="O41" s="690">
        <f>huishoudens!N12</f>
        <v>0</v>
      </c>
      <c r="P41" s="690">
        <f>huishoudens!O12</f>
        <v>0</v>
      </c>
      <c r="Q41" s="767">
        <f>huishoudens!P12</f>
        <v>0</v>
      </c>
      <c r="R41" s="846">
        <f t="shared" ca="1" si="4"/>
        <v>36778.950587053623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5331.8181529932172</v>
      </c>
      <c r="D43" s="690">
        <f ca="1">industrie!C22</f>
        <v>0</v>
      </c>
      <c r="E43" s="690">
        <f>industrie!D22</f>
        <v>6329.1689992087158</v>
      </c>
      <c r="F43" s="690">
        <f>industrie!E22</f>
        <v>410.12897036291321</v>
      </c>
      <c r="G43" s="690">
        <f>industrie!F22</f>
        <v>2452.7246611228784</v>
      </c>
      <c r="H43" s="690">
        <f>industrie!G22</f>
        <v>0</v>
      </c>
      <c r="I43" s="690">
        <f>industrie!H22</f>
        <v>0</v>
      </c>
      <c r="J43" s="690">
        <f>industrie!I22</f>
        <v>0</v>
      </c>
      <c r="K43" s="690">
        <f>industrie!J22</f>
        <v>14.153491391214995</v>
      </c>
      <c r="L43" s="690">
        <f>industrie!K22</f>
        <v>0</v>
      </c>
      <c r="M43" s="690">
        <f>industrie!L22</f>
        <v>0</v>
      </c>
      <c r="N43" s="690">
        <f>industrie!M22</f>
        <v>0</v>
      </c>
      <c r="O43" s="690">
        <f>industrie!N22</f>
        <v>0</v>
      </c>
      <c r="P43" s="690">
        <f>industrie!O22</f>
        <v>0</v>
      </c>
      <c r="Q43" s="767">
        <f>industrie!P22</f>
        <v>0</v>
      </c>
      <c r="R43" s="845">
        <f t="shared" ca="1" si="4"/>
        <v>14537.99427507894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21204.083850177944</v>
      </c>
      <c r="D46" s="725">
        <f t="shared" ref="D46:Q46" ca="1" si="5">SUM(D39:D45)</f>
        <v>0</v>
      </c>
      <c r="E46" s="725">
        <f t="shared" ca="1" si="5"/>
        <v>28016.160023677297</v>
      </c>
      <c r="F46" s="725">
        <f t="shared" si="5"/>
        <v>2646.3344606054152</v>
      </c>
      <c r="G46" s="725">
        <f t="shared" ca="1" si="5"/>
        <v>12357.475673066989</v>
      </c>
      <c r="H46" s="725">
        <f t="shared" si="5"/>
        <v>0</v>
      </c>
      <c r="I46" s="725">
        <f t="shared" si="5"/>
        <v>0</v>
      </c>
      <c r="J46" s="725">
        <f t="shared" si="5"/>
        <v>0</v>
      </c>
      <c r="K46" s="725">
        <f t="shared" si="5"/>
        <v>721.28228335698338</v>
      </c>
      <c r="L46" s="725">
        <f t="shared" si="5"/>
        <v>0</v>
      </c>
      <c r="M46" s="725">
        <f t="shared" ca="1" si="5"/>
        <v>0</v>
      </c>
      <c r="N46" s="725">
        <f t="shared" si="5"/>
        <v>0</v>
      </c>
      <c r="O46" s="725">
        <f t="shared" ca="1" si="5"/>
        <v>0</v>
      </c>
      <c r="P46" s="725">
        <f t="shared" si="5"/>
        <v>0</v>
      </c>
      <c r="Q46" s="725">
        <f t="shared" si="5"/>
        <v>0</v>
      </c>
      <c r="R46" s="725">
        <f ca="1">SUM(R39:R45)</f>
        <v>64945.336290884632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434.46050963068427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434.46050963068427</v>
      </c>
    </row>
    <row r="50" spans="1:18">
      <c r="A50" s="821" t="s">
        <v>307</v>
      </c>
      <c r="B50" s="831"/>
      <c r="C50" s="696">
        <f ca="1">transport!B18</f>
        <v>4.1478417472659954</v>
      </c>
      <c r="D50" s="696">
        <f>transport!C18</f>
        <v>0</v>
      </c>
      <c r="E50" s="696">
        <f>transport!D18</f>
        <v>6.4702739370630473</v>
      </c>
      <c r="F50" s="696">
        <f>transport!E18</f>
        <v>261.96031609259643</v>
      </c>
      <c r="G50" s="696">
        <f>transport!F18</f>
        <v>0</v>
      </c>
      <c r="H50" s="696">
        <f>transport!G18</f>
        <v>85721.735523520038</v>
      </c>
      <c r="I50" s="696">
        <f>transport!H18</f>
        <v>12332.777494359751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98327.091449656713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4.1478417472659954</v>
      </c>
      <c r="D52" s="725">
        <f t="shared" ref="D52:Q52" ca="1" si="6">SUM(D48:D51)</f>
        <v>0</v>
      </c>
      <c r="E52" s="725">
        <f t="shared" si="6"/>
        <v>6.4702739370630473</v>
      </c>
      <c r="F52" s="725">
        <f t="shared" si="6"/>
        <v>261.96031609259643</v>
      </c>
      <c r="G52" s="725">
        <f t="shared" si="6"/>
        <v>0</v>
      </c>
      <c r="H52" s="725">
        <f t="shared" si="6"/>
        <v>86156.196033150729</v>
      </c>
      <c r="I52" s="725">
        <f t="shared" si="6"/>
        <v>12332.777494359751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98761.551959287404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800.79247221401204</v>
      </c>
      <c r="D54" s="696">
        <f ca="1">+landbouw!C12</f>
        <v>0</v>
      </c>
      <c r="E54" s="696">
        <f>+landbouw!D12</f>
        <v>48.168880901551603</v>
      </c>
      <c r="F54" s="696">
        <f>+landbouw!E12</f>
        <v>11.214032538481151</v>
      </c>
      <c r="G54" s="696">
        <f>+landbouw!F12</f>
        <v>3611.4607482720571</v>
      </c>
      <c r="H54" s="696">
        <f>+landbouw!G12</f>
        <v>0</v>
      </c>
      <c r="I54" s="696">
        <f>+landbouw!H12</f>
        <v>0</v>
      </c>
      <c r="J54" s="696">
        <f>+landbouw!I12</f>
        <v>0</v>
      </c>
      <c r="K54" s="696">
        <f>+landbouw!J12</f>
        <v>208.70808839621978</v>
      </c>
      <c r="L54" s="696">
        <f>+landbouw!K12</f>
        <v>0</v>
      </c>
      <c r="M54" s="696">
        <f>+landbouw!L12</f>
        <v>0</v>
      </c>
      <c r="N54" s="696">
        <f>+landbouw!M12</f>
        <v>0</v>
      </c>
      <c r="O54" s="696">
        <f>+landbouw!N12</f>
        <v>0</v>
      </c>
      <c r="P54" s="696">
        <f>+landbouw!O12</f>
        <v>0</v>
      </c>
      <c r="Q54" s="697">
        <f>+landbouw!P12</f>
        <v>0</v>
      </c>
      <c r="R54" s="724">
        <f ca="1">SUM(C54:Q54)</f>
        <v>4680.3442223223219</v>
      </c>
    </row>
    <row r="55" spans="1:18" ht="15" thickBot="1">
      <c r="A55" s="821" t="s">
        <v>872</v>
      </c>
      <c r="B55" s="831"/>
      <c r="C55" s="696">
        <f ca="1">C25*'EF ele_warmte'!B12</f>
        <v>292.27908230865717</v>
      </c>
      <c r="D55" s="696"/>
      <c r="E55" s="696">
        <f>E25*EF_CO2_aardgas</f>
        <v>747.05537000552499</v>
      </c>
      <c r="F55" s="696"/>
      <c r="G55" s="696"/>
      <c r="H55" s="696"/>
      <c r="I55" s="696"/>
      <c r="J55" s="696"/>
      <c r="K55" s="696"/>
      <c r="L55" s="696"/>
      <c r="M55" s="696"/>
      <c r="N55" s="696"/>
      <c r="O55" s="696"/>
      <c r="P55" s="696"/>
      <c r="Q55" s="697"/>
      <c r="R55" s="724">
        <f ca="1">SUM(C55:Q55)</f>
        <v>1039.3344523141823</v>
      </c>
    </row>
    <row r="56" spans="1:18" ht="15.75" thickBot="1">
      <c r="A56" s="819" t="s">
        <v>873</v>
      </c>
      <c r="B56" s="832"/>
      <c r="C56" s="725">
        <f ca="1">SUM(C54:C55)</f>
        <v>1093.0715545226692</v>
      </c>
      <c r="D56" s="725">
        <f t="shared" ref="D56:Q56" ca="1" si="7">SUM(D54:D55)</f>
        <v>0</v>
      </c>
      <c r="E56" s="725">
        <f t="shared" si="7"/>
        <v>795.22425090707657</v>
      </c>
      <c r="F56" s="725">
        <f t="shared" si="7"/>
        <v>11.214032538481151</v>
      </c>
      <c r="G56" s="725">
        <f t="shared" si="7"/>
        <v>3611.4607482720571</v>
      </c>
      <c r="H56" s="725">
        <f t="shared" si="7"/>
        <v>0</v>
      </c>
      <c r="I56" s="725">
        <f t="shared" si="7"/>
        <v>0</v>
      </c>
      <c r="J56" s="725">
        <f t="shared" si="7"/>
        <v>0</v>
      </c>
      <c r="K56" s="725">
        <f t="shared" si="7"/>
        <v>208.70808839621978</v>
      </c>
      <c r="L56" s="725">
        <f t="shared" si="7"/>
        <v>0</v>
      </c>
      <c r="M56" s="725">
        <f t="shared" si="7"/>
        <v>0</v>
      </c>
      <c r="N56" s="725">
        <f t="shared" si="7"/>
        <v>0</v>
      </c>
      <c r="O56" s="725">
        <f t="shared" si="7"/>
        <v>0</v>
      </c>
      <c r="P56" s="725">
        <f t="shared" si="7"/>
        <v>0</v>
      </c>
      <c r="Q56" s="726">
        <f t="shared" si="7"/>
        <v>0</v>
      </c>
      <c r="R56" s="727">
        <f ca="1">SUM(R54:R55)</f>
        <v>5719.6786746365042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22301.303246447878</v>
      </c>
      <c r="D61" s="733">
        <f t="shared" ref="D61:Q61" ca="1" si="8">D46+D52+D56</f>
        <v>0</v>
      </c>
      <c r="E61" s="733">
        <f t="shared" ca="1" si="8"/>
        <v>28817.854548521434</v>
      </c>
      <c r="F61" s="733">
        <f t="shared" si="8"/>
        <v>2919.5088092364927</v>
      </c>
      <c r="G61" s="733">
        <f t="shared" ca="1" si="8"/>
        <v>15968.936421339045</v>
      </c>
      <c r="H61" s="733">
        <f t="shared" si="8"/>
        <v>86156.196033150729</v>
      </c>
      <c r="I61" s="733">
        <f t="shared" si="8"/>
        <v>12332.777494359751</v>
      </c>
      <c r="J61" s="733">
        <f t="shared" si="8"/>
        <v>0</v>
      </c>
      <c r="K61" s="733">
        <f t="shared" si="8"/>
        <v>929.99037175320314</v>
      </c>
      <c r="L61" s="733">
        <f t="shared" si="8"/>
        <v>0</v>
      </c>
      <c r="M61" s="733">
        <f t="shared" ca="1" si="8"/>
        <v>0</v>
      </c>
      <c r="N61" s="733">
        <f t="shared" si="8"/>
        <v>0</v>
      </c>
      <c r="O61" s="733">
        <f t="shared" ca="1" si="8"/>
        <v>0</v>
      </c>
      <c r="P61" s="733">
        <f t="shared" si="8"/>
        <v>0</v>
      </c>
      <c r="Q61" s="733">
        <f t="shared" si="8"/>
        <v>0</v>
      </c>
      <c r="R61" s="733">
        <f ca="1">R46+R52+R56</f>
        <v>169426.56692480852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0.20426735888981642</v>
      </c>
      <c r="D63" s="776">
        <f t="shared" ca="1" si="9"/>
        <v>0</v>
      </c>
      <c r="E63" s="1011">
        <f t="shared" ca="1" si="9"/>
        <v>0.20199999999999999</v>
      </c>
      <c r="F63" s="776">
        <f t="shared" si="9"/>
        <v>0.22699999999999995</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8266.1540000000005</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8266.1540000000005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8266.1540000000005</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8266.1540000000005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45977.629054555808</v>
      </c>
      <c r="C4" s="462">
        <f>huishoudens!C8</f>
        <v>0</v>
      </c>
      <c r="D4" s="462">
        <f>huishoudens!D8</f>
        <v>80225.119870235809</v>
      </c>
      <c r="E4" s="462">
        <f>huishoudens!E8</f>
        <v>9444.1562288562072</v>
      </c>
      <c r="F4" s="462">
        <f>huishoudens!F8</f>
        <v>31201.480383370996</v>
      </c>
      <c r="G4" s="462">
        <f>huishoudens!G8</f>
        <v>0</v>
      </c>
      <c r="H4" s="462">
        <f>huishoudens!H8</f>
        <v>0</v>
      </c>
      <c r="I4" s="462">
        <f>huishoudens!I8</f>
        <v>0</v>
      </c>
      <c r="J4" s="462">
        <f>huishoudens!J8</f>
        <v>1997.538960355278</v>
      </c>
      <c r="K4" s="462">
        <f>huishoudens!K8</f>
        <v>0</v>
      </c>
      <c r="L4" s="462">
        <f>huishoudens!L8</f>
        <v>0</v>
      </c>
      <c r="M4" s="462">
        <f>huishoudens!M8</f>
        <v>0</v>
      </c>
      <c r="N4" s="462">
        <f>huishoudens!N8</f>
        <v>33589.791401819377</v>
      </c>
      <c r="O4" s="462">
        <f>huishoudens!O8</f>
        <v>331.42666666666673</v>
      </c>
      <c r="P4" s="463">
        <f>huishoudens!P8</f>
        <v>724.5333333333333</v>
      </c>
      <c r="Q4" s="464">
        <f>SUM(B4:P4)</f>
        <v>203491.67589919348</v>
      </c>
    </row>
    <row r="5" spans="1:17">
      <c r="A5" s="461" t="s">
        <v>156</v>
      </c>
      <c r="B5" s="462">
        <f ca="1">tertiair!B16</f>
        <v>30099.813228903236</v>
      </c>
      <c r="C5" s="462">
        <f ca="1">tertiair!C16</f>
        <v>0</v>
      </c>
      <c r="D5" s="462">
        <f ca="1">tertiair!D16</f>
        <v>27136.221835054188</v>
      </c>
      <c r="E5" s="462">
        <f>tertiair!E16</f>
        <v>406.96927882001432</v>
      </c>
      <c r="F5" s="462">
        <f ca="1">tertiair!F16</f>
        <v>5894.9653542473934</v>
      </c>
      <c r="G5" s="462">
        <f>tertiair!G16</f>
        <v>0</v>
      </c>
      <c r="H5" s="462">
        <f>tertiair!H16</f>
        <v>0</v>
      </c>
      <c r="I5" s="462">
        <f>tertiair!I16</f>
        <v>0</v>
      </c>
      <c r="J5" s="462">
        <f>tertiair!J16</f>
        <v>0</v>
      </c>
      <c r="K5" s="462">
        <f>tertiair!K16</f>
        <v>0</v>
      </c>
      <c r="L5" s="462">
        <f ca="1">tertiair!L16</f>
        <v>0</v>
      </c>
      <c r="M5" s="462">
        <f>tertiair!M16</f>
        <v>0</v>
      </c>
      <c r="N5" s="462">
        <f ca="1">tertiair!N16</f>
        <v>2291.472717791687</v>
      </c>
      <c r="O5" s="462">
        <f>tertiair!O16</f>
        <v>1.5633333333333335</v>
      </c>
      <c r="P5" s="463">
        <f>tertiair!P16</f>
        <v>0</v>
      </c>
      <c r="Q5" s="461">
        <f t="shared" ref="Q5:Q14" ca="1" si="0">SUM(B5:P5)</f>
        <v>65831.005748149866</v>
      </c>
    </row>
    <row r="6" spans="1:17">
      <c r="A6" s="461" t="s">
        <v>194</v>
      </c>
      <c r="B6" s="462">
        <f>'openbare verlichting'!B8</f>
        <v>1625.9449999999999</v>
      </c>
      <c r="C6" s="462"/>
      <c r="D6" s="462"/>
      <c r="E6" s="462"/>
      <c r="F6" s="462"/>
      <c r="G6" s="462"/>
      <c r="H6" s="462"/>
      <c r="I6" s="462"/>
      <c r="J6" s="462"/>
      <c r="K6" s="462"/>
      <c r="L6" s="462"/>
      <c r="M6" s="462"/>
      <c r="N6" s="462"/>
      <c r="O6" s="462"/>
      <c r="P6" s="463"/>
      <c r="Q6" s="461">
        <f t="shared" si="0"/>
        <v>1625.9449999999999</v>
      </c>
    </row>
    <row r="7" spans="1:17">
      <c r="A7" s="461" t="s">
        <v>112</v>
      </c>
      <c r="B7" s="462">
        <f>landbouw!B8</f>
        <v>3920.3153972630857</v>
      </c>
      <c r="C7" s="462">
        <f>landbouw!C8</f>
        <v>0</v>
      </c>
      <c r="D7" s="462">
        <f>landbouw!D8</f>
        <v>238.45980644332477</v>
      </c>
      <c r="E7" s="462">
        <f>landbouw!E8</f>
        <v>49.401024398595375</v>
      </c>
      <c r="F7" s="462">
        <f>landbouw!F8</f>
        <v>13526.070218247403</v>
      </c>
      <c r="G7" s="462">
        <f>landbouw!G8</f>
        <v>0</v>
      </c>
      <c r="H7" s="462">
        <f>landbouw!H8</f>
        <v>0</v>
      </c>
      <c r="I7" s="462">
        <f>landbouw!I8</f>
        <v>0</v>
      </c>
      <c r="J7" s="462">
        <f>landbouw!J8</f>
        <v>589.57087117576214</v>
      </c>
      <c r="K7" s="462">
        <f>landbouw!K8</f>
        <v>0</v>
      </c>
      <c r="L7" s="462">
        <f>landbouw!L8</f>
        <v>0</v>
      </c>
      <c r="M7" s="462">
        <f>landbouw!M8</f>
        <v>0</v>
      </c>
      <c r="N7" s="462">
        <f>landbouw!N8</f>
        <v>0</v>
      </c>
      <c r="O7" s="462">
        <f>landbouw!O8</f>
        <v>0</v>
      </c>
      <c r="P7" s="463">
        <f>landbouw!P8</f>
        <v>0</v>
      </c>
      <c r="Q7" s="461">
        <f t="shared" si="0"/>
        <v>18323.81731752817</v>
      </c>
    </row>
    <row r="8" spans="1:17">
      <c r="A8" s="461" t="s">
        <v>657</v>
      </c>
      <c r="B8" s="462">
        <f>industrie!B18</f>
        <v>26102.154460562862</v>
      </c>
      <c r="C8" s="462">
        <f>industrie!C18</f>
        <v>0</v>
      </c>
      <c r="D8" s="462">
        <f>industrie!D18</f>
        <v>31332.519798062945</v>
      </c>
      <c r="E8" s="462">
        <f>industrie!E18</f>
        <v>1806.7355522595294</v>
      </c>
      <c r="F8" s="462">
        <f>industrie!F18</f>
        <v>9186.2346858534765</v>
      </c>
      <c r="G8" s="462">
        <f>industrie!G18</f>
        <v>0</v>
      </c>
      <c r="H8" s="462">
        <f>industrie!H18</f>
        <v>0</v>
      </c>
      <c r="I8" s="462">
        <f>industrie!I18</f>
        <v>0</v>
      </c>
      <c r="J8" s="462">
        <f>industrie!J18</f>
        <v>39.98161409947739</v>
      </c>
      <c r="K8" s="462">
        <f>industrie!K18</f>
        <v>0</v>
      </c>
      <c r="L8" s="462">
        <f>industrie!L18</f>
        <v>0</v>
      </c>
      <c r="M8" s="462">
        <f>industrie!M18</f>
        <v>0</v>
      </c>
      <c r="N8" s="462">
        <f>industrie!N18</f>
        <v>13519.664413217246</v>
      </c>
      <c r="O8" s="462">
        <f>industrie!O18</f>
        <v>0</v>
      </c>
      <c r="P8" s="463">
        <f>industrie!P18</f>
        <v>0</v>
      </c>
      <c r="Q8" s="461">
        <f t="shared" si="0"/>
        <v>81987.290524055541</v>
      </c>
    </row>
    <row r="9" spans="1:17" s="467" customFormat="1">
      <c r="A9" s="465" t="s">
        <v>574</v>
      </c>
      <c r="B9" s="466">
        <f>transport!B14</f>
        <v>20.30594496256926</v>
      </c>
      <c r="C9" s="466">
        <f>transport!C14</f>
        <v>0</v>
      </c>
      <c r="D9" s="466">
        <f>transport!D14</f>
        <v>32.031059094371521</v>
      </c>
      <c r="E9" s="466">
        <f>transport!E14</f>
        <v>1154.0102030510855</v>
      </c>
      <c r="F9" s="466">
        <f>transport!F14</f>
        <v>0</v>
      </c>
      <c r="G9" s="466">
        <f>transport!G14</f>
        <v>321055.18922666681</v>
      </c>
      <c r="H9" s="466">
        <f>transport!H14</f>
        <v>49529.226884978918</v>
      </c>
      <c r="I9" s="466">
        <f>transport!I14</f>
        <v>0</v>
      </c>
      <c r="J9" s="466">
        <f>transport!J14</f>
        <v>0</v>
      </c>
      <c r="K9" s="466">
        <f>transport!K14</f>
        <v>0</v>
      </c>
      <c r="L9" s="466">
        <f>transport!L14</f>
        <v>0</v>
      </c>
      <c r="M9" s="466">
        <f>transport!M14</f>
        <v>16748.359494896689</v>
      </c>
      <c r="N9" s="466">
        <f>transport!N14</f>
        <v>0</v>
      </c>
      <c r="O9" s="466">
        <f>transport!O14</f>
        <v>0</v>
      </c>
      <c r="P9" s="466">
        <f>transport!P14</f>
        <v>0</v>
      </c>
      <c r="Q9" s="465">
        <f>SUM(B9:P9)</f>
        <v>388539.12281365047</v>
      </c>
    </row>
    <row r="10" spans="1:17">
      <c r="A10" s="461" t="s">
        <v>564</v>
      </c>
      <c r="B10" s="462">
        <f>transport!B54</f>
        <v>0</v>
      </c>
      <c r="C10" s="462">
        <f>transport!C54</f>
        <v>0</v>
      </c>
      <c r="D10" s="462">
        <f>transport!D54</f>
        <v>0</v>
      </c>
      <c r="E10" s="462">
        <f>transport!E54</f>
        <v>0</v>
      </c>
      <c r="F10" s="462">
        <f>transport!F54</f>
        <v>0</v>
      </c>
      <c r="G10" s="462">
        <f>transport!G54</f>
        <v>1627.1929199651095</v>
      </c>
      <c r="H10" s="462">
        <f>transport!H54</f>
        <v>0</v>
      </c>
      <c r="I10" s="462">
        <f>transport!I54</f>
        <v>0</v>
      </c>
      <c r="J10" s="462">
        <f>transport!J54</f>
        <v>0</v>
      </c>
      <c r="K10" s="462">
        <f>transport!K54</f>
        <v>0</v>
      </c>
      <c r="L10" s="462">
        <f>transport!L54</f>
        <v>0</v>
      </c>
      <c r="M10" s="462">
        <f>transport!M54</f>
        <v>72.365249128662157</v>
      </c>
      <c r="N10" s="462">
        <f>transport!N54</f>
        <v>0</v>
      </c>
      <c r="O10" s="462">
        <f>transport!O54</f>
        <v>0</v>
      </c>
      <c r="P10" s="463">
        <f>transport!P54</f>
        <v>0</v>
      </c>
      <c r="Q10" s="461">
        <f t="shared" si="0"/>
        <v>1699.5581690937715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1430.8653320686201</v>
      </c>
      <c r="C14" s="469"/>
      <c r="D14" s="469">
        <f>'SEAP template'!E25</f>
        <v>3698.2939109184404</v>
      </c>
      <c r="E14" s="469"/>
      <c r="F14" s="469"/>
      <c r="G14" s="469"/>
      <c r="H14" s="469"/>
      <c r="I14" s="469"/>
      <c r="J14" s="469"/>
      <c r="K14" s="469"/>
      <c r="L14" s="469"/>
      <c r="M14" s="469"/>
      <c r="N14" s="469"/>
      <c r="O14" s="469"/>
      <c r="P14" s="470"/>
      <c r="Q14" s="461">
        <f t="shared" si="0"/>
        <v>5129.1592429870607</v>
      </c>
    </row>
    <row r="15" spans="1:17" s="474" customFormat="1">
      <c r="A15" s="471" t="s">
        <v>568</v>
      </c>
      <c r="B15" s="472">
        <f ca="1">SUM(B4:B14)</f>
        <v>109177.02841831617</v>
      </c>
      <c r="C15" s="472">
        <f t="shared" ref="C15:Q15" ca="1" si="1">SUM(C4:C14)</f>
        <v>0</v>
      </c>
      <c r="D15" s="472">
        <f t="shared" ca="1" si="1"/>
        <v>142662.64627980907</v>
      </c>
      <c r="E15" s="472">
        <f t="shared" si="1"/>
        <v>12861.272287385433</v>
      </c>
      <c r="F15" s="472">
        <f t="shared" ca="1" si="1"/>
        <v>59808.750641719264</v>
      </c>
      <c r="G15" s="472">
        <f t="shared" si="1"/>
        <v>322682.38214663195</v>
      </c>
      <c r="H15" s="472">
        <f t="shared" si="1"/>
        <v>49529.226884978918</v>
      </c>
      <c r="I15" s="472">
        <f t="shared" si="1"/>
        <v>0</v>
      </c>
      <c r="J15" s="472">
        <f t="shared" si="1"/>
        <v>2627.0914456305177</v>
      </c>
      <c r="K15" s="472">
        <f t="shared" si="1"/>
        <v>0</v>
      </c>
      <c r="L15" s="472">
        <f t="shared" ca="1" si="1"/>
        <v>0</v>
      </c>
      <c r="M15" s="472">
        <f t="shared" si="1"/>
        <v>16820.724744025352</v>
      </c>
      <c r="N15" s="472">
        <f t="shared" ca="1" si="1"/>
        <v>49400.928532828308</v>
      </c>
      <c r="O15" s="472">
        <f t="shared" si="1"/>
        <v>332.99000000000007</v>
      </c>
      <c r="P15" s="472">
        <f t="shared" si="1"/>
        <v>724.5333333333333</v>
      </c>
      <c r="Q15" s="472">
        <f t="shared" ca="1" si="1"/>
        <v>766627.57471465832</v>
      </c>
    </row>
    <row r="17" spans="1:17">
      <c r="A17" s="475" t="s">
        <v>569</v>
      </c>
      <c r="B17" s="781">
        <f ca="1">huishoudens!B10</f>
        <v>0.20426735888981642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9391.7288549898021</v>
      </c>
      <c r="C22" s="462">
        <f t="shared" ref="C22:C32" ca="1" si="3">C4*$C$17</f>
        <v>0</v>
      </c>
      <c r="D22" s="462">
        <f t="shared" ref="D22:D32" si="4">D4*$D$17</f>
        <v>16205.474213787635</v>
      </c>
      <c r="E22" s="462">
        <f t="shared" ref="E22:E32" si="5">E4*$E$17</f>
        <v>2143.8234639503589</v>
      </c>
      <c r="F22" s="462">
        <f t="shared" ref="F22:F32" si="6">F4*$F$17</f>
        <v>8330.7952623600559</v>
      </c>
      <c r="G22" s="462">
        <f t="shared" ref="G22:G32" si="7">G4*$G$17</f>
        <v>0</v>
      </c>
      <c r="H22" s="462">
        <f t="shared" ref="H22:H32" si="8">H4*$H$17</f>
        <v>0</v>
      </c>
      <c r="I22" s="462">
        <f t="shared" ref="I22:I32" si="9">I4*$I$17</f>
        <v>0</v>
      </c>
      <c r="J22" s="462">
        <f t="shared" ref="J22:J32" si="10">J4*$J$17</f>
        <v>707.12879196576841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36778.950587053623</v>
      </c>
    </row>
    <row r="23" spans="1:17">
      <c r="A23" s="461" t="s">
        <v>156</v>
      </c>
      <c r="B23" s="462">
        <f t="shared" ca="1" si="2"/>
        <v>6148.4093513448215</v>
      </c>
      <c r="C23" s="462">
        <f t="shared" ca="1" si="3"/>
        <v>0</v>
      </c>
      <c r="D23" s="462">
        <f t="shared" ca="1" si="4"/>
        <v>5481.516810680946</v>
      </c>
      <c r="E23" s="462">
        <f t="shared" si="5"/>
        <v>92.382026292143252</v>
      </c>
      <c r="F23" s="462">
        <f t="shared" ca="1" si="6"/>
        <v>1573.955749584054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13296.263937901966</v>
      </c>
    </row>
    <row r="24" spans="1:17">
      <c r="A24" s="461" t="s">
        <v>194</v>
      </c>
      <c r="B24" s="462">
        <f t="shared" ca="1" si="2"/>
        <v>332.12749085010256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332.12749085010256</v>
      </c>
    </row>
    <row r="25" spans="1:17">
      <c r="A25" s="461" t="s">
        <v>112</v>
      </c>
      <c r="B25" s="462">
        <f t="shared" ca="1" si="2"/>
        <v>800.79247221401204</v>
      </c>
      <c r="C25" s="462">
        <f t="shared" ca="1" si="3"/>
        <v>0</v>
      </c>
      <c r="D25" s="462">
        <f t="shared" si="4"/>
        <v>48.168880901551603</v>
      </c>
      <c r="E25" s="462">
        <f t="shared" si="5"/>
        <v>11.214032538481151</v>
      </c>
      <c r="F25" s="462">
        <f t="shared" si="6"/>
        <v>3611.4607482720571</v>
      </c>
      <c r="G25" s="462">
        <f t="shared" si="7"/>
        <v>0</v>
      </c>
      <c r="H25" s="462">
        <f t="shared" si="8"/>
        <v>0</v>
      </c>
      <c r="I25" s="462">
        <f t="shared" si="9"/>
        <v>0</v>
      </c>
      <c r="J25" s="462">
        <f t="shared" si="10"/>
        <v>208.70808839621978</v>
      </c>
      <c r="K25" s="462">
        <f t="shared" si="11"/>
        <v>0</v>
      </c>
      <c r="L25" s="462">
        <f t="shared" si="12"/>
        <v>0</v>
      </c>
      <c r="M25" s="462">
        <f t="shared" si="13"/>
        <v>0</v>
      </c>
      <c r="N25" s="462">
        <f t="shared" si="14"/>
        <v>0</v>
      </c>
      <c r="O25" s="462">
        <f t="shared" si="15"/>
        <v>0</v>
      </c>
      <c r="P25" s="463">
        <f t="shared" si="16"/>
        <v>0</v>
      </c>
      <c r="Q25" s="461">
        <f t="shared" ca="1" si="17"/>
        <v>4680.3442223223219</v>
      </c>
    </row>
    <row r="26" spans="1:17">
      <c r="A26" s="461" t="s">
        <v>657</v>
      </c>
      <c r="B26" s="462">
        <f t="shared" ca="1" si="2"/>
        <v>5331.8181529932172</v>
      </c>
      <c r="C26" s="462">
        <f t="shared" ca="1" si="3"/>
        <v>0</v>
      </c>
      <c r="D26" s="462">
        <f t="shared" si="4"/>
        <v>6329.1689992087158</v>
      </c>
      <c r="E26" s="462">
        <f t="shared" si="5"/>
        <v>410.12897036291321</v>
      </c>
      <c r="F26" s="462">
        <f t="shared" si="6"/>
        <v>2452.7246611228784</v>
      </c>
      <c r="G26" s="462">
        <f t="shared" si="7"/>
        <v>0</v>
      </c>
      <c r="H26" s="462">
        <f t="shared" si="8"/>
        <v>0</v>
      </c>
      <c r="I26" s="462">
        <f t="shared" si="9"/>
        <v>0</v>
      </c>
      <c r="J26" s="462">
        <f t="shared" si="10"/>
        <v>14.153491391214995</v>
      </c>
      <c r="K26" s="462">
        <f t="shared" si="11"/>
        <v>0</v>
      </c>
      <c r="L26" s="462">
        <f t="shared" si="12"/>
        <v>0</v>
      </c>
      <c r="M26" s="462">
        <f t="shared" si="13"/>
        <v>0</v>
      </c>
      <c r="N26" s="462">
        <f t="shared" si="14"/>
        <v>0</v>
      </c>
      <c r="O26" s="462">
        <f t="shared" si="15"/>
        <v>0</v>
      </c>
      <c r="P26" s="463">
        <f t="shared" si="16"/>
        <v>0</v>
      </c>
      <c r="Q26" s="461">
        <f t="shared" ca="1" si="17"/>
        <v>14537.99427507894</v>
      </c>
    </row>
    <row r="27" spans="1:17" s="467" customFormat="1">
      <c r="A27" s="465" t="s">
        <v>574</v>
      </c>
      <c r="B27" s="775">
        <f t="shared" ca="1" si="2"/>
        <v>4.1478417472659954</v>
      </c>
      <c r="C27" s="466">
        <f t="shared" ca="1" si="3"/>
        <v>0</v>
      </c>
      <c r="D27" s="466">
        <f t="shared" si="4"/>
        <v>6.4702739370630473</v>
      </c>
      <c r="E27" s="466">
        <f t="shared" si="5"/>
        <v>261.96031609259643</v>
      </c>
      <c r="F27" s="466">
        <f t="shared" si="6"/>
        <v>0</v>
      </c>
      <c r="G27" s="466">
        <f t="shared" si="7"/>
        <v>85721.735523520038</v>
      </c>
      <c r="H27" s="466">
        <f t="shared" si="8"/>
        <v>12332.777494359751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98327.091449656713</v>
      </c>
    </row>
    <row r="28" spans="1:17">
      <c r="A28" s="461" t="s">
        <v>564</v>
      </c>
      <c r="B28" s="462">
        <f t="shared" ca="1" si="2"/>
        <v>0</v>
      </c>
      <c r="C28" s="462">
        <f t="shared" ca="1" si="3"/>
        <v>0</v>
      </c>
      <c r="D28" s="462">
        <f t="shared" si="4"/>
        <v>0</v>
      </c>
      <c r="E28" s="462">
        <f t="shared" si="5"/>
        <v>0</v>
      </c>
      <c r="F28" s="462">
        <f t="shared" si="6"/>
        <v>0</v>
      </c>
      <c r="G28" s="462">
        <f t="shared" si="7"/>
        <v>434.46050963068427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434.46050963068427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292.27908230865717</v>
      </c>
      <c r="C32" s="462">
        <f t="shared" ca="1" si="3"/>
        <v>0</v>
      </c>
      <c r="D32" s="462">
        <f t="shared" si="4"/>
        <v>747.05537000552499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1039.3344523141823</v>
      </c>
    </row>
    <row r="33" spans="1:17" s="474" customFormat="1">
      <c r="A33" s="471" t="s">
        <v>568</v>
      </c>
      <c r="B33" s="472">
        <f ca="1">SUM(B22:B32)</f>
        <v>22301.303246447875</v>
      </c>
      <c r="C33" s="472">
        <f t="shared" ref="C33:Q33" ca="1" si="18">SUM(C22:C32)</f>
        <v>0</v>
      </c>
      <c r="D33" s="472">
        <f t="shared" ca="1" si="18"/>
        <v>28817.854548521434</v>
      </c>
      <c r="E33" s="472">
        <f t="shared" si="18"/>
        <v>2919.5088092364927</v>
      </c>
      <c r="F33" s="472">
        <f t="shared" ca="1" si="18"/>
        <v>15968.936421339045</v>
      </c>
      <c r="G33" s="472">
        <f t="shared" si="18"/>
        <v>86156.196033150729</v>
      </c>
      <c r="H33" s="472">
        <f t="shared" si="18"/>
        <v>12332.777494359751</v>
      </c>
      <c r="I33" s="472">
        <f t="shared" si="18"/>
        <v>0</v>
      </c>
      <c r="J33" s="472">
        <f t="shared" si="18"/>
        <v>929.99037175320314</v>
      </c>
      <c r="K33" s="472">
        <f t="shared" si="18"/>
        <v>0</v>
      </c>
      <c r="L33" s="472">
        <f t="shared" ca="1" si="18"/>
        <v>0</v>
      </c>
      <c r="M33" s="472">
        <f t="shared" si="18"/>
        <v>0</v>
      </c>
      <c r="N33" s="472">
        <f t="shared" ca="1" si="18"/>
        <v>0</v>
      </c>
      <c r="O33" s="472">
        <f t="shared" si="18"/>
        <v>0</v>
      </c>
      <c r="P33" s="472">
        <f t="shared" si="18"/>
        <v>0</v>
      </c>
      <c r="Q33" s="472">
        <f t="shared" ca="1" si="18"/>
        <v>169426.56692480855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8266.1540000000005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8266.1540000000005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0.20426735888981642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0.20426735888981642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2019-07-04T14:26:11Z</dcterms:modified>
</cp:coreProperties>
</file>