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F18"/>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G20"/>
  <c r="F20"/>
  <c r="D20"/>
  <c r="B17"/>
  <c r="G12"/>
  <c r="F12"/>
  <c r="E12"/>
  <c r="D12"/>
  <c r="C12"/>
  <c r="G10"/>
  <c r="F10"/>
  <c r="B8"/>
  <c r="B6"/>
  <c r="B5"/>
  <c r="B10" s="1"/>
  <c r="B4"/>
  <c r="I101" l="1"/>
  <c r="H8" s="1"/>
  <c r="H10" s="1"/>
  <c r="H101"/>
  <c r="J8" s="1"/>
  <c r="J10" s="1"/>
  <c r="B101"/>
  <c r="C8" s="1"/>
  <c r="C101"/>
  <c r="D101"/>
  <c r="F101"/>
  <c r="G101"/>
  <c r="O9"/>
  <c r="I102"/>
  <c r="H17" s="1"/>
  <c r="H20" s="1"/>
  <c r="B102"/>
  <c r="C17" s="1"/>
  <c r="C102"/>
  <c r="G102"/>
  <c r="I17" s="1"/>
  <c r="F102"/>
  <c r="B20"/>
  <c r="O19"/>
  <c r="I20"/>
  <c r="C20"/>
  <c r="C10"/>
  <c r="D102"/>
  <c r="H102"/>
  <c r="E101"/>
  <c r="E8" s="1"/>
  <c r="E10" s="1"/>
  <c r="E102"/>
  <c r="E17" s="1"/>
  <c r="E20" s="1"/>
  <c r="N6" i="17"/>
  <c r="I8" i="18" l="1"/>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P32" s="1"/>
  <c r="O17"/>
  <c r="O32" s="1"/>
  <c r="M4"/>
  <c r="L4"/>
  <c r="K4"/>
  <c r="I4"/>
  <c r="H4"/>
  <c r="G4"/>
  <c r="P11"/>
  <c r="O11"/>
  <c r="N11"/>
  <c r="M11"/>
  <c r="L11"/>
  <c r="K11"/>
  <c r="J11"/>
  <c r="I11"/>
  <c r="H11"/>
  <c r="G11"/>
  <c r="F11"/>
  <c r="E11"/>
  <c r="Q11" s="1"/>
  <c r="D11"/>
  <c r="C11"/>
  <c r="B11"/>
  <c r="P29"/>
  <c r="P28"/>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I26" s="1"/>
  <c r="H24"/>
  <c r="Q50"/>
  <c r="P50"/>
  <c r="O50"/>
  <c r="M50"/>
  <c r="L50"/>
  <c r="K50"/>
  <c r="J50"/>
  <c r="G50"/>
  <c r="D50"/>
  <c r="Q49"/>
  <c r="Q52" s="1"/>
  <c r="P49"/>
  <c r="P52" s="1"/>
  <c r="Q20"/>
  <c r="P20"/>
  <c r="O20"/>
  <c r="M20"/>
  <c r="L20"/>
  <c r="K20"/>
  <c r="J20"/>
  <c r="G20"/>
  <c r="D20"/>
  <c r="Q19"/>
  <c r="P19"/>
  <c r="O19"/>
  <c r="O22" s="1"/>
  <c r="M19"/>
  <c r="M22" s="1"/>
  <c r="L19"/>
  <c r="K19"/>
  <c r="K22" s="1"/>
  <c r="J19"/>
  <c r="I19"/>
  <c r="G19"/>
  <c r="G22" s="1"/>
  <c r="F19"/>
  <c r="E19"/>
  <c r="D19"/>
  <c r="Q48"/>
  <c r="P48"/>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E25"/>
  <c r="E55" s="1"/>
  <c r="C25"/>
  <c r="B14" i="48" s="1"/>
  <c r="L26" i="14"/>
  <c r="J26"/>
  <c r="H26"/>
  <c r="L78" l="1"/>
  <c r="L9" i="59"/>
  <c r="L10" s="1"/>
  <c r="L22" i="14"/>
  <c r="O25" i="48"/>
  <c r="O28"/>
  <c r="O10" i="59"/>
  <c r="L20"/>
  <c r="P27" i="48"/>
  <c r="D22" i="14"/>
  <c r="K20" i="59"/>
  <c r="N10"/>
  <c r="D14" i="48"/>
  <c r="E20" i="59"/>
  <c r="E10"/>
  <c r="K78" i="14"/>
  <c r="K8" i="59"/>
  <c r="K10" s="1"/>
  <c r="E90" i="14"/>
  <c r="E18" i="59"/>
  <c r="P22" i="14"/>
  <c r="N78"/>
  <c r="K90"/>
  <c r="L90"/>
  <c r="H90"/>
  <c r="L13" i="15"/>
  <c r="N13"/>
  <c r="F77" i="14"/>
  <c r="O78"/>
  <c r="N88"/>
  <c r="E78"/>
  <c r="H77"/>
  <c r="H9" i="59" s="1"/>
  <c r="H10" s="1"/>
  <c r="O88" i="14"/>
  <c r="G89"/>
  <c r="G78"/>
  <c r="O31" i="48"/>
  <c r="O27"/>
  <c r="O29"/>
  <c r="P31"/>
  <c r="Q14"/>
  <c r="O24"/>
  <c r="O30"/>
  <c r="P24"/>
  <c r="P30"/>
  <c r="R9" i="14"/>
  <c r="R25"/>
  <c r="C89" l="1"/>
  <c r="C19" i="59" s="1"/>
  <c r="G19"/>
  <c r="G20" s="1"/>
  <c r="N90" i="14"/>
  <c r="N18" i="59"/>
  <c r="N20" s="1"/>
  <c r="O90" i="14"/>
  <c r="O18" i="59"/>
  <c r="O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90" i="14"/>
  <c r="M17" i="59"/>
  <c r="M20" s="1"/>
  <c r="F90" i="14"/>
  <c r="F17" i="59"/>
  <c r="F20" s="1"/>
  <c r="M78" i="14"/>
  <c r="M8" i="59"/>
  <c r="M10" s="1"/>
  <c r="I78" i="14"/>
  <c r="J76"/>
  <c r="J87"/>
  <c r="Q87"/>
  <c r="D90"/>
  <c r="Q76"/>
  <c r="D78"/>
  <c r="I90"/>
  <c r="Q90" l="1"/>
  <c r="B17" i="6" s="1"/>
  <c r="P17" i="59"/>
  <c r="P20" s="1"/>
  <c r="Q78" i="14"/>
  <c r="B9" i="6" s="1"/>
  <c r="P8" i="59"/>
  <c r="P10" s="1"/>
  <c r="J78" i="14"/>
  <c r="J8" i="59"/>
  <c r="J10" s="1"/>
  <c r="J90" i="14"/>
  <c r="J17" i="59"/>
  <c r="J20" s="1"/>
  <c r="B87" i="14"/>
  <c r="C76"/>
  <c r="B76"/>
  <c r="C87"/>
  <c r="C78" l="1"/>
  <c r="C8" i="59"/>
  <c r="C10" s="1"/>
  <c r="B90" i="14"/>
  <c r="B17" i="59"/>
  <c r="B20" s="1"/>
  <c r="C90" i="14"/>
  <c r="C17" i="59"/>
  <c r="C20" s="1"/>
  <c r="B78" i="14"/>
  <c r="B4" i="6" s="1"/>
  <c r="B8" i="59"/>
  <c r="B1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24"/>
  <c r="D31"/>
  <c r="D32"/>
  <c r="E28"/>
  <c r="E32"/>
  <c r="E30"/>
  <c r="E24"/>
  <c r="E31"/>
  <c r="E29"/>
  <c r="M32"/>
  <c r="M29"/>
  <c r="M26"/>
  <c r="M22"/>
  <c r="M24"/>
  <c r="M25"/>
  <c r="M30"/>
  <c r="M23"/>
  <c r="Q10" i="14"/>
  <c r="P5" i="48"/>
  <c r="P23" s="1"/>
  <c r="J29"/>
  <c r="J32"/>
  <c r="J27"/>
  <c r="J31"/>
  <c r="J24"/>
  <c r="J28"/>
  <c r="J30"/>
  <c r="O4"/>
  <c r="P11" i="14"/>
  <c r="I28" i="48"/>
  <c r="I22"/>
  <c r="I31"/>
  <c r="I29"/>
  <c r="I26"/>
  <c r="I32"/>
  <c r="I27"/>
  <c r="I25"/>
  <c r="I30"/>
  <c r="I24"/>
  <c r="D4"/>
  <c r="D22" s="1"/>
  <c r="E11" i="14"/>
  <c r="H29" i="48"/>
  <c r="H25"/>
  <c r="H26"/>
  <c r="H32"/>
  <c r="H28"/>
  <c r="H24"/>
  <c r="H30"/>
  <c r="H22"/>
  <c r="H23"/>
  <c r="L27"/>
  <c r="L29"/>
  <c r="L28"/>
  <c r="L32"/>
  <c r="L24"/>
  <c r="L31"/>
  <c r="L22"/>
  <c r="L30"/>
  <c r="K32"/>
  <c r="K26"/>
  <c r="K28"/>
  <c r="K25"/>
  <c r="K31"/>
  <c r="K30"/>
  <c r="K29"/>
  <c r="K24"/>
  <c r="K27"/>
  <c r="K22"/>
  <c r="C24" i="14"/>
  <c r="C26" s="1"/>
  <c r="B7" i="48"/>
  <c r="D11" i="14"/>
  <c r="C4" i="48"/>
  <c r="G32"/>
  <c r="G26"/>
  <c r="G24"/>
  <c r="G30"/>
  <c r="G29"/>
  <c r="G25"/>
  <c r="G22"/>
  <c r="G23"/>
  <c r="P4"/>
  <c r="Q11" i="14"/>
  <c r="C11"/>
  <c r="B4" i="48"/>
  <c r="F32"/>
  <c r="F28"/>
  <c r="F31"/>
  <c r="F27"/>
  <c r="F30"/>
  <c r="F29"/>
  <c r="F24"/>
  <c r="N32"/>
  <c r="N29"/>
  <c r="N28"/>
  <c r="N30"/>
  <c r="N24"/>
  <c r="N31"/>
  <c r="N27"/>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P22" i="16"/>
  <c r="Q43" i="14" s="1"/>
  <c r="P8" i="48"/>
  <c r="P26" s="1"/>
  <c r="Q13" i="14"/>
  <c r="B9" i="48"/>
  <c r="C20" i="14"/>
  <c r="O5" i="48"/>
  <c r="O23" s="1"/>
  <c r="P10" i="14"/>
  <c r="F4" i="48"/>
  <c r="F22" s="1"/>
  <c r="G11" i="14"/>
  <c r="K24"/>
  <c r="K26" s="1"/>
  <c r="J7" i="48"/>
  <c r="J25" s="1"/>
  <c r="L46" i="14"/>
  <c r="L61" s="1"/>
  <c r="L63" s="1"/>
  <c r="C22"/>
  <c r="K23" i="48"/>
  <c r="K33" s="1"/>
  <c r="K15"/>
  <c r="F20" i="14"/>
  <c r="F22" s="1"/>
  <c r="E9" i="48"/>
  <c r="D9"/>
  <c r="D27" s="1"/>
  <c r="E20" i="14"/>
  <c r="E22" s="1"/>
  <c r="J10"/>
  <c r="J16" s="1"/>
  <c r="J27" s="1"/>
  <c r="I5" i="48"/>
  <c r="P22"/>
  <c r="P33" s="1"/>
  <c r="P15"/>
  <c r="Q16" i="14"/>
  <c r="Q27" s="1"/>
  <c r="Q63" s="1"/>
  <c r="M12" i="22"/>
  <c r="N18" i="14"/>
  <c r="M13" i="48"/>
  <c r="M31" s="1"/>
  <c r="O22"/>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R11" s="1"/>
  <c r="E4" i="48"/>
  <c r="M10"/>
  <c r="M28" s="1"/>
  <c r="N19" i="14"/>
  <c r="N22" s="1"/>
  <c r="N27" s="1"/>
  <c r="N63" s="1"/>
  <c r="E7" i="48"/>
  <c r="E25" s="1"/>
  <c r="F24" i="14"/>
  <c r="F26" s="1"/>
  <c r="P16"/>
  <c r="P27" s="1"/>
  <c r="O8" i="48"/>
  <c r="O26" s="1"/>
  <c r="P13" i="14"/>
  <c r="I23" i="48"/>
  <c r="I33" s="1"/>
  <c r="I15"/>
  <c r="G31"/>
  <c r="Q13"/>
  <c r="H19" i="14"/>
  <c r="G10" i="48"/>
  <c r="E27"/>
  <c r="O33"/>
  <c r="J4"/>
  <c r="K11" i="14"/>
  <c r="M9" i="48"/>
  <c r="N20" i="14"/>
  <c r="G9" i="48"/>
  <c r="H20" i="14"/>
  <c r="H22" s="1"/>
  <c r="H27" s="1"/>
  <c r="N52"/>
  <c r="N61" s="1"/>
  <c r="O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M46" s="1"/>
  <c r="Q9" i="48" l="1"/>
  <c r="H52" i="14"/>
  <c r="H61" s="1"/>
  <c r="H63" s="1"/>
  <c r="J22" i="48"/>
  <c r="I20" i="14"/>
  <c r="H9" i="48"/>
  <c r="E20" i="15"/>
  <c r="F40" i="14" s="1"/>
  <c r="E5" i="48"/>
  <c r="E23" s="1"/>
  <c r="F10" i="14"/>
  <c r="M27" i="48"/>
  <c r="M33" s="1"/>
  <c r="M15"/>
  <c r="K10" i="14"/>
  <c r="J5" i="48"/>
  <c r="J23" s="1"/>
  <c r="E22"/>
  <c r="Q4"/>
  <c r="E46" i="14"/>
  <c r="E61" s="1"/>
  <c r="R19"/>
  <c r="G27" i="48"/>
  <c r="G33" s="1"/>
  <c r="G15"/>
  <c r="G28"/>
  <c r="Q10"/>
  <c r="J20" i="15"/>
  <c r="K40" i="14" s="1"/>
  <c r="M61"/>
  <c r="M27"/>
  <c r="E16"/>
  <c r="E27" s="1"/>
  <c r="L15" i="48"/>
  <c r="R24" i="14"/>
  <c r="R26" s="1"/>
  <c r="L33" i="48"/>
  <c r="Q7"/>
  <c r="R10" i="14"/>
  <c r="D23" i="48"/>
  <c r="D33" s="1"/>
  <c r="D15"/>
  <c r="C16" i="14"/>
  <c r="C27" s="1"/>
  <c r="B3" i="6" s="1"/>
  <c r="B12" s="1"/>
  <c r="F23" i="48"/>
  <c r="N23"/>
  <c r="B15"/>
  <c r="F18" i="16"/>
  <c r="E18"/>
  <c r="E22" s="1"/>
  <c r="F43" i="14" s="1"/>
  <c r="N18" i="16"/>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J22" i="16" l="1"/>
  <c r="K43" i="14" s="1"/>
  <c r="K46" s="1"/>
  <c r="K61" s="1"/>
  <c r="K63" s="1"/>
  <c r="K13"/>
  <c r="J8" i="48"/>
  <c r="F16" i="14"/>
  <c r="F27" s="1"/>
  <c r="E63"/>
  <c r="H27" i="48"/>
  <c r="H33" s="1"/>
  <c r="H15"/>
  <c r="K16" i="14"/>
  <c r="K27" s="1"/>
  <c r="I63"/>
  <c r="Q5" i="48"/>
  <c r="E8"/>
  <c r="E26" s="1"/>
  <c r="F13" i="14"/>
  <c r="I22"/>
  <c r="I27" s="1"/>
  <c r="R20"/>
  <c r="R22" s="1"/>
  <c r="E33" i="48"/>
  <c r="F46" i="14"/>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15"/>
  <c r="F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<sst xmlns="http://schemas.openxmlformats.org/spreadsheetml/2006/main" count="2429" uniqueCount="910">
  <si>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</si>
  <si>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</si>
  <si>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</si>
  <si>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</si>
  <si>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</si>
  <si>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</si>
  <si>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</si>
  <si>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</si>
  <si>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</si>
  <si>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</si>
  <si>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</si>
  <si>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</si>
  <si>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</si>
  <si>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</si>
  <si>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</si>
  <si>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</si>
  <si>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</si>
  <si>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</si>
  <si>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</si>
  <si>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</si>
  <si>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</si>
  <si>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</si>
  <si>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</si>
  <si>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</si>
  <si>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</si>
  <si>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</si>
  <si>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</si>
  <si>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</si>
  <si>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</si>
  <si>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</si>
  <si>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</si>
  <si>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</si>
  <si>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</si>
  <si>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</si>
  <si>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</si>
  <si>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</si>
  <si>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</si>
  <si>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</si>
  <si>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</si>
  <si>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</si>
  <si>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</si>
  <si>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</si>
  <si>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</si>
  <si>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</si>
  <si>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</si>
  <si>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</si>
  <si>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</si>
  <si>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</si>
  <si>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</si>
  <si>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</si>
  <si>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</si>
  <si>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</si>
  <si>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</si>
  <si>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</si>
  <si>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</si>
  <si>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</si>
  <si>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</si>
  <si>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</si>
  <si>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</si>
  <si>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</si>
  <si>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</si>
  <si>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</si>
  <si>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</si>
  <si>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</si>
  <si>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</si>
  <si>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</si>
  <si>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</si>
  <si>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</si>
  <si>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</si>
  <si>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</si>
  <si>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</si>
  <si>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</si>
  <si>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</si>
  <si>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</si>
  <si>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</si>
  <si>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</si>
  <si>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</si>
  <si>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</si>
  <si>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</si>
  <si>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</si>
  <si>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</si>
  <si>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</si>
  <si>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</si>
  <si>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</si>
  <si>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</si>
  <si>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</si>
  <si>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</si>
  <si>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</si>
  <si>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</si>
  <si>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</si>
  <si>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</si>
  <si>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</si>
  <si>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</si>
  <si>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</si>
  <si>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</si>
  <si>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</si>
  <si>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</si>
  <si>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</si>
  <si>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</si>
  <si>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</si>
  <si>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</si>
  <si>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</si>
  <si>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</si>
  <si>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</si>
  <si>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</si>
  <si>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</si>
  <si>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</si>
  <si>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</si>
  <si>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</si>
  <si>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</si>
  <si>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</si>
  <si>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</si>
  <si>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</si>
  <si>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</si>
  <si>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</si>
  <si>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</si>
  <si>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</si>
  <si>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</si>
  <si>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</si>
  <si>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</si>
  <si>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</si>
  <si>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</si>
  <si>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</si>
  <si>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</si>
  <si>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</si>
  <si>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</si>
  <si>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</si>
  <si>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</si>
  <si>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</si>
  <si>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</si>
  <si>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</si>
  <si>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</si>
  <si>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</si>
  <si>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</si>
  <si>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</si>
  <si>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</si>
  <si>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</si>
  <si>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</si>
  <si>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</si>
  <si>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</si>
  <si>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</si>
  <si>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</si>
  <si>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</si>
  <si>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</si>
  <si>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</si>
  <si>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</si>
  <si>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</si>
  <si>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</si>
  <si>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</si>
  <si>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</si>
  <si>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</si>
  <si>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</si>
  <si>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</si>
  <si>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</si>
  <si>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</si>
  <si>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</si>
  <si>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</si>
  <si>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</si>
  <si>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</si>
  <si>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</si>
  <si>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</si>
  <si>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</si>
  <si>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</si>
  <si>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</si>
  <si>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</si>
  <si>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</si>
  <si>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</si>
  <si>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</si>
  <si>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</si>
  <si>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</si>
  <si>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</si>
  <si>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</si>
  <si>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</si>
  <si>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</si>
  <si>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</si>
  <si>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</si>
  <si>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</si>
  <si>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</si>
  <si>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</si>
  <si>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</si>
  <si>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</si>
  <si>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</si>
  <si>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</si>
  <si>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</si>
  <si>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</si>
  <si>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</si>
  <si>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</si>
  <si>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</si>
  <si>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</si>
  <si>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</si>
  <si>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</si>
  <si>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</si>
  <si>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</si>
  <si>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</si>
  <si>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</si>
  <si>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</si>
  <si>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</si>
  <si>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</si>
  <si>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</si>
  <si>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</si>
  <si>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</si>
  <si>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</si>
  <si>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</si>
  <si>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</si>
  <si>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</si>
  <si>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</si>
  <si>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</si>
  <si>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</si>
  <si>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</si>
  <si>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</si>
  <si>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</si>
  <si>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</si>
  <si>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</si>
  <si>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</si>
  <si>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</si>
  <si>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</si>
  <si>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</si>
  <si>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</si>
  <si>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</si>
  <si>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</si>
  <si>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</si>
  <si>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</si>
  <si>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</si>
  <si>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</si>
  <si>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</si>
  <si>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</si>
  <si>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</si>
  <si>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</si>
  <si>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</si>
  <si>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</si>
  <si>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</si>
  <si>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</si>
  <si>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</si>
  <si>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</si>
  <si>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</si>
  <si>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</si>
  <si>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</si>
  <si>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</si>
  <si>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</si>
  <si>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</si>
  <si>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</si>
  <si>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</si>
  <si>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</si>
  <si>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</si>
  <si>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</si>
  <si>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</si>
  <si>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</si>
  <si>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</si>
  <si>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</si>
  <si>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</si>
  <si>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</si>
  <si>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</si>
  <si>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</si>
  <si>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</si>
  <si>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</si>
  <si>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</si>
  <si>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</si>
  <si>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</si>
  <si>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</si>
  <si>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</si>
  <si>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</si>
  <si>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</si>
  <si>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</si>
  <si>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</si>
  <si>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</si>
  <si>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</si>
  <si>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</si>
  <si>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</si>
  <si>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</si>
  <si>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</si>
  <si>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</si>
  <si>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</si>
  <si>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</si>
  <si>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</si>
  <si>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</si>
  <si>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</si>
  <si>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</si>
  <si>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</si>
  <si>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</si>
  <si>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</si>
  <si>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</si>
  <si>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</si>
  <si>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</si>
  <si>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</si>
  <si>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</si>
  <si>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</si>
  <si>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</si>
  <si>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</si>
  <si>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</si>
  <si>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</si>
  <si>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</si>
  <si>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</si>
  <si>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</si>
  <si>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</si>
  <si>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</si>
  <si>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</si>
  <si>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</si>
  <si>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</si>
  <si>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</si>
  <si>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</si>
  <si>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</si>
  <si>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</si>
  <si>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</si>
  <si>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</si>
  <si>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</si>
  <si>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</si>
  <si>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</si>
  <si>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</si>
  <si>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</si>
  <si>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</si>
  <si>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</si>
  <si>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</si>
  <si>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</si>
  <si>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</si>
  <si>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</si>
  <si>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</si>
  <si>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</si>
  <si>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</si>
  <si>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</si>
  <si>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</si>
  <si>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</si>
  <si>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</si>
  <si>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</si>
  <si>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</si>
  <si>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</si>
  <si>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</si>
  <si>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</si>
  <si>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</si>
  <si>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</si>
  <si>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</si>
  <si>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</si>
  <si>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</si>
  <si>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</si>
  <si>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</si>
  <si>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</si>
  <si>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</si>
  <si>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</si>
  <si>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</si>
  <si>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</si>
  <si>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</si>
  <si>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</si>
  <si>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</si>
  <si>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</si>
  <si>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</si>
  <si>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</si>
  <si>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</si>
  <si>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</si>
  <si>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</si>
  <si>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</si>
  <si>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</si>
  <si>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</si>
  <si>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</si>
  <si>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</si>
  <si>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</si>
  <si>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</si>
  <si>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</si>
  <si>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</si>
  <si>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</si>
  <si>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</si>
  <si>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</si>
  <si>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</si>
  <si>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</si>
  <si>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</si>
  <si>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</si>
  <si>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</si>
  <si>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</si>
  <si>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</si>
  <si>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</si>
  <si>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</si>
  <si>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</si>
  <si>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</si>
  <si>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</si>
  <si>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</si>
  <si>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</si>
  <si>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</si>
  <si>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</si>
  <si>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</si>
  <si>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</si>
  <si>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</si>
  <si>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</si>
  <si>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</si>
  <si>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</si>
  <si>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</si>
  <si>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</si>
  <si>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</si>
  <si>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</si>
  <si>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</si>
  <si>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</si>
  <si>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</si>
  <si>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</si>
  <si>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</si>
  <si>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</si>
  <si>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</si>
  <si>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</si>
  <si>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</si>
  <si>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</si>
  <si>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</si>
  <si>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</si>
  <si>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</si>
  <si>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</si>
  <si>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</si>
  <si>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</si>
  <si>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</si>
  <si>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</si>
  <si>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</si>
  <si>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</si>
  <si>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</si>
  <si>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</si>
  <si>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</si>
  <si>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</si>
  <si>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</si>
  <si>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</si>
  <si>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</si>
  <si>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</si>
  <si>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</si>
  <si>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</si>
  <si>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</si>
  <si>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</si>
  <si>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</si>
  <si>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</si>
  <si>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</si>
  <si>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</si>
  <si>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</si>
  <si>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</si>
  <si>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</si>
  <si>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</si>
  <si>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</si>
  <si>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</si>
  <si>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</si>
  <si>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</si>
  <si>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</si>
  <si>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</si>
  <si>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</si>
  <si>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</si>
  <si>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</si>
  <si>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</si>
  <si>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</si>
  <si>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</si>
  <si>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</si>
  <si>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</si>
  <si>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</si>
  <si>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</si>
  <si>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</si>
  <si>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</si>
  <si>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</si>
  <si>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</si>
  <si>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</si>
  <si>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</si>
  <si>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</si>
  <si>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</si>
  <si>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</si>
  <si>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</si>
  <si>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</si>
  <si>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</si>
  <si>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</si>
  <si>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</si>
  <si>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</si>
  <si>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</si>
  <si>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</si>
  <si>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</si>
  <si>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</si>
  <si>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</si>
  <si>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</si>
  <si>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</si>
  <si>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</si>
  <si>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</si>
  <si>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</si>
  <si>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</si>
  <si>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</si>
  <si>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</si>
  <si>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</si>
  <si>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</si>
  <si>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</si>
  <si>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</si>
  <si>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</si>
  <si>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</si>
  <si>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</si>
  <si>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</si>
  <si>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</si>
  <si>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</si>
  <si>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</si>
  <si>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</si>
  <si>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</si>
  <si>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</si>
  <si>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</si>
  <si>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</si>
  <si>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</si>
  <si>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</si>
  <si>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</si>
  <si>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</si>
  <si>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</si>
  <si>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</si>
  <si>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</si>
  <si>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</si>
  <si>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</si>
  <si>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</si>
  <si>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</si>
  <si>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</si>
  <si>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</si>
  <si>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</si>
  <si>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</si>
  <si>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</si>
  <si>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</si>
  <si>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</si>
  <si>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</si>
  <si>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</si>
  <si>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</si>
  <si>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</si>
  <si>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</si>
  <si>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</si>
  <si>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</si>
  <si>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</si>
  <si>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</si>
  <si>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</si>
  <si>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</si>
  <si>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</si>
  <si>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</si>
  <si>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</si>
  <si>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</si>
  <si>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</si>
  <si>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</si>
  <si>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</si>
  <si>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</si>
  <si>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</si>
  <si>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</si>
  <si>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</si>
  <si>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</si>
  <si>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</si>
  <si>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</si>
  <si>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</si>
  <si>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</si>
  <si>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</si>
  <si>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</si>
  <si>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</si>
  <si>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</si>
  <si>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</si>
  <si>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</si>
  <si>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</si>
  <si>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</si>
  <si>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</si>
  <si>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</si>
  <si>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</si>
  <si>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</si>
  <si>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</si>
  <si>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</si>
  <si>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</si>
  <si>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</si>
  <si>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</si>
  <si>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</si>
  <si>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</si>
  <si>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</si>
  <si>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</si>
  <si>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</si>
  <si>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</si>
  <si>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</si>
  <si>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</si>
  <si>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</si>
  <si>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</si>
  <si>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</si>
  <si>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</si>
  <si>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</si>
  <si>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</si>
  <si>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</si>
  <si>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</si>
  <si>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</si>
  <si>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</si>
  <si>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</si>
  <si>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</si>
  <si>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</si>
  <si>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</si>
  <si>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</si>
  <si>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</si>
  <si>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</si>
  <si>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</si>
  <si>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</si>
  <si>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</si>
  <si>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</si>
  <si>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</si>
  <si>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</si>
  <si>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</si>
  <si>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</si>
  <si>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</si>
  <si>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</si>
  <si>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</si>
  <si>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</si>
  <si>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</si>
  <si>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</si>
  <si>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</si>
  <si>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</si>
  <si>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</si>
  <si>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</si>
  <si>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</si>
  <si>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</si>
  <si>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</si>
  <si>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</si>
  <si>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</si>
  <si>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</si>
  <si>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</si>
  <si>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</si>
  <si>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</si>
  <si>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</si>
  <si>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</si>
  <si>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</si>
  <si>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</si>
  <si>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</si>
  <si>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</si>
  <si>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</si>
  <si>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</si>
  <si>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</si>
  <si>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</si>
  <si>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</si>
  <si>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</si>
  <si>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</si>
  <si>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</si>
  <si>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</si>
  <si>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</si>
  <si>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</si>
  <si>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</si>
  <si>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</si>
  <si>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</si>
  <si>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</si>
  <si>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</si>
  <si>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</si>
  <si>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</si>
  <si>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</si>
  <si>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</si>
  <si>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</si>
  <si>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</si>
  <si>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</si>
  <si>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</si>
  <si>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</si>
  <si>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</si>
  <si>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</si>
  <si>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</si>
  <si>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</si>
  <si>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</si>
  <si>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</si>
  <si>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</si>
  <si>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</si>
  <si>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</si>
  <si>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</si>
  <si>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</si>
  <si>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</si>
  <si>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</si>
  <si>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</si>
  <si>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</si>
  <si>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</si>
  <si>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</si>
  <si>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</si>
  <si>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</si>
  <si>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</si>
  <si>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</si>
  <si>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</si>
  <si>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</si>
  <si>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</si>
  <si>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</si>
  <si>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</si>
  <si>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</si>
  <si>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</si>
  <si>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</si>
  <si>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</si>
  <si>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</si>
  <si>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</si>
  <si>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</si>
  <si>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</si>
  <si>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</si>
  <si>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</si>
  <si>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</si>
  <si>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</si>
  <si>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</si>
  <si>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</si>
  <si>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</si>
  <si>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</si>
  <si>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</si>
  <si>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</si>
  <si>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</si>
  <si>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</si>
  <si>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</si>
  <si>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</si>
  <si>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</si>
  <si>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</si>
  <si>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</si>
  <si>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</si>
  <si>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</si>
  <si>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</si>
  <si>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</si>
  <si>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</si>
  <si>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</si>
  <si>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</si>
  <si>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</si>
  <si>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</si>
  <si>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</si>
  <si>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</si>
  <si>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</si>
  <si>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</si>
  <si>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</si>
  <si>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</si>
  <si>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</si>
  <si>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</si>
  <si>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</si>
  <si>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</si>
  <si>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</si>
  <si>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</si>
  <si>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</si>
  <si>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</si>
  <si>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</si>
  <si>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</si>
  <si>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</si>
  <si>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</si>
  <si>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</si>
  <si>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</si>
  <si>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</si>
  <si>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</si>
  <si>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</si>
  <si>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</si>
  <si>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</si>
  <si>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</si>
  <si>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</si>
  <si>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</si>
  <si>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</si>
  <si>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</si>
  <si>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</si>
  <si>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</si>
  <si>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</si>
  <si>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</si>
  <si>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</si>
  <si>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</si>
  <si>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</si>
  <si>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</si>
  <si>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</si>
  <si>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</si>
  <si>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</si>
  <si>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</si>
  <si>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</si>
  <si>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</si>
  <si>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</si>
  <si>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</si>
  <si>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</si>
  <si>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</si>
  <si>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</si>
  <si>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</si>
  <si>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</si>
  <si>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</si>
  <si>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</si>
  <si>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</si>
  <si>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</si>
  <si>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</si>
  <si>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</si>
  <si>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</si>
  <si>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</si>
  <si>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</si>
  <si>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</si>
  <si>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</si>
  <si>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</si>
  <si>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</si>
  <si>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</si>
  <si>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</si>
  <si>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</si>
  <si>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</si>
  <si>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</si>
  <si>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</si>
  <si>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</si>
  <si>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</si>
  <si>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</si>
  <si>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</si>
  <si>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</si>
  <si>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</si>
  <si>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</si>
  <si>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</si>
  <si>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</si>
  <si>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</si>
  <si>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</si>
  <si>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</si>
  <si>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</si>
  <si>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</si>
  <si>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</si>
  <si>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</si>
  <si>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</si>
  <si>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</si>
  <si>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</si>
  <si>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</si>
  <si>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</si>
  <si>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</si>
  <si>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</si>
  <si>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</si>
  <si>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</si>
  <si>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</si>
  <si>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</si>
  <si>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</si>
  <si>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</si>
  <si>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</si>
  <si>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</si>
  <si>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</si>
  <si>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</si>
  <si>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</si>
  <si>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</si>
  <si>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</si>
  <si>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</si>
  <si>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</si>
  <si>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</si>
  <si>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</si>
  <si>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</si>
  <si>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</si>
  <si>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</si>
  <si>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</si>
  <si>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</si>
  <si>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</si>
  <si>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</si>
  <si>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</si>
  <si>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</si>
  <si>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</si>
  <si>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</si>
  <si>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</si>
  <si>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</si>
  <si>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</si>
  <si>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</si>
  <si>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</si>
  <si>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</si>
  <si>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</si>
  <si>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</si>
  <si>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</si>
  <si>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</si>
  <si>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</si>
  <si>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</si>
  <si>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</si>
  <si>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</si>
  <si>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</si>
  <si>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</si>
  <si>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</si>
  <si>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</si>
  <si>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</si>
  <si>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</si>
  <si>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</si>
  <si>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</si>
  <si>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</si>
  <si>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</si>
  <si>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</si>
  <si>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</si>
  <si>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</si>
  <si>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</si>
  <si>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</si>
  <si>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</si>
  <si>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</si>
  <si>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</si>
  <si>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</si>
  <si>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</si>
  <si>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</si>
  <si>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</si>
  <si>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</si>
  <si>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</si>
  <si>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</si>
  <si>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</si>
  <si>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</si>
  <si>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</si>
  <si>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</si>
  <si>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</si>
  <si>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</si>
  <si>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</si>
  <si>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</si>
  <si>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</si>
  <si>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</si>
  <si>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</si>
  <si>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</si>
  <si>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</si>
  <si>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</si>
  <si>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</si>
  <si>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</si>
  <si>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</si>
  <si>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</si>
  <si>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</si>
  <si>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</si>
  <si>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</si>
  <si>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</si>
  <si>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</si>
  <si>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</si>
  <si>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</si>
  <si>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</si>
  <si>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</si>
  <si>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</si>
  <si>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</si>
  <si>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</si>
  <si>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</si>
  <si>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</si>
  <si>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</si>
  <si>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</si>
  <si>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</si>
  <si>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</si>
  <si>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</si>
  <si>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</si>
  <si>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</si>
  <si>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</si>
  <si>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</si>
  <si>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</si>
  <si>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</si>
  <si>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</si>
  <si>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</si>
  <si>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</si>
  <si>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</si>
  <si>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</si>
  <si>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</si>
  <si>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</si>
  <si>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</si>
  <si>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</si>
  <si>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24086</t>
  </si>
  <si>
    <t>OUD-HEVERLEE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</si>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</sst>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102602.790091856</c:v>
                </c:pt>
                <c:pt idx="1">
                  <c:v>15915.171469373441</c:v>
                </c:pt>
                <c:pt idx="2">
                  <c:v>669.09799999999996</c:v>
                </c:pt>
                <c:pt idx="3">
                  <c:v>309.17155560957912</c:v>
                </c:pt>
                <c:pt idx="4">
                  <c:v>1095.2804396766408</c:v>
                </c:pt>
                <c:pt idx="5">
                  <c:v>91127.371890526905</c:v>
                </c:pt>
                <c:pt idx="6">
                  <c:v>1112.6522562178952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3552"/>
        <c:axId val="181385088"/>
      </c:barChart>
      <c:catAx>
        <c:axId val="181383552"/>
        <c:scaling>
          <c:orientation val="minMax"/>
        </c:scaling>
        <c:axPos val="b"/>
        <c:numFmt formatCode="General" sourceLinked="0"/>
        <c:tickLblPos val="nextTo"/>
        <c:crossAx val="181385088"/>
        <c:crosses val="autoZero"/>
        <c:auto val="1"/>
        <c:lblAlgn val="ctr"/>
        <c:lblOffset val="100"/>
      </c:catAx>
      <c:valAx>
        <c:axId val="181385088"/>
        <c:scaling>
          <c:orientation val="minMax"/>
        </c:scaling>
        <c:axPos val="l"/>
        <c:majorGridlines/>
        <c:numFmt formatCode="#,##0" sourceLinked="1"/>
        <c:tickLblPos val="nextTo"/>
        <c:crossAx val="181383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102602.790091856</c:v>
                </c:pt>
                <c:pt idx="1">
                  <c:v>15915.171469373441</c:v>
                </c:pt>
                <c:pt idx="2">
                  <c:v>669.09799999999996</c:v>
                </c:pt>
                <c:pt idx="3">
                  <c:v>309.17155560957912</c:v>
                </c:pt>
                <c:pt idx="4">
                  <c:v>1095.2804396766408</c:v>
                </c:pt>
                <c:pt idx="5">
                  <c:v>91127.371890526905</c:v>
                </c:pt>
                <c:pt idx="6">
                  <c:v>1112.6522562178952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21275.70382656754</c:v>
                </c:pt>
                <c:pt idx="2">
                  <c:v>3213.0440737669687</c:v>
                </c:pt>
                <c:pt idx="3">
                  <c:v>138.91329775087439</c:v>
                </c:pt>
                <c:pt idx="4">
                  <c:v>76.445988461632993</c:v>
                </c:pt>
                <c:pt idx="5">
                  <c:v>206.64876045953176</c:v>
                </c:pt>
                <c:pt idx="6">
                  <c:v>23007.219438114676</c:v>
                </c:pt>
                <c:pt idx="7">
                  <c:v>284.42890338723447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4544"/>
        <c:axId val="181494528"/>
      </c:barChart>
      <c:catAx>
        <c:axId val="181484544"/>
        <c:scaling>
          <c:orientation val="minMax"/>
        </c:scaling>
        <c:axPos val="b"/>
        <c:numFmt formatCode="General" sourceLinked="0"/>
        <c:tickLblPos val="nextTo"/>
        <c:crossAx val="181494528"/>
        <c:crosses val="autoZero"/>
        <c:auto val="1"/>
        <c:lblAlgn val="ctr"/>
        <c:lblOffset val="100"/>
      </c:catAx>
      <c:valAx>
        <c:axId val="181494528"/>
        <c:scaling>
          <c:orientation val="minMax"/>
        </c:scaling>
        <c:axPos val="l"/>
        <c:majorGridlines/>
        <c:numFmt formatCode="#,##0" sourceLinked="1"/>
        <c:tickLblPos val="nextTo"/>
        <c:crossAx val="1814845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21275.70382656754</c:v>
                </c:pt>
                <c:pt idx="2">
                  <c:v>3213.0440737669687</c:v>
                </c:pt>
                <c:pt idx="3">
                  <c:v>138.91329775087439</c:v>
                </c:pt>
                <c:pt idx="4">
                  <c:v>76.445988461632993</c:v>
                </c:pt>
                <c:pt idx="5">
                  <c:v>206.64876045953176</c:v>
                </c:pt>
                <c:pt idx="6">
                  <c:v>23007.219438114676</c:v>
                </c:pt>
                <c:pt idx="7">
                  <c:v>284.42890338723447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24086</v>
      </c>
      <c r="B6" s="398"/>
      <c r="C6" s="399"/>
    </row>
    <row r="7" spans="1:7" s="396" customFormat="1" ht="15.75" customHeight="1">
      <c r="A7" s="400" t="str">
        <f>txtMunicipality</f>
        <v>OUD-HEVERLEE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0.20761278280741297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0.20761278280741297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24086</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4236</v>
      </c>
      <c r="C9" s="338">
        <v>4389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691</v>
      </c>
    </row>
    <row r="15" spans="1:6">
      <c r="A15" s="1295" t="s">
        <v>184</v>
      </c>
      <c r="B15" s="335">
        <v>0</v>
      </c>
    </row>
    <row r="16" spans="1:6">
      <c r="A16" s="1295" t="s">
        <v>6</v>
      </c>
      <c r="B16" s="335">
        <v>0</v>
      </c>
    </row>
    <row r="17" spans="1:6">
      <c r="A17" s="1295" t="s">
        <v>7</v>
      </c>
      <c r="B17" s="335">
        <v>122</v>
      </c>
    </row>
    <row r="18" spans="1:6">
      <c r="A18" s="1295" t="s">
        <v>8</v>
      </c>
      <c r="B18" s="335">
        <v>143</v>
      </c>
    </row>
    <row r="19" spans="1:6">
      <c r="A19" s="1295" t="s">
        <v>9</v>
      </c>
      <c r="B19" s="335">
        <v>116</v>
      </c>
    </row>
    <row r="20" spans="1:6">
      <c r="A20" s="1295" t="s">
        <v>10</v>
      </c>
      <c r="B20" s="335">
        <v>47</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90</v>
      </c>
    </row>
    <row r="27" spans="1:6">
      <c r="A27" s="1295" t="s">
        <v>17</v>
      </c>
      <c r="B27" s="335">
        <v>0</v>
      </c>
    </row>
    <row r="28" spans="1:6" s="341" customFormat="1">
      <c r="A28" s="1296" t="s">
        <v>18</v>
      </c>
      <c r="B28" s="1296">
        <v>0</v>
      </c>
    </row>
    <row r="29" spans="1:6">
      <c r="A29" s="1296" t="s">
        <v>906</v>
      </c>
      <c r="B29" s="1296">
        <v>244</v>
      </c>
      <c r="C29" s="341"/>
      <c r="D29" s="341"/>
      <c r="E29" s="341"/>
      <c r="F29" s="341"/>
    </row>
    <row r="30" spans="1:6">
      <c r="A30" s="1291" t="s">
        <v>907</v>
      </c>
      <c r="B30" s="1291">
        <v>49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4071</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1594</v>
      </c>
      <c r="D39" s="335">
        <v>32107184</v>
      </c>
      <c r="E39" s="335">
        <v>4233</v>
      </c>
      <c r="F39" s="335">
        <v>20759521</v>
      </c>
    </row>
    <row r="40" spans="1:6">
      <c r="A40" s="1295" t="s">
        <v>30</v>
      </c>
      <c r="B40" s="1295" t="s">
        <v>29</v>
      </c>
      <c r="C40" s="335">
        <v>0</v>
      </c>
      <c r="D40" s="335">
        <v>0</v>
      </c>
      <c r="E40" s="335">
        <v>0</v>
      </c>
      <c r="F40" s="335">
        <v>0</v>
      </c>
    </row>
    <row r="41" spans="1:6">
      <c r="A41" s="1295" t="s">
        <v>32</v>
      </c>
      <c r="B41" s="1295" t="s">
        <v>33</v>
      </c>
      <c r="C41" s="335">
        <v>6</v>
      </c>
      <c r="D41" s="335">
        <v>116293</v>
      </c>
      <c r="E41" s="335">
        <v>26</v>
      </c>
      <c r="F41" s="335">
        <v>266022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12263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36776</v>
      </c>
    </row>
    <row r="48" spans="1:6">
      <c r="A48" s="1295" t="s">
        <v>32</v>
      </c>
      <c r="B48" s="1295" t="s">
        <v>29</v>
      </c>
      <c r="C48" s="335">
        <v>2</v>
      </c>
      <c r="D48" s="335">
        <v>42129</v>
      </c>
      <c r="E48" s="335">
        <v>0</v>
      </c>
      <c r="F48" s="335">
        <v>0</v>
      </c>
    </row>
    <row r="49" spans="1:6">
      <c r="A49" s="1295" t="s">
        <v>32</v>
      </c>
      <c r="B49" s="1295" t="s">
        <v>40</v>
      </c>
      <c r="C49" s="335">
        <v>0</v>
      </c>
      <c r="D49" s="335">
        <v>0</v>
      </c>
      <c r="E49" s="335">
        <v>0</v>
      </c>
      <c r="F49" s="335">
        <v>0</v>
      </c>
    </row>
    <row r="50" spans="1:6">
      <c r="A50" s="1295" t="s">
        <v>32</v>
      </c>
      <c r="B50" s="1295" t="s">
        <v>41</v>
      </c>
      <c r="C50" s="335">
        <v>0</v>
      </c>
      <c r="D50" s="335">
        <v>0</v>
      </c>
      <c r="E50" s="335">
        <v>5</v>
      </c>
      <c r="F50" s="335">
        <v>75251</v>
      </c>
    </row>
    <row r="51" spans="1:6">
      <c r="A51" s="1295" t="s">
        <v>42</v>
      </c>
      <c r="B51" s="1295" t="s">
        <v>43</v>
      </c>
      <c r="C51" s="335">
        <v>0</v>
      </c>
      <c r="D51" s="335">
        <v>0</v>
      </c>
      <c r="E51" s="335">
        <v>15</v>
      </c>
      <c r="F51" s="335">
        <v>55298</v>
      </c>
    </row>
    <row r="52" spans="1:6">
      <c r="A52" s="1295" t="s">
        <v>42</v>
      </c>
      <c r="B52" s="1295" t="s">
        <v>29</v>
      </c>
      <c r="C52" s="335">
        <v>2</v>
      </c>
      <c r="D52" s="335">
        <v>59943</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0</v>
      </c>
      <c r="F54" s="335">
        <v>0</v>
      </c>
    </row>
    <row r="55" spans="1:6">
      <c r="A55" s="1295" t="s">
        <v>46</v>
      </c>
      <c r="B55" s="1295" t="s">
        <v>29</v>
      </c>
      <c r="C55" s="335">
        <v>0</v>
      </c>
      <c r="D55" s="335">
        <v>0</v>
      </c>
      <c r="E55" s="335">
        <v>2</v>
      </c>
      <c r="F55" s="335">
        <v>669098</v>
      </c>
    </row>
    <row r="56" spans="1:6">
      <c r="A56" s="1295" t="s">
        <v>48</v>
      </c>
      <c r="B56" s="1295" t="s">
        <v>29</v>
      </c>
      <c r="C56" s="335">
        <v>34</v>
      </c>
      <c r="D56" s="335">
        <v>1433488</v>
      </c>
      <c r="E56" s="335">
        <v>77</v>
      </c>
      <c r="F56" s="335">
        <v>611383</v>
      </c>
    </row>
    <row r="57" spans="1:6">
      <c r="A57" s="1295" t="s">
        <v>49</v>
      </c>
      <c r="B57" s="1295" t="s">
        <v>50</v>
      </c>
      <c r="C57" s="335">
        <v>11</v>
      </c>
      <c r="D57" s="335">
        <v>615728</v>
      </c>
      <c r="E57" s="335">
        <v>48</v>
      </c>
      <c r="F57" s="335">
        <v>1037995</v>
      </c>
    </row>
    <row r="58" spans="1:6">
      <c r="A58" s="1295" t="s">
        <v>49</v>
      </c>
      <c r="B58" s="1295" t="s">
        <v>51</v>
      </c>
      <c r="C58" s="335">
        <v>0</v>
      </c>
      <c r="D58" s="335">
        <v>0</v>
      </c>
      <c r="E58" s="335">
        <v>17</v>
      </c>
      <c r="F58" s="335">
        <v>269028</v>
      </c>
    </row>
    <row r="59" spans="1:6">
      <c r="A59" s="1295" t="s">
        <v>49</v>
      </c>
      <c r="B59" s="1295" t="s">
        <v>52</v>
      </c>
      <c r="C59" s="335">
        <v>20</v>
      </c>
      <c r="D59" s="335">
        <v>965221</v>
      </c>
      <c r="E59" s="335">
        <v>71</v>
      </c>
      <c r="F59" s="335">
        <v>1470626</v>
      </c>
    </row>
    <row r="60" spans="1:6">
      <c r="A60" s="1295" t="s">
        <v>49</v>
      </c>
      <c r="B60" s="1295" t="s">
        <v>53</v>
      </c>
      <c r="C60" s="335">
        <v>16</v>
      </c>
      <c r="D60" s="335">
        <v>1015225</v>
      </c>
      <c r="E60" s="335">
        <v>32</v>
      </c>
      <c r="F60" s="335">
        <v>1260925</v>
      </c>
    </row>
    <row r="61" spans="1:6">
      <c r="A61" s="1295" t="s">
        <v>49</v>
      </c>
      <c r="B61" s="1295" t="s">
        <v>54</v>
      </c>
      <c r="C61" s="335">
        <v>74</v>
      </c>
      <c r="D61" s="335">
        <v>3592717</v>
      </c>
      <c r="E61" s="335">
        <v>227</v>
      </c>
      <c r="F61" s="335">
        <v>3229086</v>
      </c>
    </row>
    <row r="62" spans="1:6">
      <c r="A62" s="1295" t="s">
        <v>49</v>
      </c>
      <c r="B62" s="1295" t="s">
        <v>55</v>
      </c>
      <c r="C62" s="335">
        <v>0</v>
      </c>
      <c r="D62" s="335">
        <v>0</v>
      </c>
      <c r="E62" s="335">
        <v>7</v>
      </c>
      <c r="F62" s="335">
        <v>278761</v>
      </c>
    </row>
    <row r="63" spans="1:6">
      <c r="A63" s="1295" t="s">
        <v>49</v>
      </c>
      <c r="B63" s="1295" t="s">
        <v>29</v>
      </c>
      <c r="C63" s="335">
        <v>3</v>
      </c>
      <c r="D63" s="335">
        <v>290716</v>
      </c>
      <c r="E63" s="335">
        <v>1</v>
      </c>
      <c r="F63" s="335">
        <v>88761</v>
      </c>
    </row>
    <row r="64" spans="1:6">
      <c r="A64" s="1295" t="s">
        <v>56</v>
      </c>
      <c r="B64" s="1295" t="s">
        <v>57</v>
      </c>
      <c r="C64" s="335">
        <v>0</v>
      </c>
      <c r="D64" s="335">
        <v>0</v>
      </c>
      <c r="E64" s="335">
        <v>0</v>
      </c>
      <c r="F64" s="335">
        <v>0</v>
      </c>
    </row>
    <row r="65" spans="1:6">
      <c r="A65" s="1295" t="s">
        <v>56</v>
      </c>
      <c r="B65" s="1295" t="s">
        <v>29</v>
      </c>
      <c r="C65" s="335">
        <v>0</v>
      </c>
      <c r="D65" s="335">
        <v>0</v>
      </c>
      <c r="E65" s="335">
        <v>1</v>
      </c>
      <c r="F65" s="335">
        <v>2389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31904891</v>
      </c>
      <c r="E73" s="335">
        <v>33303154.066235978</v>
      </c>
    </row>
    <row r="74" spans="1:6">
      <c r="A74" s="1295" t="s">
        <v>64</v>
      </c>
      <c r="B74" s="1295" t="s">
        <v>727</v>
      </c>
      <c r="C74" s="1295" t="s">
        <v>728</v>
      </c>
      <c r="D74" s="335">
        <v>2090635.2710763768</v>
      </c>
      <c r="E74" s="335">
        <v>2260352.2478493839</v>
      </c>
    </row>
    <row r="75" spans="1:6">
      <c r="A75" s="1295" t="s">
        <v>65</v>
      </c>
      <c r="B75" s="1295" t="s">
        <v>725</v>
      </c>
      <c r="C75" s="1295" t="s">
        <v>729</v>
      </c>
      <c r="D75" s="335">
        <v>29693693</v>
      </c>
      <c r="E75" s="335">
        <v>30884270.304384068</v>
      </c>
    </row>
    <row r="76" spans="1:6">
      <c r="A76" s="1295" t="s">
        <v>65</v>
      </c>
      <c r="B76" s="1295" t="s">
        <v>727</v>
      </c>
      <c r="C76" s="1295" t="s">
        <v>730</v>
      </c>
      <c r="D76" s="335">
        <v>1518671.2710763768</v>
      </c>
      <c r="E76" s="335">
        <v>1624579.5014443861</v>
      </c>
    </row>
    <row r="77" spans="1:6">
      <c r="A77" s="1295" t="s">
        <v>66</v>
      </c>
      <c r="B77" s="1295" t="s">
        <v>725</v>
      </c>
      <c r="C77" s="1295" t="s">
        <v>731</v>
      </c>
      <c r="D77" s="335">
        <v>37850607</v>
      </c>
      <c r="E77" s="335">
        <v>40648609.146945447</v>
      </c>
    </row>
    <row r="78" spans="1:6">
      <c r="A78" s="1291" t="s">
        <v>66</v>
      </c>
      <c r="B78" s="1291" t="s">
        <v>727</v>
      </c>
      <c r="C78" s="1291" t="s">
        <v>732</v>
      </c>
      <c r="D78" s="1291">
        <v>3309290</v>
      </c>
      <c r="E78" s="1291">
        <v>3406363.2261817218</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293949.45784724626</v>
      </c>
      <c r="C83" s="335">
        <v>291374.66124190914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1942.5889999999999</v>
      </c>
    </row>
    <row r="92" spans="1:6">
      <c r="A92" s="1291" t="s">
        <v>69</v>
      </c>
      <c r="B92" s="338">
        <v>0</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446</v>
      </c>
    </row>
    <row r="98" spans="1:6">
      <c r="A98" s="1295" t="s">
        <v>72</v>
      </c>
      <c r="B98" s="335">
        <v>1</v>
      </c>
    </row>
    <row r="99" spans="1:6">
      <c r="A99" s="1295" t="s">
        <v>73</v>
      </c>
      <c r="B99" s="335">
        <v>73</v>
      </c>
    </row>
    <row r="100" spans="1:6">
      <c r="A100" s="1295" t="s">
        <v>74</v>
      </c>
      <c r="B100" s="335">
        <v>431</v>
      </c>
    </row>
    <row r="101" spans="1:6">
      <c r="A101" s="1295" t="s">
        <v>75</v>
      </c>
      <c r="B101" s="335">
        <v>63</v>
      </c>
    </row>
    <row r="102" spans="1:6">
      <c r="A102" s="1295" t="s">
        <v>76</v>
      </c>
      <c r="B102" s="335">
        <v>40</v>
      </c>
    </row>
    <row r="103" spans="1:6">
      <c r="A103" s="1295" t="s">
        <v>77</v>
      </c>
      <c r="B103" s="335">
        <v>76</v>
      </c>
    </row>
    <row r="104" spans="1:6">
      <c r="A104" s="1295" t="s">
        <v>78</v>
      </c>
      <c r="B104" s="335">
        <v>2517</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9</v>
      </c>
      <c r="C123" s="335">
        <v>16</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61</v>
      </c>
    </row>
    <row r="130" spans="1:6">
      <c r="A130" s="1295" t="s">
        <v>295</v>
      </c>
      <c r="B130" s="335">
        <v>3</v>
      </c>
    </row>
    <row r="131" spans="1:6">
      <c r="A131" s="1295" t="s">
        <v>296</v>
      </c>
      <c r="B131" s="335">
        <v>0</v>
      </c>
    </row>
    <row r="132" spans="1:6">
      <c r="A132" s="1291" t="s">
        <v>297</v>
      </c>
      <c r="B132" s="338">
        <v>9</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32068.81331825447</v>
      </c>
      <c r="C3" s="43" t="s">
        <v>170</v>
      </c>
      <c r="D3" s="43"/>
      <c r="E3" s="156"/>
      <c r="F3" s="43"/>
      <c r="G3" s="43"/>
      <c r="H3" s="43"/>
      <c r="I3" s="43"/>
      <c r="J3" s="43"/>
      <c r="K3" s="96"/>
    </row>
    <row r="4" spans="1:11">
      <c r="A4" s="366" t="s">
        <v>171</v>
      </c>
      <c r="B4" s="49">
        <f>IF(ISERROR('SEAP template'!B78),0,'SEAP template'!B78)</f>
        <v>1942.5889999999999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0.20761278280741297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669.09799999999996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669.09799999999996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0.20761278280741297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138.91329775087439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20759.521000000001</v>
      </c>
      <c r="C5" s="17">
        <f>IF(ISERROR('Eigen informatie GS &amp; warmtenet'!B57),0,'Eigen informatie GS &amp; warmtenet'!B57)</f>
        <v>0</v>
      </c>
      <c r="D5" s="30">
        <f>(SUM(HH_hh_gas_kWh,HH_rest_gas_kWh)/1000)*0.902</f>
        <v>28960.679968</v>
      </c>
      <c r="E5" s="17">
        <f>B46*B57</f>
        <v>3058.9380773445291</v>
      </c>
      <c r="F5" s="17">
        <f>B51*B62</f>
        <v>37520.671523499375</v>
      </c>
      <c r="G5" s="18"/>
      <c r="H5" s="17"/>
      <c r="I5" s="17"/>
      <c r="J5" s="17">
        <f>B50*B61+C50*C61</f>
        <v>0</v>
      </c>
      <c r="K5" s="17"/>
      <c r="L5" s="17"/>
      <c r="M5" s="17"/>
      <c r="N5" s="17">
        <f>B48*B59+C48*C59</f>
        <v>9896.8138563454359</v>
      </c>
      <c r="O5" s="17">
        <f>B69*B70*B71</f>
        <v>120.37666666666668</v>
      </c>
      <c r="P5" s="17">
        <f>B77*B78*B79/1000-B77*B78*B79/1000/B80</f>
        <v>343.2</v>
      </c>
    </row>
    <row r="6" spans="1:16">
      <c r="A6" s="16" t="s">
        <v>634</v>
      </c>
      <c r="B6" s="783">
        <f>kWh_PV_kleiner_dan_10kW</f>
        <v>1942.5889999999999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22702.11</v>
      </c>
      <c r="C8" s="21">
        <f>C5</f>
        <v>0</v>
      </c>
      <c r="D8" s="21">
        <f>D5</f>
        <v>28960.679968</v>
      </c>
      <c r="E8" s="21">
        <f>E5</f>
        <v>3058.9380773445291</v>
      </c>
      <c r="F8" s="21">
        <f>F5</f>
        <v>37520.671523499375</v>
      </c>
      <c r="G8" s="21"/>
      <c r="H8" s="21"/>
      <c r="I8" s="21"/>
      <c r="J8" s="21">
        <f>J5</f>
        <v>0</v>
      </c>
      <c r="K8" s="21"/>
      <c r="L8" s="21">
        <f>L5</f>
        <v>0</v>
      </c>
      <c r="M8" s="21">
        <f>M5</f>
        <v>0</v>
      </c>
      <c r="N8" s="21">
        <f>N5</f>
        <v>9896.8138563454359</v>
      </c>
      <c r="O8" s="21">
        <f>O5</f>
        <v>120.37666666666668</v>
      </c>
      <c r="P8" s="21">
        <f>P5</f>
        <v>343.2</v>
      </c>
    </row>
    <row r="9" spans="1:16">
      <c r="B9" s="19"/>
      <c r="C9" s="19"/>
      <c r="D9" s="261"/>
      <c r="E9" s="19"/>
      <c r="F9" s="19"/>
      <c r="G9" s="19"/>
      <c r="H9" s="19"/>
      <c r="I9" s="19"/>
      <c r="J9" s="19"/>
      <c r="K9" s="19"/>
      <c r="L9" s="19"/>
      <c r="M9" s="19"/>
      <c r="N9" s="19"/>
      <c r="O9" s="19"/>
      <c r="P9" s="19"/>
    </row>
    <row r="10" spans="1:16">
      <c r="A10" s="24" t="s">
        <v>214</v>
      </c>
      <c r="B10" s="25">
        <f ca="1">'EF ele_warmte'!B12</f>
        <v>0.20761278280741297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4713.248232699998</v>
      </c>
      <c r="C12" s="23">
        <f ca="1">C10*C8</f>
        <v>0</v>
      </c>
      <c r="D12" s="23">
        <f>D8*D10</f>
        <v>5850.0573535360008</v>
      </c>
      <c r="E12" s="23">
        <f>E10*E8</f>
        <v>694.37894355720812</v>
      </c>
      <c r="F12" s="23">
        <f>F10*F8</f>
        <v>10018.019296774333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446</v>
      </c>
      <c r="C18" s="168" t="s">
        <v>111</v>
      </c>
      <c r="D18" s="230"/>
      <c r="E18" s="15"/>
    </row>
    <row r="19" spans="1:7">
      <c r="A19" s="173" t="s">
        <v>72</v>
      </c>
      <c r="B19" s="37">
        <f>aantalw2001_ander</f>
        <v>1</v>
      </c>
      <c r="C19" s="168" t="s">
        <v>111</v>
      </c>
      <c r="D19" s="231"/>
      <c r="E19" s="15"/>
    </row>
    <row r="20" spans="1:7">
      <c r="A20" s="173" t="s">
        <v>73</v>
      </c>
      <c r="B20" s="37">
        <f>aantalw2001_propaan</f>
        <v>73</v>
      </c>
      <c r="C20" s="169">
        <f>IF(ISERROR(B20/SUM($B$20,$B$21,$B$22)*100),0,B20/SUM($B$20,$B$21,$B$22)*100)</f>
        <v>12.874779541446207</v>
      </c>
      <c r="D20" s="231"/>
      <c r="E20" s="15"/>
    </row>
    <row r="21" spans="1:7">
      <c r="A21" s="173" t="s">
        <v>74</v>
      </c>
      <c r="B21" s="37">
        <f>aantalw2001_elektriciteit</f>
        <v>431</v>
      </c>
      <c r="C21" s="169">
        <f>IF(ISERROR(B21/SUM($B$20,$B$21,$B$22)*100),0,B21/SUM($B$20,$B$21,$B$22)*100)</f>
        <v>76.014109347442684</v>
      </c>
      <c r="D21" s="231"/>
      <c r="E21" s="15"/>
    </row>
    <row r="22" spans="1:7">
      <c r="A22" s="173" t="s">
        <v>75</v>
      </c>
      <c r="B22" s="37">
        <f>aantalw2001_hout</f>
        <v>63</v>
      </c>
      <c r="C22" s="169">
        <f>IF(ISERROR(B22/SUM($B$20,$B$21,$B$22)*100),0,B22/SUM($B$20,$B$21,$B$22)*100)</f>
        <v>11.111111111111111</v>
      </c>
      <c r="D22" s="231"/>
      <c r="E22" s="15"/>
    </row>
    <row r="23" spans="1:7">
      <c r="A23" s="173" t="s">
        <v>76</v>
      </c>
      <c r="B23" s="37">
        <f>aantalw2001_niet_gespec</f>
        <v>40</v>
      </c>
      <c r="C23" s="168" t="s">
        <v>111</v>
      </c>
      <c r="D23" s="230"/>
      <c r="E23" s="15"/>
    </row>
    <row r="24" spans="1:7">
      <c r="A24" s="173" t="s">
        <v>77</v>
      </c>
      <c r="B24" s="37">
        <f>aantalw2001_steenkool</f>
        <v>76</v>
      </c>
      <c r="C24" s="168" t="s">
        <v>111</v>
      </c>
      <c r="D24" s="231"/>
      <c r="E24" s="15"/>
    </row>
    <row r="25" spans="1:7">
      <c r="A25" s="173" t="s">
        <v>78</v>
      </c>
      <c r="B25" s="37">
        <f>aantalw2001_stookolie</f>
        <v>2517</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4236</v>
      </c>
      <c r="C28" s="36"/>
      <c r="D28" s="230"/>
    </row>
    <row r="29" spans="1:7" s="15" customFormat="1">
      <c r="A29" s="232" t="s">
        <v>746</v>
      </c>
      <c r="B29" s="37">
        <f>SUM(HH_hh_gas_aantal,HH_rest_gas_aantal)</f>
        <v>1594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1594</v>
      </c>
      <c r="C32" s="169">
        <f>IF(ISERROR(B32/SUM($B$32,$B$34,$B$35,$B$36,$B$38,$B$39)*100),0,B32/SUM($B$32,$B$34,$B$35,$B$36,$B$38,$B$39)*100)</f>
        <v>37.790422000948318</v>
      </c>
      <c r="D32" s="235"/>
      <c r="G32" s="15"/>
    </row>
    <row r="33" spans="1:7">
      <c r="A33" s="173" t="s">
        <v>72</v>
      </c>
      <c r="B33" s="34" t="s">
        <v>111</v>
      </c>
      <c r="C33" s="169"/>
      <c r="D33" s="235"/>
      <c r="G33" s="15"/>
    </row>
    <row r="34" spans="1:7">
      <c r="A34" s="173" t="s">
        <v>73</v>
      </c>
      <c r="B34" s="33">
        <f>IF((($B$28-$B$32-$B$39-$B$77-$B$38)*C20/100)&lt;0,0,($B$28-$B$32-$B$39-$B$77-$B$38)*C20/100)</f>
        <v>146.79823633156965</v>
      </c>
      <c r="C34" s="169">
        <f>IF(ISERROR(B34/SUM($B$32,$B$34,$B$35,$B$36,$B$38,$B$39)*100),0,B34/SUM($B$32,$B$34,$B$35,$B$36,$B$38,$B$39)*100)</f>
        <v>3.4802806147835388</v>
      </c>
      <c r="D34" s="235"/>
      <c r="G34" s="15"/>
    </row>
    <row r="35" spans="1:7">
      <c r="A35" s="173" t="s">
        <v>74</v>
      </c>
      <c r="B35" s="33">
        <f>IF((($B$28-$B$32-$B$39-$B$77-$B$38)*C21/100)&lt;0,0,($B$28-$B$32-$B$39-$B$77-$B$38)*C21/100)</f>
        <v>866.71287477954149</v>
      </c>
      <c r="C35" s="169">
        <f>IF(ISERROR(B35/SUM($B$32,$B$34,$B$35,$B$36,$B$38,$B$39)*100),0,B35/SUM($B$32,$B$34,$B$35,$B$36,$B$38,$B$39)*100)</f>
        <v>20.547958150297333</v>
      </c>
      <c r="D35" s="235"/>
      <c r="G35" s="15"/>
    </row>
    <row r="36" spans="1:7">
      <c r="A36" s="173" t="s">
        <v>75</v>
      </c>
      <c r="B36" s="33">
        <f>IF((($B$28-$B$32-$B$39-$B$77-$B$38)*C22/100)&lt;0,0,($B$28-$B$32-$B$39-$B$77-$B$38)*C22/100)</f>
        <v>126.68888888888888</v>
      </c>
      <c r="C36" s="169">
        <f>IF(ISERROR(B36/SUM($B$32,$B$34,$B$35,$B$36,$B$38,$B$39)*100),0,B36/SUM($B$32,$B$34,$B$35,$B$36,$B$38,$B$39)*100)</f>
        <v>3.0035298456351089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1483.8</v>
      </c>
      <c r="C39" s="169">
        <f>IF(ISERROR(B39/SUM($B$32,$B$34,$B$35,$B$36,$B$38,$B$39)*100),0,B39/SUM($B$32,$B$34,$B$35,$B$36,$B$38,$B$39)*100)</f>
        <v>35.177809388335703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1594</v>
      </c>
      <c r="C44" s="34" t="s">
        <v>111</v>
      </c>
      <c r="D44" s="176"/>
    </row>
    <row r="45" spans="1:7">
      <c r="A45" s="173" t="s">
        <v>72</v>
      </c>
      <c r="B45" s="33" t="str">
        <f t="shared" si="0"/>
        <v>-</v>
      </c>
      <c r="C45" s="34" t="s">
        <v>111</v>
      </c>
      <c r="D45" s="176"/>
    </row>
    <row r="46" spans="1:7">
      <c r="A46" s="173" t="s">
        <v>73</v>
      </c>
      <c r="B46" s="33">
        <f t="shared" si="0"/>
        <v>146.79823633156965</v>
      </c>
      <c r="C46" s="34" t="s">
        <v>111</v>
      </c>
      <c r="D46" s="176"/>
    </row>
    <row r="47" spans="1:7">
      <c r="A47" s="173" t="s">
        <v>74</v>
      </c>
      <c r="B47" s="33">
        <f t="shared" si="0"/>
        <v>866.71287477954149</v>
      </c>
      <c r="C47" s="34" t="s">
        <v>111</v>
      </c>
      <c r="D47" s="176"/>
    </row>
    <row r="48" spans="1:7">
      <c r="A48" s="173" t="s">
        <v>75</v>
      </c>
      <c r="B48" s="33">
        <f t="shared" si="0"/>
        <v>126.68888888888888</v>
      </c>
      <c r="C48" s="33">
        <f>B48*10</f>
        <v>1266.8888888888889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1483.8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7635.1820000000007</v>
      </c>
      <c r="C5" s="17">
        <f>IF(ISERROR('Eigen informatie GS &amp; warmtenet'!B58),0,'Eigen informatie GS &amp; warmtenet'!B58)</f>
        <v>0</v>
      </c>
      <c r="D5" s="30">
        <f>SUM(D6:D12)</f>
        <v>5844.6055139999999</v>
      </c>
      <c r="E5" s="17">
        <f>SUM(E6:E12)</f>
        <v>111.16682214818024</v>
      </c>
      <c r="F5" s="17">
        <f>SUM(F6:F12)</f>
        <v>1580.6648279036051</v>
      </c>
      <c r="G5" s="18"/>
      <c r="H5" s="17"/>
      <c r="I5" s="17"/>
      <c r="J5" s="17">
        <f>SUM(J6:J12)</f>
        <v>0</v>
      </c>
      <c r="K5" s="17"/>
      <c r="L5" s="17"/>
      <c r="M5" s="17"/>
      <c r="N5" s="17">
        <f>SUM(N6:N12)</f>
        <v>738.86230532165575</v>
      </c>
      <c r="O5" s="17">
        <f>B38*B39*B40</f>
        <v>4.6900000000000004</v>
      </c>
      <c r="P5" s="17">
        <f>B46*B47*B48/1000-B46*B47*B48/1000/B49</f>
        <v>0</v>
      </c>
      <c r="R5" s="32"/>
    </row>
    <row r="6" spans="1:18">
      <c r="A6" s="32" t="s">
        <v>54</v>
      </c>
      <c r="B6" s="37">
        <f>B26</f>
        <v>3229.0859999999998</v>
      </c>
      <c r="C6" s="33"/>
      <c r="D6" s="37">
        <f>IF(ISERROR(TER_kantoor_gas_kWh/1000),0,TER_kantoor_gas_kWh/1000)*0.902</f>
        <v>3240.6307340000003</v>
      </c>
      <c r="E6" s="33">
        <f>$C$26*'E Balans VL '!I12/100/3.6*1000000</f>
        <v>12.545682747338223</v>
      </c>
      <c r="F6" s="33">
        <f>$C$26*('E Balans VL '!L12+'E Balans VL '!N12)/100/3.6*1000000</f>
        <v>491.11459825996332</v>
      </c>
      <c r="G6" s="34"/>
      <c r="H6" s="33"/>
      <c r="I6" s="33"/>
      <c r="J6" s="33">
        <f>$C$26*('E Balans VL '!D12+'E Balans VL '!E12)/100/3.6*1000000</f>
        <v>0</v>
      </c>
      <c r="K6" s="33"/>
      <c r="L6" s="33"/>
      <c r="M6" s="33"/>
      <c r="N6" s="33">
        <f>$C$26*'E Balans VL '!Y12/100/3.6*1000000</f>
        <v>1.779613220976237</v>
      </c>
      <c r="O6" s="33"/>
      <c r="P6" s="33"/>
      <c r="R6" s="32"/>
    </row>
    <row r="7" spans="1:18">
      <c r="A7" s="32" t="s">
        <v>53</v>
      </c>
      <c r="B7" s="37">
        <f t="shared" ref="B7:B12" si="0">B27</f>
        <v>1260.925</v>
      </c>
      <c r="C7" s="33"/>
      <c r="D7" s="37">
        <f>IF(ISERROR(TER_horeca_gas_kWh/1000),0,TER_horeca_gas_kWh/1000)*0.902</f>
        <v>915.73295000000007</v>
      </c>
      <c r="E7" s="33">
        <f>$C$27*'E Balans VL '!I9/100/3.6*1000000</f>
        <v>71.028242365490868</v>
      </c>
      <c r="F7" s="33">
        <f>$C$27*('E Balans VL '!L9+'E Balans VL '!N9)/100/3.6*1000000</f>
        <v>363.57527996130341</v>
      </c>
      <c r="G7" s="34"/>
      <c r="H7" s="33"/>
      <c r="I7" s="33"/>
      <c r="J7" s="33">
        <f>$C$27*('E Balans VL '!D9+'E Balans VL '!E9)/100/3.6*1000000</f>
        <v>0</v>
      </c>
      <c r="K7" s="33"/>
      <c r="L7" s="33"/>
      <c r="M7" s="33"/>
      <c r="N7" s="33">
        <f>$C$27*'E Balans VL '!Y9/100/3.6*1000000</f>
        <v>0.34813484011720641</v>
      </c>
      <c r="O7" s="33"/>
      <c r="P7" s="33"/>
      <c r="R7" s="32"/>
    </row>
    <row r="8" spans="1:18">
      <c r="A8" s="6" t="s">
        <v>52</v>
      </c>
      <c r="B8" s="37">
        <f t="shared" si="0"/>
        <v>1470.626</v>
      </c>
      <c r="C8" s="33"/>
      <c r="D8" s="37">
        <f>IF(ISERROR(TER_handel_gas_kWh/1000),0,TER_handel_gas_kWh/1000)*0.902</f>
        <v>870.62934200000007</v>
      </c>
      <c r="E8" s="33">
        <f>$C$28*'E Balans VL '!I13/100/3.6*1000000</f>
        <v>21.19670999770026</v>
      </c>
      <c r="F8" s="33">
        <f>$C$28*('E Balans VL '!L13+'E Balans VL '!N13)/100/3.6*1000000</f>
        <v>255.48198476848594</v>
      </c>
      <c r="G8" s="34"/>
      <c r="H8" s="33"/>
      <c r="I8" s="33"/>
      <c r="J8" s="33">
        <f>$C$28*('E Balans VL '!D13+'E Balans VL '!E13)/100/3.6*1000000</f>
        <v>0</v>
      </c>
      <c r="K8" s="33"/>
      <c r="L8" s="33"/>
      <c r="M8" s="33"/>
      <c r="N8" s="33">
        <f>$C$28*'E Balans VL '!Y13/100/3.6*1000000</f>
        <v>4.406159209458842</v>
      </c>
      <c r="O8" s="33"/>
      <c r="P8" s="33"/>
      <c r="R8" s="32"/>
    </row>
    <row r="9" spans="1:18">
      <c r="A9" s="32" t="s">
        <v>51</v>
      </c>
      <c r="B9" s="37">
        <f t="shared" si="0"/>
        <v>269.02800000000002</v>
      </c>
      <c r="C9" s="33"/>
      <c r="D9" s="37">
        <f>IF(ISERROR(TER_gezond_gas_kWh/1000),0,TER_gezond_gas_kWh/1000)*0.902</f>
        <v>0</v>
      </c>
      <c r="E9" s="33">
        <f>$C$29*'E Balans VL '!I10/100/3.6*1000000</f>
        <v>0.28739163349686542</v>
      </c>
      <c r="F9" s="33">
        <f>$C$29*('E Balans VL '!L10+'E Balans VL '!N10)/100/3.6*1000000</f>
        <v>43.886642867728902</v>
      </c>
      <c r="G9" s="34"/>
      <c r="H9" s="33"/>
      <c r="I9" s="33"/>
      <c r="J9" s="33">
        <f>$C$29*('E Balans VL '!D10+'E Balans VL '!E10)/100/3.6*1000000</f>
        <v>0</v>
      </c>
      <c r="K9" s="33"/>
      <c r="L9" s="33"/>
      <c r="M9" s="33"/>
      <c r="N9" s="33">
        <f>$C$29*'E Balans VL '!Y10/100/3.6*1000000</f>
        <v>2.7694897556856586</v>
      </c>
      <c r="O9" s="33"/>
      <c r="P9" s="33"/>
      <c r="R9" s="32"/>
    </row>
    <row r="10" spans="1:18">
      <c r="A10" s="32" t="s">
        <v>50</v>
      </c>
      <c r="B10" s="37">
        <f t="shared" si="0"/>
        <v>1037.9949999999999</v>
      </c>
      <c r="C10" s="33"/>
      <c r="D10" s="37">
        <f>IF(ISERROR(TER_ander_gas_kWh/1000),0,TER_ander_gas_kWh/1000)*0.902</f>
        <v>555.38665600000002</v>
      </c>
      <c r="E10" s="33">
        <f>$C$30*'E Balans VL '!I14/100/3.6*1000000</f>
        <v>4.7735811142396942</v>
      </c>
      <c r="F10" s="33">
        <f>$C$30*('E Balans VL '!L14+'E Balans VL '!N14)/100/3.6*1000000</f>
        <v>311.1198428050327</v>
      </c>
      <c r="G10" s="34"/>
      <c r="H10" s="33"/>
      <c r="I10" s="33"/>
      <c r="J10" s="33">
        <f>$C$30*('E Balans VL '!D14+'E Balans VL '!E14)/100/3.6*1000000</f>
        <v>0</v>
      </c>
      <c r="K10" s="33"/>
      <c r="L10" s="33"/>
      <c r="M10" s="33"/>
      <c r="N10" s="33">
        <f>$C$30*'E Balans VL '!Y14/100/3.6*1000000</f>
        <v>722.5130388478417</v>
      </c>
      <c r="O10" s="33"/>
      <c r="P10" s="33"/>
      <c r="R10" s="32"/>
    </row>
    <row r="11" spans="1:18">
      <c r="A11" s="32" t="s">
        <v>55</v>
      </c>
      <c r="B11" s="37">
        <f t="shared" si="0"/>
        <v>278.76100000000002</v>
      </c>
      <c r="C11" s="33"/>
      <c r="D11" s="37">
        <f>IF(ISERROR(TER_onderwijs_gas_kWh/1000),0,TER_onderwijs_gas_kWh/1000)*0.902</f>
        <v>0</v>
      </c>
      <c r="E11" s="33">
        <f>$C$31*'E Balans VL '!I11/100/3.6*1000000</f>
        <v>0.25858748701852641</v>
      </c>
      <c r="F11" s="33">
        <f>$C$31*('E Balans VL '!L11+'E Balans VL '!N11)/100/3.6*1000000</f>
        <v>97.922332439044041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88.760999999999996</v>
      </c>
      <c r="C12" s="33"/>
      <c r="D12" s="37">
        <f>IF(ISERROR(TER_rest_gas_kWh/1000),0,TER_rest_gas_kWh/1000)*0.902</f>
        <v>262.22583200000003</v>
      </c>
      <c r="E12" s="33">
        <f>$C$32*'E Balans VL '!I8/100/3.6*1000000</f>
        <v>1.076626802895799</v>
      </c>
      <c r="F12" s="33">
        <f>$C$32*('E Balans VL '!L8+'E Balans VL '!N8)/100/3.6*1000000</f>
        <v>17.564146802046732</v>
      </c>
      <c r="G12" s="34"/>
      <c r="H12" s="33"/>
      <c r="I12" s="33"/>
      <c r="J12" s="33">
        <f>$C$32*('E Balans VL '!D8+'E Balans VL '!E8)/100/3.6*1000000</f>
        <v>0</v>
      </c>
      <c r="K12" s="33"/>
      <c r="L12" s="33"/>
      <c r="M12" s="33"/>
      <c r="N12" s="33">
        <f>$C$32*'E Balans VL '!Y8/100/3.6*1000000</f>
        <v>7.0458694475761359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7635.1820000000007</v>
      </c>
      <c r="C16" s="21">
        <f t="shared" ca="1" si="1"/>
        <v>0</v>
      </c>
      <c r="D16" s="21">
        <f t="shared" ca="1" si="1"/>
        <v>5844.6055139999999</v>
      </c>
      <c r="E16" s="21">
        <f t="shared" si="1"/>
        <v>111.16682214818024</v>
      </c>
      <c r="F16" s="21">
        <f t="shared" ca="1" si="1"/>
        <v>1580.6648279036051</v>
      </c>
      <c r="G16" s="21">
        <f t="shared" si="1"/>
        <v>0</v>
      </c>
      <c r="H16" s="21">
        <f t="shared" si="1"/>
        <v>0</v>
      </c>
      <c r="I16" s="21">
        <f t="shared" si="1"/>
        <v>0</v>
      </c>
      <c r="J16" s="21">
        <f t="shared" si="1"/>
        <v>0</v>
      </c>
      <c r="K16" s="21">
        <f t="shared" si="1"/>
        <v>0</v>
      </c>
      <c r="L16" s="21">
        <f t="shared" ca="1" si="1"/>
        <v>0</v>
      </c>
      <c r="M16" s="21">
        <f t="shared" si="1"/>
        <v>0</v>
      </c>
      <c r="N16" s="21">
        <f t="shared" ca="1" si="1"/>
        <v>738.86230532165575</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0.20761278280741297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1585.1613822610691</v>
      </c>
      <c r="C20" s="23">
        <f t="shared" ref="C20:P20" ca="1" si="2">C16*C18</f>
        <v>0</v>
      </c>
      <c r="D20" s="23">
        <f t="shared" ca="1" si="2"/>
        <v>1180.610313828</v>
      </c>
      <c r="E20" s="23">
        <f t="shared" si="2"/>
        <v>25.234868627636917</v>
      </c>
      <c r="F20" s="23">
        <f t="shared" ca="1" si="2"/>
        <v>422.0375090502626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3229.0859999999998</v>
      </c>
      <c r="C26" s="39">
        <f>IF(ISERROR(B26*3.6/1000000/'E Balans VL '!Z12*100),0,B26*3.6/1000000/'E Balans VL '!Z12*100)</f>
        <v>6.8587386121274671E-2</v>
      </c>
      <c r="D26" s="239" t="s">
        <v>692</v>
      </c>
      <c r="F26" s="6"/>
    </row>
    <row r="27" spans="1:18">
      <c r="A27" s="233" t="s">
        <v>53</v>
      </c>
      <c r="B27" s="33">
        <f>IF(ISERROR(TER_horeca_ele_kWh/1000),0,TER_horeca_ele_kWh/1000)</f>
        <v>1260.925</v>
      </c>
      <c r="C27" s="39">
        <f>IF(ISERROR(B27*3.6/1000000/'E Balans VL '!Z9*100),0,B27*3.6/1000000/'E Balans VL '!Z9*100)</f>
        <v>9.8044597881975115E-2</v>
      </c>
      <c r="D27" s="239" t="s">
        <v>692</v>
      </c>
      <c r="F27" s="6"/>
    </row>
    <row r="28" spans="1:18">
      <c r="A28" s="173" t="s">
        <v>52</v>
      </c>
      <c r="B28" s="33">
        <f>IF(ISERROR(TER_handel_ele_kWh/1000),0,TER_handel_ele_kWh/1000)</f>
        <v>1470.626</v>
      </c>
      <c r="C28" s="39">
        <f>IF(ISERROR(B28*3.6/1000000/'E Balans VL '!Z13*100),0,B28*3.6/1000000/'E Balans VL '!Z13*100)</f>
        <v>4.207634061366592E-2</v>
      </c>
      <c r="D28" s="239" t="s">
        <v>692</v>
      </c>
      <c r="F28" s="6"/>
    </row>
    <row r="29" spans="1:18">
      <c r="A29" s="233" t="s">
        <v>51</v>
      </c>
      <c r="B29" s="33">
        <f>IF(ISERROR(TER_gezond_ele_kWh/1000),0,TER_gezond_ele_kWh/1000)</f>
        <v>269.02800000000002</v>
      </c>
      <c r="C29" s="39">
        <f>IF(ISERROR(B29*3.6/1000000/'E Balans VL '!Z10*100),0,B29*3.6/1000000/'E Balans VL '!Z10*100)</f>
        <v>2.9330303460970875E-2</v>
      </c>
      <c r="D29" s="239" t="s">
        <v>692</v>
      </c>
      <c r="F29" s="6"/>
    </row>
    <row r="30" spans="1:18">
      <c r="A30" s="233" t="s">
        <v>50</v>
      </c>
      <c r="B30" s="33">
        <f>IF(ISERROR(TER_ander_ele_kWh/1000),0,TER_ander_ele_kWh/1000)</f>
        <v>1037.9949999999999</v>
      </c>
      <c r="C30" s="39">
        <f>IF(ISERROR(B30*3.6/1000000/'E Balans VL '!Z14*100),0,B30*3.6/1000000/'E Balans VL '!Z14*100)</f>
        <v>7.5958119464160187E-2</v>
      </c>
      <c r="D30" s="239" t="s">
        <v>692</v>
      </c>
      <c r="F30" s="6"/>
    </row>
    <row r="31" spans="1:18">
      <c r="A31" s="233" t="s">
        <v>55</v>
      </c>
      <c r="B31" s="33">
        <f>IF(ISERROR(TER_onderwijs_ele_kWh/1000),0,TER_onderwijs_ele_kWh/1000)</f>
        <v>278.76100000000002</v>
      </c>
      <c r="C31" s="39">
        <f>IF(ISERROR(B31*3.6/1000000/'E Balans VL '!Z11*100),0,B31*3.6/1000000/'E Balans VL '!Z11*100)</f>
        <v>5.5989353852210537E-2</v>
      </c>
      <c r="D31" s="239" t="s">
        <v>692</v>
      </c>
    </row>
    <row r="32" spans="1:18">
      <c r="A32" s="233" t="s">
        <v>260</v>
      </c>
      <c r="B32" s="33">
        <f>IF(ISERROR(TER_rest_ele_kWh/1000),0,TER_rest_ele_kWh/1000)</f>
        <v>88.760999999999996</v>
      </c>
      <c r="C32" s="39">
        <f>IF(ISERROR(B32*3.6/1000000/'E Balans VL '!Z8*100),0,B32*3.6/1000000/'E Balans VL '!Z8*100)</f>
        <v>7.233482836860039E-4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390.31199999999995</v>
      </c>
      <c r="C5" s="17">
        <f>IF(ISERROR('Eigen informatie GS &amp; warmtenet'!B59),0,'Eigen informatie GS &amp; warmtenet'!B59)</f>
        <v>0</v>
      </c>
      <c r="D5" s="30">
        <f>SUM(D6:D15)</f>
        <v>142.89664400000001</v>
      </c>
      <c r="E5" s="17">
        <f>SUM(E6:E15)</f>
        <v>78.880794138351106</v>
      </c>
      <c r="F5" s="17">
        <f>SUM(F6:F15)</f>
        <v>295.29432666402965</v>
      </c>
      <c r="G5" s="18"/>
      <c r="H5" s="17"/>
      <c r="I5" s="17"/>
      <c r="J5" s="17">
        <f>SUM(J6:J15)</f>
        <v>9.9547938753964714E-4</v>
      </c>
      <c r="K5" s="17"/>
      <c r="L5" s="17"/>
      <c r="M5" s="17"/>
      <c r="N5" s="17">
        <f>SUM(N6:N15)</f>
        <v>187.89567939487256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12.263</v>
      </c>
      <c r="C8" s="33"/>
      <c r="D8" s="37">
        <f>IF( ISERROR(IND_metaal_Gas_kWH/1000),0,IND_metaal_Gas_kWH/1000)*0.902</f>
        <v>0</v>
      </c>
      <c r="E8" s="33">
        <f>C30*'E Balans VL '!I18/100/3.6*1000000</f>
        <v>0.35223938965514828</v>
      </c>
      <c r="F8" s="33">
        <f>C30*'E Balans VL '!L18/100/3.6*1000000+C30*'E Balans VL '!N18/100/3.6*1000000</f>
        <v>3.1452236486154947</v>
      </c>
      <c r="G8" s="34"/>
      <c r="H8" s="33"/>
      <c r="I8" s="33"/>
      <c r="J8" s="40">
        <f>C30*'E Balans VL '!D18/100/3.6*1000000+C30*'E Balans VL '!E18/100/3.6*1000000</f>
        <v>0</v>
      </c>
      <c r="K8" s="33"/>
      <c r="L8" s="33"/>
      <c r="M8" s="33"/>
      <c r="N8" s="33">
        <f>C30*'E Balans VL '!Y18/100/3.6*1000000</f>
        <v>0.33296548232952344</v>
      </c>
      <c r="O8" s="33"/>
      <c r="P8" s="33"/>
      <c r="R8" s="32"/>
    </row>
    <row r="9" spans="1:18">
      <c r="A9" s="6" t="s">
        <v>33</v>
      </c>
      <c r="B9" s="37">
        <f t="shared" si="0"/>
        <v>266.02199999999999</v>
      </c>
      <c r="C9" s="33"/>
      <c r="D9" s="37">
        <f>IF( ISERROR(IND_andere_gas_kWh/1000),0,IND_andere_gas_kWh/1000)*0.902</f>
        <v>104.896286</v>
      </c>
      <c r="E9" s="33">
        <f>C31*'E Balans VL '!I19/100/3.6*1000000</f>
        <v>72.005614706326554</v>
      </c>
      <c r="F9" s="33">
        <f>C31*'E Balans VL '!L19/100/3.6*1000000+C31*'E Balans VL '!N19/100/3.6*1000000</f>
        <v>177.19880300807117</v>
      </c>
      <c r="G9" s="34"/>
      <c r="H9" s="33"/>
      <c r="I9" s="33"/>
      <c r="J9" s="40">
        <f>C31*'E Balans VL '!D19/100/3.6*1000000+C31*'E Balans VL '!E19/100/3.6*1000000</f>
        <v>0</v>
      </c>
      <c r="K9" s="33"/>
      <c r="L9" s="33"/>
      <c r="M9" s="33"/>
      <c r="N9" s="33">
        <f>C31*'E Balans VL '!Y19/100/3.6*1000000</f>
        <v>86.851763996264665</v>
      </c>
      <c r="O9" s="33"/>
      <c r="P9" s="33"/>
      <c r="R9" s="32"/>
    </row>
    <row r="10" spans="1:18">
      <c r="A10" s="6" t="s">
        <v>41</v>
      </c>
      <c r="B10" s="37">
        <f t="shared" si="0"/>
        <v>75.251000000000005</v>
      </c>
      <c r="C10" s="33"/>
      <c r="D10" s="37">
        <f>IF( ISERROR(IND_voed_gas_kWh/1000),0,IND_voed_gas_kWh/1000)*0.902</f>
        <v>0</v>
      </c>
      <c r="E10" s="33">
        <f>C32*'E Balans VL '!I20/100/3.6*1000000</f>
        <v>6.1376444446738088</v>
      </c>
      <c r="F10" s="33">
        <f>C32*'E Balans VL '!L20/100/3.6*1000000+C32*'E Balans VL '!N20/100/3.6*1000000</f>
        <v>112.20606836894291</v>
      </c>
      <c r="G10" s="34"/>
      <c r="H10" s="33"/>
      <c r="I10" s="33"/>
      <c r="J10" s="40">
        <f>C32*'E Balans VL '!D20/100/3.6*1000000+C32*'E Balans VL '!E20/100/3.6*1000000</f>
        <v>9.9547938753964714E-4</v>
      </c>
      <c r="K10" s="33"/>
      <c r="L10" s="33"/>
      <c r="M10" s="33"/>
      <c r="N10" s="33">
        <f>C32*'E Balans VL '!Y20/100/3.6*1000000</f>
        <v>22.106088478527639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36.776000000000003</v>
      </c>
      <c r="C13" s="33"/>
      <c r="D13" s="37">
        <f>IF( ISERROR(IND_papier_gas_kWh/1000),0,IND_papier_gas_kWh/1000)*0.902</f>
        <v>0</v>
      </c>
      <c r="E13" s="33">
        <f>C35*'E Balans VL '!I23/100/3.6*1000000</f>
        <v>0.38529559769558436</v>
      </c>
      <c r="F13" s="33">
        <f>C35*'E Balans VL '!L23/100/3.6*1000000+C35*'E Balans VL '!N23/100/3.6*1000000</f>
        <v>2.7442316384001106</v>
      </c>
      <c r="G13" s="34"/>
      <c r="H13" s="33"/>
      <c r="I13" s="33"/>
      <c r="J13" s="40">
        <f>C35*'E Balans VL '!D23/100/3.6*1000000+C35*'E Balans VL '!E23/100/3.6*1000000</f>
        <v>0</v>
      </c>
      <c r="K13" s="33"/>
      <c r="L13" s="33"/>
      <c r="M13" s="33"/>
      <c r="N13" s="33">
        <f>C35*'E Balans VL '!Y23/100/3.6*1000000</f>
        <v>78.604861437750714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38.000357999999999</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390.31199999999995</v>
      </c>
      <c r="C18" s="21">
        <f>C5+C16</f>
        <v>0</v>
      </c>
      <c r="D18" s="21">
        <f>MAX((D5+D16),0)</f>
        <v>142.89664400000001</v>
      </c>
      <c r="E18" s="21">
        <f>MAX((E5+E16),0)</f>
        <v>78.880794138351106</v>
      </c>
      <c r="F18" s="21">
        <f>MAX((F5+F16),0)</f>
        <v>295.29432666402965</v>
      </c>
      <c r="G18" s="21"/>
      <c r="H18" s="21"/>
      <c r="I18" s="21"/>
      <c r="J18" s="21">
        <f>MAX((J5+J16),0)</f>
        <v>9.9547938753964714E-4</v>
      </c>
      <c r="K18" s="21"/>
      <c r="L18" s="21">
        <f>MAX((L5+L16),0)</f>
        <v>0</v>
      </c>
      <c r="M18" s="21"/>
      <c r="N18" s="21">
        <f>MAX((N5+N16),0)</f>
        <v>187.89567939487256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0.20761278280741297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81.033760483126954</v>
      </c>
      <c r="C22" s="23">
        <f ca="1">C18*C20</f>
        <v>0</v>
      </c>
      <c r="D22" s="23">
        <f>D18*D20</f>
        <v>28.865122088000003</v>
      </c>
      <c r="E22" s="23">
        <f>E18*E20</f>
        <v>17.905940269405701</v>
      </c>
      <c r="F22" s="23">
        <f>F18*F20</f>
        <v>78.843585219295917</v>
      </c>
      <c r="G22" s="23"/>
      <c r="H22" s="23"/>
      <c r="I22" s="23"/>
      <c r="J22" s="23">
        <f>J18*J20</f>
        <v>3.5239970318903509E-4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12.263</v>
      </c>
      <c r="C30" s="39">
        <f>IF(ISERROR(B30*3.6/1000000/'E Balans VL '!Z18*100),0,B30*3.6/1000000/'E Balans VL '!Z18*100)</f>
        <v>1.2066478958956716E-3</v>
      </c>
      <c r="D30" s="239" t="s">
        <v>692</v>
      </c>
    </row>
    <row r="31" spans="1:18">
      <c r="A31" s="6" t="s">
        <v>33</v>
      </c>
      <c r="B31" s="37">
        <f>IF( ISERROR(IND_ander_ele_kWh/1000),0,IND_ander_ele_kWh/1000)</f>
        <v>266.02199999999999</v>
      </c>
      <c r="C31" s="39">
        <f>IF(ISERROR(B31*3.6/1000000/'E Balans VL '!Z19*100),0,B31*3.6/1000000/'E Balans VL '!Z19*100)</f>
        <v>1.1585045896340946E-2</v>
      </c>
      <c r="D31" s="239" t="s">
        <v>692</v>
      </c>
    </row>
    <row r="32" spans="1:18">
      <c r="A32" s="173" t="s">
        <v>41</v>
      </c>
      <c r="B32" s="37">
        <f>IF( ISERROR(IND_voed_ele_kWh/1000),0,IND_voed_ele_kWh/1000)</f>
        <v>75.251000000000005</v>
      </c>
      <c r="C32" s="39">
        <f>IF(ISERROR(B32*3.6/1000000/'E Balans VL '!Z20*100),0,B32*3.6/1000000/'E Balans VL '!Z20*100)</f>
        <v>1.4277792012520272E-2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36.776000000000003</v>
      </c>
      <c r="C35" s="39">
        <f>IF(ISERROR(B35*3.6/1000000/'E Balans VL '!Z22*100),0,B35*3.6/1000000/'E Balans VL '!Z22*100)</f>
        <v>5.1710748930812725E-3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55.298000000000002</v>
      </c>
      <c r="C5" s="17">
        <f>'Eigen informatie GS &amp; warmtenet'!B60</f>
        <v>0</v>
      </c>
      <c r="D5" s="30">
        <f>IF(ISERROR(SUM(LB_lb_gas_kWh,LB_rest_gas_kWh)/1000),0,SUM(LB_lb_gas_kWh,LB_rest_gas_kWh)/1000)*0.902</f>
        <v>54.068585999999996</v>
      </c>
      <c r="E5" s="17">
        <f>B17*'E Balans VL '!I25/3.6*1000000/100</f>
        <v>0.69682603830821388</v>
      </c>
      <c r="F5" s="17">
        <f>B17*('E Balans VL '!L25/3.6*1000000+'E Balans VL '!N25/3.6*1000000)/100</f>
        <v>190.79195297674934</v>
      </c>
      <c r="G5" s="18"/>
      <c r="H5" s="17"/>
      <c r="I5" s="17"/>
      <c r="J5" s="17">
        <f>('E Balans VL '!D25+'E Balans VL '!E25)/3.6*1000000*landbouw!B17/100</f>
        <v>8.3161905945215526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55.298000000000002</v>
      </c>
      <c r="C8" s="21">
        <f>C5+C6</f>
        <v>0</v>
      </c>
      <c r="D8" s="21">
        <f>MAX((D5+D6),0)</f>
        <v>54.068585999999996</v>
      </c>
      <c r="E8" s="21">
        <f>MAX((E5+E6),0)</f>
        <v>0.69682603830821388</v>
      </c>
      <c r="F8" s="21">
        <f>MAX((F5+F6),0)</f>
        <v>190.79195297674934</v>
      </c>
      <c r="G8" s="21"/>
      <c r="H8" s="21"/>
      <c r="I8" s="21"/>
      <c r="J8" s="21">
        <f>MAX((J5+J6),0)</f>
        <v>8.3161905945215526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0.20761278280741297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11.480571663684323</v>
      </c>
      <c r="C12" s="23">
        <f ca="1">C8*C10</f>
        <v>0</v>
      </c>
      <c r="D12" s="23">
        <f>D8*D10</f>
        <v>10.921854372</v>
      </c>
      <c r="E12" s="23">
        <f>E8*E10</f>
        <v>0.15817951069596456</v>
      </c>
      <c r="F12" s="23">
        <f>F8*F10</f>
        <v>50.941451444792079</v>
      </c>
      <c r="G12" s="23"/>
      <c r="H12" s="23"/>
      <c r="I12" s="23"/>
      <c r="J12" s="23">
        <f>J8*J10</f>
        <v>2.9439314704606296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7.7123281082084206E-3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29.039958082129314</v>
      </c>
      <c r="C26" s="249">
        <f>B26*'GWP N2O_CH4'!B5</f>
        <v>609.8391197247156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2.2211384809455423</v>
      </c>
      <c r="C27" s="249">
        <f>B27*'GWP N2O_CH4'!B5</f>
        <v>46.64390809985639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0.42089821923771414</v>
      </c>
      <c r="C28" s="249">
        <f>B28*'GWP N2O_CH4'!B4</f>
        <v>130.47844796369139</v>
      </c>
      <c r="D28" s="50"/>
    </row>
    <row r="29" spans="1:4">
      <c r="A29" s="41" t="s">
        <v>277</v>
      </c>
      <c r="B29" s="249">
        <f>B34*'ha_N2O bodem landbouw'!B4</f>
        <v>4.1160272915738352</v>
      </c>
      <c r="C29" s="249">
        <f>B29*'GWP N2O_CH4'!B4</f>
        <v>1275.9684603878889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1.0277308862133843E-3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1.9549145716085467E-5</v>
      </c>
      <c r="C5" s="448" t="s">
        <v>211</v>
      </c>
      <c r="D5" s="433">
        <f>SUM(D6:D11)</f>
        <v>3.4610821537101872E-5</v>
      </c>
      <c r="E5" s="433">
        <f>SUM(E6:E11)</f>
        <v>1.1365316139149424E-3</v>
      </c>
      <c r="F5" s="446" t="s">
        <v>211</v>
      </c>
      <c r="G5" s="433">
        <f>SUM(G6:G11)</f>
        <v>0.26043053823836232</v>
      </c>
      <c r="H5" s="433">
        <f>SUM(H6:H11)</f>
        <v>5.229716286231844E-2</v>
      </c>
      <c r="I5" s="448" t="s">
        <v>211</v>
      </c>
      <c r="J5" s="448" t="s">
        <v>211</v>
      </c>
      <c r="K5" s="448" t="s">
        <v>211</v>
      </c>
      <c r="L5" s="448" t="s">
        <v>211</v>
      </c>
      <c r="M5" s="433">
        <f>SUM(M6:M11)</f>
        <v>1.4140146124047981E-2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6.2716786023410067E-6</v>
      </c>
      <c r="C6" s="887"/>
      <c r="D6" s="887">
        <f>vkm_2011_GW_PW*SUMIFS(TableVerdeelsleutelVkm[CNG],TableVerdeelsleutelVkm[Voertuigtype],"Lichte voertuigen")*SUMIFS(TableECFTransport[EnergieConsumptieFactor (PJ per km)],TableECFTransport[Index],CONCATENATE($A6,"_CNG_CNG"))</f>
        <v>8.8819235196695193E-6</v>
      </c>
      <c r="E6" s="887">
        <f>vkm_2011_GW_PW*SUMIFS(TableVerdeelsleutelVkm[LPG],TableVerdeelsleutelVkm[Voertuigtype],"Lichte voertuigen")*SUMIFS(TableECFTransport[EnergieConsumptieFactor (PJ per km)],TableECFTransport[Index],CONCATENATE($A6,"_LPG_LPG"))</f>
        <v>2.7895197768864916E-4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5.0135308664648354E-2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1.3434159375593373E-2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2.8760858560500286E-3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1.9735070885290446E-2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7.0116660967510243E-6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8.9058129186173909E-4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5.8370141121178855E-6</v>
      </c>
      <c r="C8" s="887"/>
      <c r="D8" s="436">
        <f>vkm_2011_NGW_PW*SUMIFS(TableVerdeelsleutelVkm[CNG],TableVerdeelsleutelVkm[Voertuigtype],"Lichte voertuigen")*SUMIFS(TableECFTransport[EnergieConsumptieFactor (PJ per km)],TableECFTransport[Index],CONCATENATE($A8,"_CNG_CNG"))</f>
        <v>1.4726649870388269E-5</v>
      </c>
      <c r="E8" s="436">
        <f>vkm_2011_NGW_PW*SUMIFS(TableVerdeelsleutelVkm[LPG],TableVerdeelsleutelVkm[Voertuigtype],"Lichte voertuigen")*SUMIFS(TableECFTransport[EnergieConsumptieFactor (PJ per km)],TableECFTransport[Index],CONCATENATE($A8,"_LPG_LPG"))</f>
        <v>4.2600886803308727E-4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7.2212634138151835E-2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2.1492674937960286E-2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4.2405880113206805E-3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1.828733912207986E-2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6.1483383040970997E-6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8.2523377821059599E-4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7.4404530016265759E-6</v>
      </c>
      <c r="C10" s="887"/>
      <c r="D10" s="436">
        <f>vkm_2011_SW_PW*SUMIFS(TableVerdeelsleutelVkm[CNG],TableVerdeelsleutelVkm[Voertuigtype],"Lichte voertuigen")*SUMIFS(TableECFTransport[EnergieConsumptieFactor (PJ per km)],TableECFTransport[Index],CONCATENATE($A10,"_CNG_CNG"))</f>
        <v>1.1002248147044084E-5</v>
      </c>
      <c r="E10" s="436">
        <f>vkm_2011_SW_PW*SUMIFS(TableVerdeelsleutelVkm[LPG],TableVerdeelsleutelVkm[Voertuigtype],"Lichte voertuigen")*SUMIFS(TableECFTransport[EnergieConsumptieFactor (PJ per km)],TableECFTransport[Index],CONCATENATE($A10,"_LPG_LPG"))</f>
        <v>4.3157076819320587E-4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7.0247033658834654E-2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1.7345745815902962E-2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3.9622460173336926E-3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2.9813151769357182E-2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1.1422728460975152E-5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1.3454111692712445E-3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5.4303182544681849</v>
      </c>
      <c r="C14" s="21"/>
      <c r="D14" s="21">
        <f t="shared" ref="D14:M14" si="0">((D5)*10^9/3600)+D12</f>
        <v>9.6141170936394094</v>
      </c>
      <c r="E14" s="21">
        <f t="shared" si="0"/>
        <v>315.70322608748398</v>
      </c>
      <c r="F14" s="21"/>
      <c r="G14" s="21">
        <f t="shared" si="0"/>
        <v>72341.816177322864</v>
      </c>
      <c r="H14" s="21">
        <f t="shared" si="0"/>
        <v>14526.989683977345</v>
      </c>
      <c r="I14" s="21"/>
      <c r="J14" s="21"/>
      <c r="K14" s="21"/>
      <c r="L14" s="21"/>
      <c r="M14" s="21">
        <f t="shared" si="0"/>
        <v>3927.8183677911061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0.20761278280741297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1.1274034843400331</v>
      </c>
      <c r="C18" s="23"/>
      <c r="D18" s="23">
        <f t="shared" ref="D18:M18" si="1">D14*D16</f>
        <v>1.9420516529151608</v>
      </c>
      <c r="E18" s="23">
        <f t="shared" si="1"/>
        <v>71.664632321858861</v>
      </c>
      <c r="F18" s="23"/>
      <c r="G18" s="23">
        <f t="shared" si="1"/>
        <v>19315.264919345205</v>
      </c>
      <c r="H18" s="23">
        <f t="shared" si="1"/>
        <v>3617.2204313103589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3.8349964501649589E-3</v>
      </c>
      <c r="H50" s="323">
        <f t="shared" si="2"/>
        <v>0</v>
      </c>
      <c r="I50" s="323">
        <f t="shared" si="2"/>
        <v>0</v>
      </c>
      <c r="J50" s="323">
        <f t="shared" si="2"/>
        <v>0</v>
      </c>
      <c r="K50" s="323">
        <f t="shared" si="2"/>
        <v>0</v>
      </c>
      <c r="L50" s="323">
        <f t="shared" si="2"/>
        <v>0</v>
      </c>
      <c r="M50" s="323">
        <f t="shared" si="2"/>
        <v>1.7055167221946424E-4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3.8349964501649589E-3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1.7055167221946424E-4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1065.2767917124886</v>
      </c>
      <c r="H54" s="21">
        <f t="shared" si="3"/>
        <v>0</v>
      </c>
      <c r="I54" s="21">
        <f t="shared" si="3"/>
        <v>0</v>
      </c>
      <c r="J54" s="21">
        <f t="shared" si="3"/>
        <v>0</v>
      </c>
      <c r="K54" s="21">
        <f t="shared" si="3"/>
        <v>0</v>
      </c>
      <c r="L54" s="21">
        <f t="shared" si="3"/>
        <v>0</v>
      </c>
      <c r="M54" s="21">
        <f t="shared" si="3"/>
        <v>47.375464505406732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0.20761278280741297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284.42890338723447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8304.2800000000007</v>
      </c>
      <c r="D10" s="690">
        <f ca="1">tertiair!C16</f>
        <v>0</v>
      </c>
      <c r="E10" s="690">
        <f ca="1">tertiair!D16</f>
        <v>5844.6055139999999</v>
      </c>
      <c r="F10" s="690">
        <f>tertiair!E16</f>
        <v>111.16682214818024</v>
      </c>
      <c r="G10" s="690">
        <f ca="1">tertiair!F16</f>
        <v>1580.6648279036051</v>
      </c>
      <c r="H10" s="690">
        <f>tertiair!G16</f>
        <v>0</v>
      </c>
      <c r="I10" s="690">
        <f>tertiair!H16</f>
        <v>0</v>
      </c>
      <c r="J10" s="690">
        <f>tertiair!I16</f>
        <v>0</v>
      </c>
      <c r="K10" s="690">
        <f>tertiair!J16</f>
        <v>0</v>
      </c>
      <c r="L10" s="690">
        <f>tertiair!K16</f>
        <v>0</v>
      </c>
      <c r="M10" s="690">
        <f ca="1">tertiair!L16</f>
        <v>0</v>
      </c>
      <c r="N10" s="690">
        <f>tertiair!M16</f>
        <v>0</v>
      </c>
      <c r="O10" s="690">
        <f ca="1">tertiair!N16</f>
        <v>738.86230532165575</v>
      </c>
      <c r="P10" s="690">
        <f>tertiair!O16</f>
        <v>4.6900000000000004</v>
      </c>
      <c r="Q10" s="691">
        <f>tertiair!P16</f>
        <v>0</v>
      </c>
      <c r="R10" s="693">
        <f ca="1">SUM(C10:Q10)</f>
        <v>16584.269469373441</v>
      </c>
      <c r="S10" s="67"/>
    </row>
    <row r="11" spans="1:19" s="458" customFormat="1">
      <c r="A11" s="805" t="s">
        <v>225</v>
      </c>
      <c r="B11" s="810"/>
      <c r="C11" s="690">
        <f>huishoudens!B8</f>
        <v>22702.11</v>
      </c>
      <c r="D11" s="690">
        <f>huishoudens!C8</f>
        <v>0</v>
      </c>
      <c r="E11" s="690">
        <f>huishoudens!D8</f>
        <v>28960.679968</v>
      </c>
      <c r="F11" s="690">
        <f>huishoudens!E8</f>
        <v>3058.9380773445291</v>
      </c>
      <c r="G11" s="690">
        <f>huishoudens!F8</f>
        <v>37520.671523499375</v>
      </c>
      <c r="H11" s="690">
        <f>huishoudens!G8</f>
        <v>0</v>
      </c>
      <c r="I11" s="690">
        <f>huishoudens!H8</f>
        <v>0</v>
      </c>
      <c r="J11" s="690">
        <f>huishoudens!I8</f>
        <v>0</v>
      </c>
      <c r="K11" s="690">
        <f>huishoudens!J8</f>
        <v>0</v>
      </c>
      <c r="L11" s="690">
        <f>huishoudens!K8</f>
        <v>0</v>
      </c>
      <c r="M11" s="690">
        <f>huishoudens!L8</f>
        <v>0</v>
      </c>
      <c r="N11" s="690">
        <f>huishoudens!M8</f>
        <v>0</v>
      </c>
      <c r="O11" s="690">
        <f>huishoudens!N8</f>
        <v>9896.8138563454359</v>
      </c>
      <c r="P11" s="690">
        <f>huishoudens!O8</f>
        <v>120.37666666666668</v>
      </c>
      <c r="Q11" s="691">
        <f>huishoudens!P8</f>
        <v>343.2</v>
      </c>
      <c r="R11" s="693">
        <f>SUM(C11:Q11)</f>
        <v>102602.790091856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390.31199999999995</v>
      </c>
      <c r="D13" s="690">
        <f>industrie!C18</f>
        <v>0</v>
      </c>
      <c r="E13" s="690">
        <f>industrie!D18</f>
        <v>142.89664400000001</v>
      </c>
      <c r="F13" s="690">
        <f>industrie!E18</f>
        <v>78.880794138351106</v>
      </c>
      <c r="G13" s="690">
        <f>industrie!F18</f>
        <v>295.29432666402965</v>
      </c>
      <c r="H13" s="690">
        <f>industrie!G18</f>
        <v>0</v>
      </c>
      <c r="I13" s="690">
        <f>industrie!H18</f>
        <v>0</v>
      </c>
      <c r="J13" s="690">
        <f>industrie!I18</f>
        <v>0</v>
      </c>
      <c r="K13" s="690">
        <f>industrie!J18</f>
        <v>9.9547938753964714E-4</v>
      </c>
      <c r="L13" s="690">
        <f>industrie!K18</f>
        <v>0</v>
      </c>
      <c r="M13" s="690">
        <f>industrie!L18</f>
        <v>0</v>
      </c>
      <c r="N13" s="690">
        <f>industrie!M18</f>
        <v>0</v>
      </c>
      <c r="O13" s="690">
        <f>industrie!N18</f>
        <v>187.89567939487256</v>
      </c>
      <c r="P13" s="690">
        <f>industrie!O18</f>
        <v>0</v>
      </c>
      <c r="Q13" s="691">
        <f>industrie!P18</f>
        <v>0</v>
      </c>
      <c r="R13" s="693">
        <f>SUM(C13:Q13)</f>
        <v>1095.2804396766408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31396.702000000001</v>
      </c>
      <c r="D16" s="725">
        <f t="shared" ref="D16:R16" ca="1" si="0">SUM(D9:D15)</f>
        <v>0</v>
      </c>
      <c r="E16" s="725">
        <f t="shared" ca="1" si="0"/>
        <v>34948.182126</v>
      </c>
      <c r="F16" s="725">
        <f t="shared" si="0"/>
        <v>3248.9856936310607</v>
      </c>
      <c r="G16" s="725">
        <f t="shared" ca="1" si="0"/>
        <v>39396.630678067006</v>
      </c>
      <c r="H16" s="725">
        <f t="shared" si="0"/>
        <v>0</v>
      </c>
      <c r="I16" s="725">
        <f t="shared" si="0"/>
        <v>0</v>
      </c>
      <c r="J16" s="725">
        <f t="shared" si="0"/>
        <v>0</v>
      </c>
      <c r="K16" s="725">
        <f t="shared" si="0"/>
        <v>9.9547938753964714E-4</v>
      </c>
      <c r="L16" s="725">
        <f t="shared" si="0"/>
        <v>0</v>
      </c>
      <c r="M16" s="725">
        <f t="shared" ca="1" si="0"/>
        <v>0</v>
      </c>
      <c r="N16" s="725">
        <f t="shared" si="0"/>
        <v>0</v>
      </c>
      <c r="O16" s="725">
        <f t="shared" ca="1" si="0"/>
        <v>10823.571841061965</v>
      </c>
      <c r="P16" s="725">
        <f t="shared" si="0"/>
        <v>125.06666666666668</v>
      </c>
      <c r="Q16" s="725">
        <f t="shared" si="0"/>
        <v>343.2</v>
      </c>
      <c r="R16" s="725">
        <f t="shared" ca="1" si="0"/>
        <v>120282.34000090609</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1065.2767917124886</v>
      </c>
      <c r="I19" s="690">
        <f>transport!H54</f>
        <v>0</v>
      </c>
      <c r="J19" s="690">
        <f>transport!I54</f>
        <v>0</v>
      </c>
      <c r="K19" s="690">
        <f>transport!J54</f>
        <v>0</v>
      </c>
      <c r="L19" s="690">
        <f>transport!K54</f>
        <v>0</v>
      </c>
      <c r="M19" s="690">
        <f>transport!L54</f>
        <v>0</v>
      </c>
      <c r="N19" s="690">
        <f>transport!M54</f>
        <v>47.375464505406732</v>
      </c>
      <c r="O19" s="690">
        <f>transport!N54</f>
        <v>0</v>
      </c>
      <c r="P19" s="690">
        <f>transport!O54</f>
        <v>0</v>
      </c>
      <c r="Q19" s="691">
        <f>transport!P54</f>
        <v>0</v>
      </c>
      <c r="R19" s="693">
        <f>SUM(C19:Q19)</f>
        <v>1112.6522562178952</v>
      </c>
      <c r="S19" s="67"/>
    </row>
    <row r="20" spans="1:19" s="458" customFormat="1">
      <c r="A20" s="805" t="s">
        <v>307</v>
      </c>
      <c r="B20" s="810"/>
      <c r="C20" s="690">
        <f>transport!B14</f>
        <v>5.4303182544681849</v>
      </c>
      <c r="D20" s="690">
        <f>transport!C14</f>
        <v>0</v>
      </c>
      <c r="E20" s="690">
        <f>transport!D14</f>
        <v>9.6141170936394094</v>
      </c>
      <c r="F20" s="690">
        <f>transport!E14</f>
        <v>315.70322608748398</v>
      </c>
      <c r="G20" s="690">
        <f>transport!F14</f>
        <v>0</v>
      </c>
      <c r="H20" s="690">
        <f>transport!G14</f>
        <v>72341.816177322864</v>
      </c>
      <c r="I20" s="690">
        <f>transport!H14</f>
        <v>14526.989683977345</v>
      </c>
      <c r="J20" s="690">
        <f>transport!I14</f>
        <v>0</v>
      </c>
      <c r="K20" s="690">
        <f>transport!J14</f>
        <v>0</v>
      </c>
      <c r="L20" s="690">
        <f>transport!K14</f>
        <v>0</v>
      </c>
      <c r="M20" s="690">
        <f>transport!L14</f>
        <v>0</v>
      </c>
      <c r="N20" s="690">
        <f>transport!M14</f>
        <v>3927.8183677911061</v>
      </c>
      <c r="O20" s="690">
        <f>transport!N14</f>
        <v>0</v>
      </c>
      <c r="P20" s="690">
        <f>transport!O14</f>
        <v>0</v>
      </c>
      <c r="Q20" s="691">
        <f>transport!P14</f>
        <v>0</v>
      </c>
      <c r="R20" s="693">
        <f>SUM(C20:Q20)</f>
        <v>91127.371890526905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5.4303182544681849</v>
      </c>
      <c r="D22" s="808">
        <f t="shared" ref="D22:R22" si="1">SUM(D18:D21)</f>
        <v>0</v>
      </c>
      <c r="E22" s="808">
        <f t="shared" si="1"/>
        <v>9.6141170936394094</v>
      </c>
      <c r="F22" s="808">
        <f t="shared" si="1"/>
        <v>315.70322608748398</v>
      </c>
      <c r="G22" s="808">
        <f t="shared" si="1"/>
        <v>0</v>
      </c>
      <c r="H22" s="808">
        <f t="shared" si="1"/>
        <v>73407.092969035351</v>
      </c>
      <c r="I22" s="808">
        <f t="shared" si="1"/>
        <v>14526.989683977345</v>
      </c>
      <c r="J22" s="808">
        <f t="shared" si="1"/>
        <v>0</v>
      </c>
      <c r="K22" s="808">
        <f t="shared" si="1"/>
        <v>0</v>
      </c>
      <c r="L22" s="808">
        <f t="shared" si="1"/>
        <v>0</v>
      </c>
      <c r="M22" s="808">
        <f t="shared" si="1"/>
        <v>0</v>
      </c>
      <c r="N22" s="808">
        <f t="shared" si="1"/>
        <v>3975.1938322965129</v>
      </c>
      <c r="O22" s="808">
        <f t="shared" si="1"/>
        <v>0</v>
      </c>
      <c r="P22" s="808">
        <f t="shared" si="1"/>
        <v>0</v>
      </c>
      <c r="Q22" s="808">
        <f t="shared" si="1"/>
        <v>0</v>
      </c>
      <c r="R22" s="808">
        <f t="shared" si="1"/>
        <v>92240.024146744807</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55.298000000000002</v>
      </c>
      <c r="D24" s="690">
        <f>+landbouw!C8</f>
        <v>0</v>
      </c>
      <c r="E24" s="690">
        <f>+landbouw!D8</f>
        <v>54.068585999999996</v>
      </c>
      <c r="F24" s="690">
        <f>+landbouw!E8</f>
        <v>0.69682603830821388</v>
      </c>
      <c r="G24" s="690">
        <f>+landbouw!F8</f>
        <v>190.79195297674934</v>
      </c>
      <c r="H24" s="690">
        <f>+landbouw!G8</f>
        <v>0</v>
      </c>
      <c r="I24" s="690">
        <f>+landbouw!H8</f>
        <v>0</v>
      </c>
      <c r="J24" s="690">
        <f>+landbouw!I8</f>
        <v>0</v>
      </c>
      <c r="K24" s="690">
        <f>+landbouw!J8</f>
        <v>8.3161905945215526</v>
      </c>
      <c r="L24" s="690">
        <f>+landbouw!K8</f>
        <v>0</v>
      </c>
      <c r="M24" s="690">
        <f>+landbouw!L8</f>
        <v>0</v>
      </c>
      <c r="N24" s="690">
        <f>+landbouw!M8</f>
        <v>0</v>
      </c>
      <c r="O24" s="690">
        <f>+landbouw!N8</f>
        <v>0</v>
      </c>
      <c r="P24" s="690">
        <f>+landbouw!O8</f>
        <v>0</v>
      </c>
      <c r="Q24" s="691">
        <f>+landbouw!P8</f>
        <v>0</v>
      </c>
      <c r="R24" s="693">
        <f>SUM(C24:Q24)</f>
        <v>309.17155560957912</v>
      </c>
      <c r="S24" s="67"/>
    </row>
    <row r="25" spans="1:19" s="458" customFormat="1" ht="15" thickBot="1">
      <c r="A25" s="827" t="s">
        <v>872</v>
      </c>
      <c r="B25" s="1004"/>
      <c r="C25" s="1005">
        <f>IF(Onbekend_ele_kWh="---",0,Onbekend_ele_kWh)/1000+IF(REST_rest_ele_kWh="---",0,REST_rest_ele_kWh)/1000</f>
        <v>611.38300000000004</v>
      </c>
      <c r="D25" s="1005"/>
      <c r="E25" s="1005">
        <f>IF(onbekend_gas_kWh="---",0,onbekend_gas_kWh)/1000+IF(REST_rest_gas_kWh="---",0,REST_rest_gas_kWh)/1000</f>
        <v>1433.4880000000001</v>
      </c>
      <c r="F25" s="1005"/>
      <c r="G25" s="1005"/>
      <c r="H25" s="1005"/>
      <c r="I25" s="1005"/>
      <c r="J25" s="1005"/>
      <c r="K25" s="1005"/>
      <c r="L25" s="1005"/>
      <c r="M25" s="1005"/>
      <c r="N25" s="1005"/>
      <c r="O25" s="1005"/>
      <c r="P25" s="1005"/>
      <c r="Q25" s="1006"/>
      <c r="R25" s="693">
        <f>SUM(C25:Q25)</f>
        <v>2044.8710000000001</v>
      </c>
      <c r="S25" s="67"/>
    </row>
    <row r="26" spans="1:19" s="458" customFormat="1" ht="15.75" thickBot="1">
      <c r="A26" s="698" t="s">
        <v>873</v>
      </c>
      <c r="B26" s="813"/>
      <c r="C26" s="808">
        <f>SUM(C24:C25)</f>
        <v>666.68100000000004</v>
      </c>
      <c r="D26" s="808">
        <f t="shared" ref="D26:R26" si="2">SUM(D24:D25)</f>
        <v>0</v>
      </c>
      <c r="E26" s="808">
        <f t="shared" si="2"/>
        <v>1487.5565860000002</v>
      </c>
      <c r="F26" s="808">
        <f t="shared" si="2"/>
        <v>0.69682603830821388</v>
      </c>
      <c r="G26" s="808">
        <f t="shared" si="2"/>
        <v>190.79195297674934</v>
      </c>
      <c r="H26" s="808">
        <f t="shared" si="2"/>
        <v>0</v>
      </c>
      <c r="I26" s="808">
        <f t="shared" si="2"/>
        <v>0</v>
      </c>
      <c r="J26" s="808">
        <f t="shared" si="2"/>
        <v>0</v>
      </c>
      <c r="K26" s="808">
        <f t="shared" si="2"/>
        <v>8.3161905945215526</v>
      </c>
      <c r="L26" s="808">
        <f t="shared" si="2"/>
        <v>0</v>
      </c>
      <c r="M26" s="808">
        <f t="shared" si="2"/>
        <v>0</v>
      </c>
      <c r="N26" s="808">
        <f t="shared" si="2"/>
        <v>0</v>
      </c>
      <c r="O26" s="808">
        <f t="shared" si="2"/>
        <v>0</v>
      </c>
      <c r="P26" s="808">
        <f t="shared" si="2"/>
        <v>0</v>
      </c>
      <c r="Q26" s="808">
        <f t="shared" si="2"/>
        <v>0</v>
      </c>
      <c r="R26" s="808">
        <f t="shared" si="2"/>
        <v>2354.0425556095793</v>
      </c>
      <c r="S26" s="67"/>
    </row>
    <row r="27" spans="1:19" s="458" customFormat="1" ht="17.25" thickTop="1" thickBot="1">
      <c r="A27" s="699" t="s">
        <v>116</v>
      </c>
      <c r="B27" s="800"/>
      <c r="C27" s="700">
        <f ca="1">C22+C16+C26</f>
        <v>32068.81331825447</v>
      </c>
      <c r="D27" s="700">
        <f t="shared" ref="D27:R27" ca="1" si="3">D22+D16+D26</f>
        <v>0</v>
      </c>
      <c r="E27" s="700">
        <f t="shared" ca="1" si="3"/>
        <v>36445.352829093637</v>
      </c>
      <c r="F27" s="700">
        <f t="shared" si="3"/>
        <v>3565.3857457568529</v>
      </c>
      <c r="G27" s="700">
        <f t="shared" ca="1" si="3"/>
        <v>39587.422631043752</v>
      </c>
      <c r="H27" s="700">
        <f t="shared" si="3"/>
        <v>73407.092969035351</v>
      </c>
      <c r="I27" s="700">
        <f t="shared" si="3"/>
        <v>14526.989683977345</v>
      </c>
      <c r="J27" s="700">
        <f t="shared" si="3"/>
        <v>0</v>
      </c>
      <c r="K27" s="700">
        <f t="shared" si="3"/>
        <v>8.3171860739090917</v>
      </c>
      <c r="L27" s="700">
        <f t="shared" si="3"/>
        <v>0</v>
      </c>
      <c r="M27" s="700">
        <f t="shared" ca="1" si="3"/>
        <v>0</v>
      </c>
      <c r="N27" s="700">
        <f t="shared" si="3"/>
        <v>3975.1938322965129</v>
      </c>
      <c r="O27" s="700">
        <f t="shared" ca="1" si="3"/>
        <v>10823.571841061965</v>
      </c>
      <c r="P27" s="700">
        <f t="shared" si="3"/>
        <v>125.06666666666668</v>
      </c>
      <c r="Q27" s="700">
        <f t="shared" si="3"/>
        <v>343.2</v>
      </c>
      <c r="R27" s="700">
        <f t="shared" ca="1" si="3"/>
        <v>214876.40670326047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1724.0746800119434</v>
      </c>
      <c r="D40" s="690">
        <f ca="1">tertiair!C20</f>
        <v>0</v>
      </c>
      <c r="E40" s="690">
        <f ca="1">tertiair!D20</f>
        <v>1180.610313828</v>
      </c>
      <c r="F40" s="690">
        <f>tertiair!E20</f>
        <v>25.234868627636917</v>
      </c>
      <c r="G40" s="690">
        <f ca="1">tertiair!F20</f>
        <v>422.0375090502626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3351.9573715178431</v>
      </c>
    </row>
    <row r="41" spans="1:18">
      <c r="A41" s="818" t="s">
        <v>225</v>
      </c>
      <c r="B41" s="825"/>
      <c r="C41" s="690">
        <f ca="1">huishoudens!B12</f>
        <v>4713.248232699998</v>
      </c>
      <c r="D41" s="690">
        <f ca="1">huishoudens!C12</f>
        <v>0</v>
      </c>
      <c r="E41" s="690">
        <f>huishoudens!D12</f>
        <v>5850.0573535360008</v>
      </c>
      <c r="F41" s="690">
        <f>huishoudens!E12</f>
        <v>694.37894355720812</v>
      </c>
      <c r="G41" s="690">
        <f>huishoudens!F12</f>
        <v>10018.019296774333</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21275.70382656754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81.033760483126954</v>
      </c>
      <c r="D43" s="690">
        <f ca="1">industrie!C22</f>
        <v>0</v>
      </c>
      <c r="E43" s="690">
        <f>industrie!D22</f>
        <v>28.865122088000003</v>
      </c>
      <c r="F43" s="690">
        <f>industrie!E22</f>
        <v>17.905940269405701</v>
      </c>
      <c r="G43" s="690">
        <f>industrie!F22</f>
        <v>78.843585219295917</v>
      </c>
      <c r="H43" s="690">
        <f>industrie!G22</f>
        <v>0</v>
      </c>
      <c r="I43" s="690">
        <f>industrie!H22</f>
        <v>0</v>
      </c>
      <c r="J43" s="690">
        <f>industrie!I22</f>
        <v>0</v>
      </c>
      <c r="K43" s="690">
        <f>industrie!J22</f>
        <v>3.5239970318903509E-4</v>
      </c>
      <c r="L43" s="690">
        <f>industrie!K22</f>
        <v>0</v>
      </c>
      <c r="M43" s="690">
        <f>industrie!L22</f>
        <v>0</v>
      </c>
      <c r="N43" s="690">
        <f>industrie!M22</f>
        <v>0</v>
      </c>
      <c r="O43" s="690">
        <f>industrie!N22</f>
        <v>0</v>
      </c>
      <c r="P43" s="690">
        <f>industrie!O22</f>
        <v>0</v>
      </c>
      <c r="Q43" s="767">
        <f>industrie!P22</f>
        <v>0</v>
      </c>
      <c r="R43" s="845">
        <f t="shared" ca="1" si="4"/>
        <v>206.64876045953176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6518.3566731950677</v>
      </c>
      <c r="D46" s="725">
        <f t="shared" ref="D46:Q46" ca="1" si="5">SUM(D39:D45)</f>
        <v>0</v>
      </c>
      <c r="E46" s="725">
        <f t="shared" ca="1" si="5"/>
        <v>7059.5327894520015</v>
      </c>
      <c r="F46" s="725">
        <f t="shared" si="5"/>
        <v>737.51975245425081</v>
      </c>
      <c r="G46" s="725">
        <f t="shared" ca="1" si="5"/>
        <v>10518.900391043891</v>
      </c>
      <c r="H46" s="725">
        <f t="shared" si="5"/>
        <v>0</v>
      </c>
      <c r="I46" s="725">
        <f t="shared" si="5"/>
        <v>0</v>
      </c>
      <c r="J46" s="725">
        <f t="shared" si="5"/>
        <v>0</v>
      </c>
      <c r="K46" s="725">
        <f t="shared" si="5"/>
        <v>3.5239970318903509E-4</v>
      </c>
      <c r="L46" s="725">
        <f t="shared" si="5"/>
        <v>0</v>
      </c>
      <c r="M46" s="725">
        <f t="shared" ca="1" si="5"/>
        <v>0</v>
      </c>
      <c r="N46" s="725">
        <f t="shared" si="5"/>
        <v>0</v>
      </c>
      <c r="O46" s="725">
        <f t="shared" ca="1" si="5"/>
        <v>0</v>
      </c>
      <c r="P46" s="725">
        <f t="shared" si="5"/>
        <v>0</v>
      </c>
      <c r="Q46" s="725">
        <f t="shared" si="5"/>
        <v>0</v>
      </c>
      <c r="R46" s="725">
        <f ca="1">SUM(R39:R45)</f>
        <v>24834.309958544916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284.42890338723447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284.42890338723447</v>
      </c>
    </row>
    <row r="50" spans="1:18">
      <c r="A50" s="821" t="s">
        <v>307</v>
      </c>
      <c r="B50" s="831"/>
      <c r="C50" s="696">
        <f ca="1">transport!B18</f>
        <v>1.1274034843400331</v>
      </c>
      <c r="D50" s="696">
        <f>transport!C18</f>
        <v>0</v>
      </c>
      <c r="E50" s="696">
        <f>transport!D18</f>
        <v>1.9420516529151608</v>
      </c>
      <c r="F50" s="696">
        <f>transport!E18</f>
        <v>71.664632321858861</v>
      </c>
      <c r="G50" s="696">
        <f>transport!F18</f>
        <v>0</v>
      </c>
      <c r="H50" s="696">
        <f>transport!G18</f>
        <v>19315.264919345205</v>
      </c>
      <c r="I50" s="696">
        <f>transport!H18</f>
        <v>3617.2204313103589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23007.219438114676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1.1274034843400331</v>
      </c>
      <c r="D52" s="725">
        <f t="shared" ref="D52:Q52" ca="1" si="6">SUM(D48:D51)</f>
        <v>0</v>
      </c>
      <c r="E52" s="725">
        <f t="shared" si="6"/>
        <v>1.9420516529151608</v>
      </c>
      <c r="F52" s="725">
        <f t="shared" si="6"/>
        <v>71.664632321858861</v>
      </c>
      <c r="G52" s="725">
        <f t="shared" si="6"/>
        <v>0</v>
      </c>
      <c r="H52" s="725">
        <f t="shared" si="6"/>
        <v>19599.693822732439</v>
      </c>
      <c r="I52" s="725">
        <f t="shared" si="6"/>
        <v>3617.2204313103589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23291.64834150191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11.480571663684323</v>
      </c>
      <c r="D54" s="696">
        <f ca="1">+landbouw!C12</f>
        <v>0</v>
      </c>
      <c r="E54" s="696">
        <f>+landbouw!D12</f>
        <v>10.921854372</v>
      </c>
      <c r="F54" s="696">
        <f>+landbouw!E12</f>
        <v>0.15817951069596456</v>
      </c>
      <c r="G54" s="696">
        <f>+landbouw!F12</f>
        <v>50.941451444792079</v>
      </c>
      <c r="H54" s="696">
        <f>+landbouw!G12</f>
        <v>0</v>
      </c>
      <c r="I54" s="696">
        <f>+landbouw!H12</f>
        <v>0</v>
      </c>
      <c r="J54" s="696">
        <f>+landbouw!I12</f>
        <v>0</v>
      </c>
      <c r="K54" s="696">
        <f>+landbouw!J12</f>
        <v>2.9439314704606296</v>
      </c>
      <c r="L54" s="696">
        <f>+landbouw!K12</f>
        <v>0</v>
      </c>
      <c r="M54" s="696">
        <f>+landbouw!L12</f>
        <v>0</v>
      </c>
      <c r="N54" s="696">
        <f>+landbouw!M12</f>
        <v>0</v>
      </c>
      <c r="O54" s="696">
        <f>+landbouw!N12</f>
        <v>0</v>
      </c>
      <c r="P54" s="696">
        <f>+landbouw!O12</f>
        <v>0</v>
      </c>
      <c r="Q54" s="697">
        <f>+landbouw!P12</f>
        <v>0</v>
      </c>
      <c r="R54" s="724">
        <f ca="1">SUM(C54:Q54)</f>
        <v>76.445988461632993</v>
      </c>
    </row>
    <row r="55" spans="1:18" ht="15" thickBot="1">
      <c r="A55" s="821" t="s">
        <v>872</v>
      </c>
      <c r="B55" s="831"/>
      <c r="C55" s="696">
        <f ca="1">C25*'EF ele_warmte'!B12</f>
        <v>126.93092599114456</v>
      </c>
      <c r="D55" s="696"/>
      <c r="E55" s="696">
        <f>E25*EF_CO2_aardgas</f>
        <v>289.56457600000005</v>
      </c>
      <c r="F55" s="696"/>
      <c r="G55" s="696"/>
      <c r="H55" s="696"/>
      <c r="I55" s="696"/>
      <c r="J55" s="696"/>
      <c r="K55" s="696"/>
      <c r="L55" s="696"/>
      <c r="M55" s="696"/>
      <c r="N55" s="696"/>
      <c r="O55" s="696"/>
      <c r="P55" s="696"/>
      <c r="Q55" s="697"/>
      <c r="R55" s="724">
        <f ca="1">SUM(C55:Q55)</f>
        <v>416.49550199114458</v>
      </c>
    </row>
    <row r="56" spans="1:18" ht="15.75" thickBot="1">
      <c r="A56" s="819" t="s">
        <v>873</v>
      </c>
      <c r="B56" s="832"/>
      <c r="C56" s="725">
        <f ca="1">SUM(C54:C55)</f>
        <v>138.41149765482888</v>
      </c>
      <c r="D56" s="725">
        <f t="shared" ref="D56:Q56" ca="1" si="7">SUM(D54:D55)</f>
        <v>0</v>
      </c>
      <c r="E56" s="725">
        <f t="shared" si="7"/>
        <v>300.48643037200003</v>
      </c>
      <c r="F56" s="725">
        <f t="shared" si="7"/>
        <v>0.15817951069596456</v>
      </c>
      <c r="G56" s="725">
        <f t="shared" si="7"/>
        <v>50.941451444792079</v>
      </c>
      <c r="H56" s="725">
        <f t="shared" si="7"/>
        <v>0</v>
      </c>
      <c r="I56" s="725">
        <f t="shared" si="7"/>
        <v>0</v>
      </c>
      <c r="J56" s="725">
        <f t="shared" si="7"/>
        <v>0</v>
      </c>
      <c r="K56" s="725">
        <f t="shared" si="7"/>
        <v>2.9439314704606296</v>
      </c>
      <c r="L56" s="725">
        <f t="shared" si="7"/>
        <v>0</v>
      </c>
      <c r="M56" s="725">
        <f t="shared" si="7"/>
        <v>0</v>
      </c>
      <c r="N56" s="725">
        <f t="shared" si="7"/>
        <v>0</v>
      </c>
      <c r="O56" s="725">
        <f t="shared" si="7"/>
        <v>0</v>
      </c>
      <c r="P56" s="725">
        <f t="shared" si="7"/>
        <v>0</v>
      </c>
      <c r="Q56" s="726">
        <f t="shared" si="7"/>
        <v>0</v>
      </c>
      <c r="R56" s="727">
        <f ca="1">SUM(R54:R55)</f>
        <v>492.94149045277754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6657.8955743342367</v>
      </c>
      <c r="D61" s="733">
        <f t="shared" ref="D61:Q61" ca="1" si="8">D46+D52+D56</f>
        <v>0</v>
      </c>
      <c r="E61" s="733">
        <f t="shared" ca="1" si="8"/>
        <v>7361.9612714769164</v>
      </c>
      <c r="F61" s="733">
        <f t="shared" si="8"/>
        <v>809.34256428680567</v>
      </c>
      <c r="G61" s="733">
        <f t="shared" ca="1" si="8"/>
        <v>10569.841842488684</v>
      </c>
      <c r="H61" s="733">
        <f t="shared" si="8"/>
        <v>19599.693822732439</v>
      </c>
      <c r="I61" s="733">
        <f t="shared" si="8"/>
        <v>3617.2204313103589</v>
      </c>
      <c r="J61" s="733">
        <f t="shared" si="8"/>
        <v>0</v>
      </c>
      <c r="K61" s="733">
        <f t="shared" si="8"/>
        <v>2.9442838701638188</v>
      </c>
      <c r="L61" s="733">
        <f t="shared" si="8"/>
        <v>0</v>
      </c>
      <c r="M61" s="733">
        <f t="shared" ca="1" si="8"/>
        <v>0</v>
      </c>
      <c r="N61" s="733">
        <f t="shared" si="8"/>
        <v>0</v>
      </c>
      <c r="O61" s="733">
        <f t="shared" ca="1" si="8"/>
        <v>0</v>
      </c>
      <c r="P61" s="733">
        <f t="shared" si="8"/>
        <v>0</v>
      </c>
      <c r="Q61" s="733">
        <f t="shared" si="8"/>
        <v>0</v>
      </c>
      <c r="R61" s="733">
        <f ca="1">R46+R52+R56</f>
        <v>48618.899790499607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0.20761278280741294</v>
      </c>
      <c r="D63" s="776">
        <f t="shared" ca="1" si="9"/>
        <v>0</v>
      </c>
      <c r="E63" s="1011">
        <f t="shared" ca="1" si="9"/>
        <v>0.20200000000000004</v>
      </c>
      <c r="F63" s="776">
        <f t="shared" si="9"/>
        <v>0.22700000000000001</v>
      </c>
      <c r="G63" s="776">
        <f t="shared" ca="1" si="9"/>
        <v>0.26700000000000007</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1942.5889999999999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1942.5889999999999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1942.5889999999999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1942.5889999999999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22702.11</v>
      </c>
      <c r="C4" s="462">
        <f>huishoudens!C8</f>
        <v>0</v>
      </c>
      <c r="D4" s="462">
        <f>huishoudens!D8</f>
        <v>28960.679968</v>
      </c>
      <c r="E4" s="462">
        <f>huishoudens!E8</f>
        <v>3058.9380773445291</v>
      </c>
      <c r="F4" s="462">
        <f>huishoudens!F8</f>
        <v>37520.671523499375</v>
      </c>
      <c r="G4" s="462">
        <f>huishoudens!G8</f>
        <v>0</v>
      </c>
      <c r="H4" s="462">
        <f>huishoudens!H8</f>
        <v>0</v>
      </c>
      <c r="I4" s="462">
        <f>huishoudens!I8</f>
        <v>0</v>
      </c>
      <c r="J4" s="462">
        <f>huishoudens!J8</f>
        <v>0</v>
      </c>
      <c r="K4" s="462">
        <f>huishoudens!K8</f>
        <v>0</v>
      </c>
      <c r="L4" s="462">
        <f>huishoudens!L8</f>
        <v>0</v>
      </c>
      <c r="M4" s="462">
        <f>huishoudens!M8</f>
        <v>0</v>
      </c>
      <c r="N4" s="462">
        <f>huishoudens!N8</f>
        <v>9896.8138563454359</v>
      </c>
      <c r="O4" s="462">
        <f>huishoudens!O8</f>
        <v>120.37666666666668</v>
      </c>
      <c r="P4" s="463">
        <f>huishoudens!P8</f>
        <v>343.2</v>
      </c>
      <c r="Q4" s="464">
        <f>SUM(B4:P4)</f>
        <v>102602.790091856</v>
      </c>
    </row>
    <row r="5" spans="1:17">
      <c r="A5" s="461" t="s">
        <v>156</v>
      </c>
      <c r="B5" s="462">
        <f ca="1">tertiair!B16</f>
        <v>7635.1820000000007</v>
      </c>
      <c r="C5" s="462">
        <f ca="1">tertiair!C16</f>
        <v>0</v>
      </c>
      <c r="D5" s="462">
        <f ca="1">tertiair!D16</f>
        <v>5844.6055139999999</v>
      </c>
      <c r="E5" s="462">
        <f>tertiair!E16</f>
        <v>111.16682214818024</v>
      </c>
      <c r="F5" s="462">
        <f ca="1">tertiair!F16</f>
        <v>1580.6648279036051</v>
      </c>
      <c r="G5" s="462">
        <f>tertiair!G16</f>
        <v>0</v>
      </c>
      <c r="H5" s="462">
        <f>tertiair!H16</f>
        <v>0</v>
      </c>
      <c r="I5" s="462">
        <f>tertiair!I16</f>
        <v>0</v>
      </c>
      <c r="J5" s="462">
        <f>tertiair!J16</f>
        <v>0</v>
      </c>
      <c r="K5" s="462">
        <f>tertiair!K16</f>
        <v>0</v>
      </c>
      <c r="L5" s="462">
        <f ca="1">tertiair!L16</f>
        <v>0</v>
      </c>
      <c r="M5" s="462">
        <f>tertiair!M16</f>
        <v>0</v>
      </c>
      <c r="N5" s="462">
        <f ca="1">tertiair!N16</f>
        <v>738.86230532165575</v>
      </c>
      <c r="O5" s="462">
        <f>tertiair!O16</f>
        <v>4.6900000000000004</v>
      </c>
      <c r="P5" s="463">
        <f>tertiair!P16</f>
        <v>0</v>
      </c>
      <c r="Q5" s="461">
        <f t="shared" ref="Q5:Q14" ca="1" si="0">SUM(B5:P5)</f>
        <v>15915.171469373441</v>
      </c>
    </row>
    <row r="6" spans="1:17">
      <c r="A6" s="461" t="s">
        <v>194</v>
      </c>
      <c r="B6" s="462">
        <f>'openbare verlichting'!B8</f>
        <v>669.09799999999996</v>
      </c>
      <c r="C6" s="462"/>
      <c r="D6" s="462"/>
      <c r="E6" s="462"/>
      <c r="F6" s="462"/>
      <c r="G6" s="462"/>
      <c r="H6" s="462"/>
      <c r="I6" s="462"/>
      <c r="J6" s="462"/>
      <c r="K6" s="462"/>
      <c r="L6" s="462"/>
      <c r="M6" s="462"/>
      <c r="N6" s="462"/>
      <c r="O6" s="462"/>
      <c r="P6" s="463"/>
      <c r="Q6" s="461">
        <f t="shared" si="0"/>
        <v>669.09799999999996</v>
      </c>
    </row>
    <row r="7" spans="1:17">
      <c r="A7" s="461" t="s">
        <v>112</v>
      </c>
      <c r="B7" s="462">
        <f>landbouw!B8</f>
        <v>55.298000000000002</v>
      </c>
      <c r="C7" s="462">
        <f>landbouw!C8</f>
        <v>0</v>
      </c>
      <c r="D7" s="462">
        <f>landbouw!D8</f>
        <v>54.068585999999996</v>
      </c>
      <c r="E7" s="462">
        <f>landbouw!E8</f>
        <v>0.69682603830821388</v>
      </c>
      <c r="F7" s="462">
        <f>landbouw!F8</f>
        <v>190.79195297674934</v>
      </c>
      <c r="G7" s="462">
        <f>landbouw!G8</f>
        <v>0</v>
      </c>
      <c r="H7" s="462">
        <f>landbouw!H8</f>
        <v>0</v>
      </c>
      <c r="I7" s="462">
        <f>landbouw!I8</f>
        <v>0</v>
      </c>
      <c r="J7" s="462">
        <f>landbouw!J8</f>
        <v>8.3161905945215526</v>
      </c>
      <c r="K7" s="462">
        <f>landbouw!K8</f>
        <v>0</v>
      </c>
      <c r="L7" s="462">
        <f>landbouw!L8</f>
        <v>0</v>
      </c>
      <c r="M7" s="462">
        <f>landbouw!M8</f>
        <v>0</v>
      </c>
      <c r="N7" s="462">
        <f>landbouw!N8</f>
        <v>0</v>
      </c>
      <c r="O7" s="462">
        <f>landbouw!O8</f>
        <v>0</v>
      </c>
      <c r="P7" s="463">
        <f>landbouw!P8</f>
        <v>0</v>
      </c>
      <c r="Q7" s="461">
        <f t="shared" si="0"/>
        <v>309.17155560957912</v>
      </c>
    </row>
    <row r="8" spans="1:17">
      <c r="A8" s="461" t="s">
        <v>657</v>
      </c>
      <c r="B8" s="462">
        <f>industrie!B18</f>
        <v>390.31199999999995</v>
      </c>
      <c r="C8" s="462">
        <f>industrie!C18</f>
        <v>0</v>
      </c>
      <c r="D8" s="462">
        <f>industrie!D18</f>
        <v>142.89664400000001</v>
      </c>
      <c r="E8" s="462">
        <f>industrie!E18</f>
        <v>78.880794138351106</v>
      </c>
      <c r="F8" s="462">
        <f>industrie!F18</f>
        <v>295.29432666402965</v>
      </c>
      <c r="G8" s="462">
        <f>industrie!G18</f>
        <v>0</v>
      </c>
      <c r="H8" s="462">
        <f>industrie!H18</f>
        <v>0</v>
      </c>
      <c r="I8" s="462">
        <f>industrie!I18</f>
        <v>0</v>
      </c>
      <c r="J8" s="462">
        <f>industrie!J18</f>
        <v>9.9547938753964714E-4</v>
      </c>
      <c r="K8" s="462">
        <f>industrie!K18</f>
        <v>0</v>
      </c>
      <c r="L8" s="462">
        <f>industrie!L18</f>
        <v>0</v>
      </c>
      <c r="M8" s="462">
        <f>industrie!M18</f>
        <v>0</v>
      </c>
      <c r="N8" s="462">
        <f>industrie!N18</f>
        <v>187.89567939487256</v>
      </c>
      <c r="O8" s="462">
        <f>industrie!O18</f>
        <v>0</v>
      </c>
      <c r="P8" s="463">
        <f>industrie!P18</f>
        <v>0</v>
      </c>
      <c r="Q8" s="461">
        <f t="shared" si="0"/>
        <v>1095.2804396766408</v>
      </c>
    </row>
    <row r="9" spans="1:17" s="467" customFormat="1">
      <c r="A9" s="465" t="s">
        <v>574</v>
      </c>
      <c r="B9" s="466">
        <f>transport!B14</f>
        <v>5.4303182544681849</v>
      </c>
      <c r="C9" s="466">
        <f>transport!C14</f>
        <v>0</v>
      </c>
      <c r="D9" s="466">
        <f>transport!D14</f>
        <v>9.6141170936394094</v>
      </c>
      <c r="E9" s="466">
        <f>transport!E14</f>
        <v>315.70322608748398</v>
      </c>
      <c r="F9" s="466">
        <f>transport!F14</f>
        <v>0</v>
      </c>
      <c r="G9" s="466">
        <f>transport!G14</f>
        <v>72341.816177322864</v>
      </c>
      <c r="H9" s="466">
        <f>transport!H14</f>
        <v>14526.989683977345</v>
      </c>
      <c r="I9" s="466">
        <f>transport!I14</f>
        <v>0</v>
      </c>
      <c r="J9" s="466">
        <f>transport!J14</f>
        <v>0</v>
      </c>
      <c r="K9" s="466">
        <f>transport!K14</f>
        <v>0</v>
      </c>
      <c r="L9" s="466">
        <f>transport!L14</f>
        <v>0</v>
      </c>
      <c r="M9" s="466">
        <f>transport!M14</f>
        <v>3927.8183677911061</v>
      </c>
      <c r="N9" s="466">
        <f>transport!N14</f>
        <v>0</v>
      </c>
      <c r="O9" s="466">
        <f>transport!O14</f>
        <v>0</v>
      </c>
      <c r="P9" s="466">
        <f>transport!P14</f>
        <v>0</v>
      </c>
      <c r="Q9" s="465">
        <f>SUM(B9:P9)</f>
        <v>91127.371890526905</v>
      </c>
    </row>
    <row r="10" spans="1:17">
      <c r="A10" s="461" t="s">
        <v>564</v>
      </c>
      <c r="B10" s="462">
        <f>transport!B54</f>
        <v>0</v>
      </c>
      <c r="C10" s="462">
        <f>transport!C54</f>
        <v>0</v>
      </c>
      <c r="D10" s="462">
        <f>transport!D54</f>
        <v>0</v>
      </c>
      <c r="E10" s="462">
        <f>transport!E54</f>
        <v>0</v>
      </c>
      <c r="F10" s="462">
        <f>transport!F54</f>
        <v>0</v>
      </c>
      <c r="G10" s="462">
        <f>transport!G54</f>
        <v>1065.2767917124886</v>
      </c>
      <c r="H10" s="462">
        <f>transport!H54</f>
        <v>0</v>
      </c>
      <c r="I10" s="462">
        <f>transport!I54</f>
        <v>0</v>
      </c>
      <c r="J10" s="462">
        <f>transport!J54</f>
        <v>0</v>
      </c>
      <c r="K10" s="462">
        <f>transport!K54</f>
        <v>0</v>
      </c>
      <c r="L10" s="462">
        <f>transport!L54</f>
        <v>0</v>
      </c>
      <c r="M10" s="462">
        <f>transport!M54</f>
        <v>47.375464505406732</v>
      </c>
      <c r="N10" s="462">
        <f>transport!N54</f>
        <v>0</v>
      </c>
      <c r="O10" s="462">
        <f>transport!O54</f>
        <v>0</v>
      </c>
      <c r="P10" s="463">
        <f>transport!P54</f>
        <v>0</v>
      </c>
      <c r="Q10" s="461">
        <f t="shared" si="0"/>
        <v>1112.6522562178952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611.38300000000004</v>
      </c>
      <c r="C14" s="469"/>
      <c r="D14" s="469">
        <f>'SEAP template'!E25</f>
        <v>1433.4880000000001</v>
      </c>
      <c r="E14" s="469"/>
      <c r="F14" s="469"/>
      <c r="G14" s="469"/>
      <c r="H14" s="469"/>
      <c r="I14" s="469"/>
      <c r="J14" s="469"/>
      <c r="K14" s="469"/>
      <c r="L14" s="469"/>
      <c r="M14" s="469"/>
      <c r="N14" s="469"/>
      <c r="O14" s="469"/>
      <c r="P14" s="470"/>
      <c r="Q14" s="461">
        <f t="shared" si="0"/>
        <v>2044.8710000000001</v>
      </c>
    </row>
    <row r="15" spans="1:17" s="474" customFormat="1">
      <c r="A15" s="471" t="s">
        <v>568</v>
      </c>
      <c r="B15" s="472">
        <f ca="1">SUM(B4:B14)</f>
        <v>32068.81331825447</v>
      </c>
      <c r="C15" s="472">
        <f t="shared" ref="C15:Q15" ca="1" si="1">SUM(C4:C14)</f>
        <v>0</v>
      </c>
      <c r="D15" s="472">
        <f t="shared" ca="1" si="1"/>
        <v>36445.352829093637</v>
      </c>
      <c r="E15" s="472">
        <f t="shared" si="1"/>
        <v>3565.3857457568529</v>
      </c>
      <c r="F15" s="472">
        <f t="shared" ca="1" si="1"/>
        <v>39587.422631043752</v>
      </c>
      <c r="G15" s="472">
        <f t="shared" si="1"/>
        <v>73407.092969035351</v>
      </c>
      <c r="H15" s="472">
        <f t="shared" si="1"/>
        <v>14526.989683977345</v>
      </c>
      <c r="I15" s="472">
        <f t="shared" si="1"/>
        <v>0</v>
      </c>
      <c r="J15" s="472">
        <f t="shared" si="1"/>
        <v>8.3171860739090917</v>
      </c>
      <c r="K15" s="472">
        <f t="shared" si="1"/>
        <v>0</v>
      </c>
      <c r="L15" s="472">
        <f t="shared" ca="1" si="1"/>
        <v>0</v>
      </c>
      <c r="M15" s="472">
        <f t="shared" si="1"/>
        <v>3975.1938322965129</v>
      </c>
      <c r="N15" s="472">
        <f t="shared" ca="1" si="1"/>
        <v>10823.571841061965</v>
      </c>
      <c r="O15" s="472">
        <f t="shared" si="1"/>
        <v>125.06666666666668</v>
      </c>
      <c r="P15" s="472">
        <f t="shared" si="1"/>
        <v>343.2</v>
      </c>
      <c r="Q15" s="472">
        <f t="shared" ca="1" si="1"/>
        <v>214876.40670326047</v>
      </c>
    </row>
    <row r="17" spans="1:17">
      <c r="A17" s="475" t="s">
        <v>569</v>
      </c>
      <c r="B17" s="781">
        <f ca="1">huishoudens!B10</f>
        <v>0.20761278280741297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4713.248232699998</v>
      </c>
      <c r="C22" s="462">
        <f t="shared" ref="C22:C32" ca="1" si="3">C4*$C$17</f>
        <v>0</v>
      </c>
      <c r="D22" s="462">
        <f t="shared" ref="D22:D32" si="4">D4*$D$17</f>
        <v>5850.0573535360008</v>
      </c>
      <c r="E22" s="462">
        <f t="shared" ref="E22:E32" si="5">E4*$E$17</f>
        <v>694.37894355720812</v>
      </c>
      <c r="F22" s="462">
        <f t="shared" ref="F22:F32" si="6">F4*$F$17</f>
        <v>10018.019296774333</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21275.70382656754</v>
      </c>
    </row>
    <row r="23" spans="1:17">
      <c r="A23" s="461" t="s">
        <v>156</v>
      </c>
      <c r="B23" s="462">
        <f t="shared" ca="1" si="2"/>
        <v>1585.1613822610691</v>
      </c>
      <c r="C23" s="462">
        <f t="shared" ca="1" si="3"/>
        <v>0</v>
      </c>
      <c r="D23" s="462">
        <f t="shared" ca="1" si="4"/>
        <v>1180.610313828</v>
      </c>
      <c r="E23" s="462">
        <f t="shared" si="5"/>
        <v>25.234868627636917</v>
      </c>
      <c r="F23" s="462">
        <f t="shared" ca="1" si="6"/>
        <v>422.0375090502626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3213.0440737669687</v>
      </c>
    </row>
    <row r="24" spans="1:17">
      <c r="A24" s="461" t="s">
        <v>194</v>
      </c>
      <c r="B24" s="462">
        <f t="shared" ca="1" si="2"/>
        <v>138.91329775087439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138.91329775087439</v>
      </c>
    </row>
    <row r="25" spans="1:17">
      <c r="A25" s="461" t="s">
        <v>112</v>
      </c>
      <c r="B25" s="462">
        <f t="shared" ca="1" si="2"/>
        <v>11.480571663684323</v>
      </c>
      <c r="C25" s="462">
        <f t="shared" ca="1" si="3"/>
        <v>0</v>
      </c>
      <c r="D25" s="462">
        <f t="shared" si="4"/>
        <v>10.921854372</v>
      </c>
      <c r="E25" s="462">
        <f t="shared" si="5"/>
        <v>0.15817951069596456</v>
      </c>
      <c r="F25" s="462">
        <f t="shared" si="6"/>
        <v>50.941451444792079</v>
      </c>
      <c r="G25" s="462">
        <f t="shared" si="7"/>
        <v>0</v>
      </c>
      <c r="H25" s="462">
        <f t="shared" si="8"/>
        <v>0</v>
      </c>
      <c r="I25" s="462">
        <f t="shared" si="9"/>
        <v>0</v>
      </c>
      <c r="J25" s="462">
        <f t="shared" si="10"/>
        <v>2.9439314704606296</v>
      </c>
      <c r="K25" s="462">
        <f t="shared" si="11"/>
        <v>0</v>
      </c>
      <c r="L25" s="462">
        <f t="shared" si="12"/>
        <v>0</v>
      </c>
      <c r="M25" s="462">
        <f t="shared" si="13"/>
        <v>0</v>
      </c>
      <c r="N25" s="462">
        <f t="shared" si="14"/>
        <v>0</v>
      </c>
      <c r="O25" s="462">
        <f t="shared" si="15"/>
        <v>0</v>
      </c>
      <c r="P25" s="463">
        <f t="shared" si="16"/>
        <v>0</v>
      </c>
      <c r="Q25" s="461">
        <f t="shared" ca="1" si="17"/>
        <v>76.445988461632993</v>
      </c>
    </row>
    <row r="26" spans="1:17">
      <c r="A26" s="461" t="s">
        <v>657</v>
      </c>
      <c r="B26" s="462">
        <f t="shared" ca="1" si="2"/>
        <v>81.033760483126954</v>
      </c>
      <c r="C26" s="462">
        <f t="shared" ca="1" si="3"/>
        <v>0</v>
      </c>
      <c r="D26" s="462">
        <f t="shared" si="4"/>
        <v>28.865122088000003</v>
      </c>
      <c r="E26" s="462">
        <f t="shared" si="5"/>
        <v>17.905940269405701</v>
      </c>
      <c r="F26" s="462">
        <f t="shared" si="6"/>
        <v>78.843585219295917</v>
      </c>
      <c r="G26" s="462">
        <f t="shared" si="7"/>
        <v>0</v>
      </c>
      <c r="H26" s="462">
        <f t="shared" si="8"/>
        <v>0</v>
      </c>
      <c r="I26" s="462">
        <f t="shared" si="9"/>
        <v>0</v>
      </c>
      <c r="J26" s="462">
        <f t="shared" si="10"/>
        <v>3.5239970318903509E-4</v>
      </c>
      <c r="K26" s="462">
        <f t="shared" si="11"/>
        <v>0</v>
      </c>
      <c r="L26" s="462">
        <f t="shared" si="12"/>
        <v>0</v>
      </c>
      <c r="M26" s="462">
        <f t="shared" si="13"/>
        <v>0</v>
      </c>
      <c r="N26" s="462">
        <f t="shared" si="14"/>
        <v>0</v>
      </c>
      <c r="O26" s="462">
        <f t="shared" si="15"/>
        <v>0</v>
      </c>
      <c r="P26" s="463">
        <f t="shared" si="16"/>
        <v>0</v>
      </c>
      <c r="Q26" s="461">
        <f t="shared" ca="1" si="17"/>
        <v>206.64876045953176</v>
      </c>
    </row>
    <row r="27" spans="1:17" s="467" customFormat="1">
      <c r="A27" s="465" t="s">
        <v>574</v>
      </c>
      <c r="B27" s="775">
        <f t="shared" ca="1" si="2"/>
        <v>1.1274034843400331</v>
      </c>
      <c r="C27" s="466">
        <f t="shared" ca="1" si="3"/>
        <v>0</v>
      </c>
      <c r="D27" s="466">
        <f t="shared" si="4"/>
        <v>1.9420516529151608</v>
      </c>
      <c r="E27" s="466">
        <f t="shared" si="5"/>
        <v>71.664632321858861</v>
      </c>
      <c r="F27" s="466">
        <f t="shared" si="6"/>
        <v>0</v>
      </c>
      <c r="G27" s="466">
        <f t="shared" si="7"/>
        <v>19315.264919345205</v>
      </c>
      <c r="H27" s="466">
        <f t="shared" si="8"/>
        <v>3617.2204313103589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23007.219438114676</v>
      </c>
    </row>
    <row r="28" spans="1:17">
      <c r="A28" s="461" t="s">
        <v>564</v>
      </c>
      <c r="B28" s="462">
        <f t="shared" ca="1" si="2"/>
        <v>0</v>
      </c>
      <c r="C28" s="462">
        <f t="shared" ca="1" si="3"/>
        <v>0</v>
      </c>
      <c r="D28" s="462">
        <f t="shared" si="4"/>
        <v>0</v>
      </c>
      <c r="E28" s="462">
        <f t="shared" si="5"/>
        <v>0</v>
      </c>
      <c r="F28" s="462">
        <f t="shared" si="6"/>
        <v>0</v>
      </c>
      <c r="G28" s="462">
        <f t="shared" si="7"/>
        <v>284.42890338723447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284.42890338723447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126.93092599114456</v>
      </c>
      <c r="C32" s="462">
        <f t="shared" ca="1" si="3"/>
        <v>0</v>
      </c>
      <c r="D32" s="462">
        <f t="shared" si="4"/>
        <v>289.56457600000005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416.49550199114458</v>
      </c>
    </row>
    <row r="33" spans="1:17" s="474" customFormat="1">
      <c r="A33" s="471" t="s">
        <v>568</v>
      </c>
      <c r="B33" s="472">
        <f ca="1">SUM(B22:B32)</f>
        <v>6657.8955743342367</v>
      </c>
      <c r="C33" s="472">
        <f t="shared" ref="C33:Q33" ca="1" si="18">SUM(C22:C32)</f>
        <v>0</v>
      </c>
      <c r="D33" s="472">
        <f t="shared" ca="1" si="18"/>
        <v>7361.9612714769164</v>
      </c>
      <c r="E33" s="472">
        <f t="shared" si="18"/>
        <v>809.34256428680567</v>
      </c>
      <c r="F33" s="472">
        <f t="shared" ca="1" si="18"/>
        <v>10569.841842488684</v>
      </c>
      <c r="G33" s="472">
        <f t="shared" si="18"/>
        <v>19599.693822732439</v>
      </c>
      <c r="H33" s="472">
        <f t="shared" si="18"/>
        <v>3617.2204313103589</v>
      </c>
      <c r="I33" s="472">
        <f t="shared" si="18"/>
        <v>0</v>
      </c>
      <c r="J33" s="472">
        <f t="shared" si="18"/>
        <v>2.9442838701638188</v>
      </c>
      <c r="K33" s="472">
        <f t="shared" si="18"/>
        <v>0</v>
      </c>
      <c r="L33" s="472">
        <f t="shared" ca="1" si="18"/>
        <v>0</v>
      </c>
      <c r="M33" s="472">
        <f t="shared" si="18"/>
        <v>0</v>
      </c>
      <c r="N33" s="472">
        <f t="shared" ca="1" si="18"/>
        <v>0</v>
      </c>
      <c r="O33" s="472">
        <f t="shared" si="18"/>
        <v>0</v>
      </c>
      <c r="P33" s="472">
        <f t="shared" si="18"/>
        <v>0</v>
      </c>
      <c r="Q33" s="472">
        <f t="shared" ca="1" si="18"/>
        <v>48618.899790499599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1942.5889999999999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1942.5889999999999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0.20761278280741297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0.20761278280741297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2019-07-04T14:25:57Z</dcterms:modified>
</cp:coreProperties>
</file>