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O9"/>
  <c r="I101"/>
  <c r="H8" s="1"/>
  <c r="H10" s="1"/>
  <c r="H101"/>
  <c r="B101"/>
  <c r="C8" s="1"/>
  <c r="C10" s="1"/>
  <c r="C101"/>
  <c r="D101"/>
  <c r="F101"/>
  <c r="G101"/>
  <c r="B20"/>
  <c r="O19"/>
  <c r="C20"/>
  <c r="D102"/>
  <c r="H102"/>
  <c r="E101"/>
  <c r="E8" s="1"/>
  <c r="E10" s="1"/>
  <c r="E102"/>
  <c r="E17" s="1"/>
  <c r="E20" s="1"/>
  <c r="N6" i="17"/>
  <c r="I8" i="18" l="1"/>
  <c r="I10" s="1"/>
  <c r="I17"/>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P32" i="48"/>
  <c r="L10" i="59"/>
  <c r="E10"/>
  <c r="K78" i="14"/>
  <c r="K8" i="59"/>
  <c r="K10" s="1"/>
  <c r="E90" i="14"/>
  <c r="E18" i="59"/>
  <c r="E20" s="1"/>
  <c r="N10"/>
  <c r="D14" i="48"/>
  <c r="Q14" s="1"/>
  <c r="G22" i="14"/>
  <c r="O22"/>
  <c r="P22"/>
  <c r="P25" i="48"/>
  <c r="N78" i="14"/>
  <c r="K90"/>
  <c r="L90"/>
  <c r="H90"/>
  <c r="L13" i="15"/>
  <c r="N13"/>
  <c r="F77" i="14"/>
  <c r="O78"/>
  <c r="N88"/>
  <c r="E78"/>
  <c r="H77"/>
  <c r="H9" i="59" s="1"/>
  <c r="H10" s="1"/>
  <c r="O88" i="14"/>
  <c r="G89"/>
  <c r="G78"/>
  <c r="O31" i="48"/>
  <c r="O27"/>
  <c r="O29"/>
  <c r="P31"/>
  <c r="O24"/>
  <c r="O30"/>
  <c r="P24"/>
  <c r="P30"/>
  <c r="R9" i="14"/>
  <c r="R25"/>
  <c r="B77" l="1"/>
  <c r="B9" i="59" s="1"/>
  <c r="F9"/>
  <c r="C89" i="14"/>
  <c r="C19" i="59" s="1"/>
  <c r="G19"/>
  <c r="G20" s="1"/>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31"/>
  <c r="K30"/>
  <c r="K27"/>
  <c r="K29"/>
  <c r="K25"/>
  <c r="K24"/>
  <c r="K22"/>
  <c r="C24" i="14"/>
  <c r="C26" s="1"/>
  <c r="B7" i="48"/>
  <c r="K5"/>
  <c r="L10" i="14"/>
  <c r="L16" s="1"/>
  <c r="L27" s="1"/>
  <c r="O4" i="48"/>
  <c r="P11" i="14"/>
  <c r="I22" i="48"/>
  <c r="I31"/>
  <c r="I26"/>
  <c r="I32"/>
  <c r="I25"/>
  <c r="I27"/>
  <c r="I24"/>
  <c r="I28"/>
  <c r="I30"/>
  <c r="I29"/>
  <c r="E32"/>
  <c r="E31"/>
  <c r="E28"/>
  <c r="E30"/>
  <c r="E24"/>
  <c r="E29"/>
  <c r="L27"/>
  <c r="L32"/>
  <c r="L29"/>
  <c r="L24"/>
  <c r="L22"/>
  <c r="L28"/>
  <c r="L31"/>
  <c r="L30"/>
  <c r="J29"/>
  <c r="J32"/>
  <c r="J27"/>
  <c r="J30"/>
  <c r="J28"/>
  <c r="J31"/>
  <c r="J24"/>
  <c r="E11" i="14"/>
  <c r="D4" i="48"/>
  <c r="D22" s="1"/>
  <c r="D11" i="14"/>
  <c r="C4" i="48"/>
  <c r="G32"/>
  <c r="G26"/>
  <c r="G24"/>
  <c r="G22"/>
  <c r="G30"/>
  <c r="G29"/>
  <c r="G25"/>
  <c r="G23"/>
  <c r="M32"/>
  <c r="M26"/>
  <c r="M29"/>
  <c r="M25"/>
  <c r="M24"/>
  <c r="M22"/>
  <c r="M30"/>
  <c r="M23"/>
  <c r="D30"/>
  <c r="D29"/>
  <c r="D24"/>
  <c r="D28"/>
  <c r="D31"/>
  <c r="D32"/>
  <c r="P4"/>
  <c r="Q11" i="14"/>
  <c r="H29" i="48"/>
  <c r="H26"/>
  <c r="H32"/>
  <c r="H25"/>
  <c r="H24"/>
  <c r="H28"/>
  <c r="H30"/>
  <c r="H22"/>
  <c r="H23"/>
  <c r="C11" i="14"/>
  <c r="B4" i="48"/>
  <c r="F32"/>
  <c r="F27"/>
  <c r="F29"/>
  <c r="F31"/>
  <c r="F28"/>
  <c r="F24"/>
  <c r="F30"/>
  <c r="N27"/>
  <c r="N32"/>
  <c r="N29"/>
  <c r="N31"/>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Q16" s="1"/>
  <c r="Q27" s="1"/>
  <c r="B9" i="48"/>
  <c r="C20" i="14"/>
  <c r="C22" s="1"/>
  <c r="O5" i="48"/>
  <c r="O23" s="1"/>
  <c r="P10" i="14"/>
  <c r="K33" i="48"/>
  <c r="O22"/>
  <c r="E9"/>
  <c r="F20" i="14"/>
  <c r="F22" s="1"/>
  <c r="D9" i="48"/>
  <c r="D27" s="1"/>
  <c r="E20" i="14"/>
  <c r="E22" s="1"/>
  <c r="K24"/>
  <c r="K26" s="1"/>
  <c r="J7" i="48"/>
  <c r="J25" s="1"/>
  <c r="P22"/>
  <c r="P33" s="1"/>
  <c r="P15"/>
  <c r="J10" i="14"/>
  <c r="J16" s="1"/>
  <c r="J27" s="1"/>
  <c r="I5" i="48"/>
  <c r="K15"/>
  <c r="K23"/>
  <c r="G13"/>
  <c r="H18" i="14"/>
  <c r="H13" i="48"/>
  <c r="H31" s="1"/>
  <c r="I18" i="14"/>
  <c r="F4" i="48"/>
  <c r="F22" s="1"/>
  <c r="G11"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H20"/>
  <c r="H22" s="1"/>
  <c r="H27" s="1"/>
  <c r="G9" i="48"/>
  <c r="O8"/>
  <c r="P13" i="14"/>
  <c r="M10" i="48"/>
  <c r="M28" s="1"/>
  <c r="N19" i="14"/>
  <c r="N22" s="1"/>
  <c r="N27" s="1"/>
  <c r="N63" s="1"/>
  <c r="E7" i="48"/>
  <c r="E25" s="1"/>
  <c r="F24" i="14"/>
  <c r="F26" s="1"/>
  <c r="E27" i="48"/>
  <c r="P46" i="14"/>
  <c r="P61" s="1"/>
  <c r="P63" s="1"/>
  <c r="Q46"/>
  <c r="Q61" s="1"/>
  <c r="Q63" s="1"/>
  <c r="R18"/>
  <c r="H19"/>
  <c r="G10" i="48"/>
  <c r="Q13"/>
  <c r="G31"/>
  <c r="I23"/>
  <c r="I33" s="1"/>
  <c r="I15"/>
  <c r="P16" i="14"/>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J22" i="48"/>
  <c r="H9"/>
  <c r="Q9" s="1"/>
  <c r="I20" i="14"/>
  <c r="M27" i="48"/>
  <c r="M33" s="1"/>
  <c r="M15"/>
  <c r="E20" i="15"/>
  <c r="F40" i="14" s="1"/>
  <c r="E5" i="48"/>
  <c r="E23" s="1"/>
  <c r="F10" i="14"/>
  <c r="K10"/>
  <c r="J5" i="48"/>
  <c r="J23" s="1"/>
  <c r="G27"/>
  <c r="G15"/>
  <c r="E22"/>
  <c r="Q4"/>
  <c r="G28"/>
  <c r="Q10"/>
  <c r="O26"/>
  <c r="O33" s="1"/>
  <c r="O15"/>
  <c r="R11" i="14"/>
  <c r="R19"/>
  <c r="E46"/>
  <c r="E61" s="1"/>
  <c r="M61"/>
  <c r="M27"/>
  <c r="E16"/>
  <c r="E27" s="1"/>
  <c r="L15" i="48"/>
  <c r="R24" i="14"/>
  <c r="R26" s="1"/>
  <c r="L33" i="48"/>
  <c r="Q7"/>
  <c r="D23"/>
  <c r="D33" s="1"/>
  <c r="D15"/>
  <c r="C16" i="14"/>
  <c r="C27" s="1"/>
  <c r="B3" i="6" s="1"/>
  <c r="B12" s="1"/>
  <c r="F23" i="48"/>
  <c r="N23"/>
  <c r="B15"/>
  <c r="F18" i="16"/>
  <c r="E18"/>
  <c r="N18"/>
  <c r="J18"/>
  <c r="G18" i="22"/>
  <c r="H50" i="14" s="1"/>
  <c r="E22" i="16"/>
  <c r="F43"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Q5" i="48"/>
  <c r="H27"/>
  <c r="H33" s="1"/>
  <c r="H15"/>
  <c r="E8"/>
  <c r="E26" s="1"/>
  <c r="F13" i="14"/>
  <c r="I22"/>
  <c r="I27" s="1"/>
  <c r="I63" s="1"/>
  <c r="R20"/>
  <c r="F16"/>
  <c r="F27" s="1"/>
  <c r="F63" s="1"/>
  <c r="G33" i="48"/>
  <c r="E63" i="14"/>
  <c r="E33" i="48"/>
  <c r="J22" i="16"/>
  <c r="K43" i="14" s="1"/>
  <c r="K46" s="1"/>
  <c r="K61" s="1"/>
  <c r="K13"/>
  <c r="K16" s="1"/>
  <c r="K27" s="1"/>
  <c r="J8" i="48"/>
  <c r="R10" i="14"/>
  <c r="E15" i="48"/>
  <c r="F46" i="14"/>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<sst xmlns="http://schemas.openxmlformats.org/spreadsheetml/2006/main" count="2447" uniqueCount="920">
  <si>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</si>
  <si>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</si>
  <si>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</si>
  <si>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</si>
  <si>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</si>
  <si>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</si>
  <si>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</si>
  <si>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</si>
  <si>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</si>
  <si>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</si>
  <si>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</si>
  <si>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</si>
  <si>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</si>
  <si>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</si>
  <si>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</si>
  <si>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</si>
  <si>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</si>
  <si>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</si>
  <si>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</si>
  <si>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</si>
  <si>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</si>
  <si>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</si>
  <si>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</si>
  <si>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</si>
  <si>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</si>
  <si>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</si>
  <si>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</si>
  <si>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</si>
  <si>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</si>
  <si>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</si>
  <si>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</si>
  <si>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</si>
  <si>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</si>
  <si>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</si>
  <si>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</si>
  <si>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</si>
  <si>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</si>
  <si>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</si>
  <si>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</si>
  <si>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</si>
  <si>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</si>
  <si>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</si>
  <si>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</si>
  <si>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</si>
  <si>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</si>
  <si>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</si>
  <si>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</si>
  <si>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</si>
  <si>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</si>
  <si>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</si>
  <si>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</si>
  <si>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</si>
  <si>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</si>
  <si>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</si>
  <si>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</si>
  <si>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</si>
  <si>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</si>
  <si>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</si>
  <si>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</si>
  <si>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</si>
  <si>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</si>
  <si>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</si>
  <si>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</si>
  <si>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</si>
  <si>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</si>
  <si>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</si>
  <si>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</si>
  <si>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</si>
  <si>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</si>
  <si>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</si>
  <si>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</si>
  <si>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</si>
  <si>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</si>
  <si>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</si>
  <si>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</si>
  <si>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</si>
  <si>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</si>
  <si>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</si>
  <si>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</si>
  <si>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</si>
  <si>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</si>
  <si>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</si>
  <si>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</si>
  <si>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</si>
  <si>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</si>
  <si>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</si>
  <si>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</si>
  <si>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</si>
  <si>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</si>
  <si>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</si>
  <si>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</si>
  <si>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</si>
  <si>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</si>
  <si>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</si>
  <si>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</si>
  <si>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</si>
  <si>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</si>
  <si>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</si>
  <si>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</si>
  <si>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</si>
  <si>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</si>
  <si>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</si>
  <si>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</si>
  <si>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</si>
  <si>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</si>
  <si>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</si>
  <si>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</si>
  <si>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</si>
  <si>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</si>
  <si>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</si>
  <si>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</si>
  <si>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</si>
  <si>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</si>
  <si>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</si>
  <si>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</si>
  <si>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</si>
  <si>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</si>
  <si>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</si>
  <si>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</si>
  <si>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</si>
  <si>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</si>
  <si>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</si>
  <si>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</si>
  <si>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</si>
  <si>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</si>
  <si>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</si>
  <si>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</si>
  <si>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</si>
  <si>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</si>
  <si>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</si>
  <si>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</si>
  <si>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</si>
  <si>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</si>
  <si>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</si>
  <si>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</si>
  <si>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</si>
  <si>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</si>
  <si>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</si>
  <si>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</si>
  <si>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</si>
  <si>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</si>
  <si>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</si>
  <si>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</si>
  <si>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</si>
  <si>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</si>
  <si>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</si>
  <si>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</si>
  <si>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</si>
  <si>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</si>
  <si>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</si>
  <si>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</si>
  <si>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</si>
  <si>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</si>
  <si>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</si>
  <si>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</si>
  <si>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</si>
  <si>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</si>
  <si>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</si>
  <si>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</si>
  <si>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</si>
  <si>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</si>
  <si>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</si>
  <si>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</si>
  <si>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</si>
  <si>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</si>
  <si>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</si>
  <si>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</si>
  <si>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</si>
  <si>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</si>
  <si>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</si>
  <si>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</si>
  <si>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</si>
  <si>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</si>
  <si>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</si>
  <si>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</si>
  <si>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</si>
  <si>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</si>
  <si>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</si>
  <si>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</si>
  <si>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</si>
  <si>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</si>
  <si>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</si>
  <si>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</si>
  <si>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</si>
  <si>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</si>
  <si>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</si>
  <si>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</si>
  <si>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</si>
  <si>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</si>
  <si>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</si>
  <si>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</si>
  <si>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</si>
  <si>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</si>
  <si>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</si>
  <si>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</si>
  <si>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</si>
  <si>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</si>
  <si>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</si>
  <si>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</si>
  <si>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</si>
  <si>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</si>
  <si>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</si>
  <si>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</si>
  <si>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</si>
  <si>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</si>
  <si>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</si>
  <si>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</si>
  <si>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</si>
  <si>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</si>
  <si>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</si>
  <si>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</si>
  <si>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</si>
  <si>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</si>
  <si>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</si>
  <si>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</si>
  <si>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</si>
  <si>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</si>
  <si>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</si>
  <si>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</si>
  <si>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</si>
  <si>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</si>
  <si>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</si>
  <si>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</si>
  <si>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</si>
  <si>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</si>
  <si>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</si>
  <si>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</si>
  <si>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</si>
  <si>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</si>
  <si>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</si>
  <si>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</si>
  <si>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</si>
  <si>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</si>
  <si>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</si>
  <si>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</si>
  <si>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</si>
  <si>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</si>
  <si>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</si>
  <si>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</si>
  <si>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</si>
  <si>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</si>
  <si>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</si>
  <si>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</si>
  <si>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</si>
  <si>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</si>
  <si>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</si>
  <si>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</si>
  <si>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</si>
  <si>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</si>
  <si>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</si>
  <si>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</si>
  <si>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</si>
  <si>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</si>
  <si>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</si>
  <si>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</si>
  <si>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</si>
  <si>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</si>
  <si>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</si>
  <si>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</si>
  <si>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</si>
  <si>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</si>
  <si>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</si>
  <si>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</si>
  <si>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</si>
  <si>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</si>
  <si>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</si>
  <si>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</si>
  <si>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</si>
  <si>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</si>
  <si>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</si>
  <si>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</si>
  <si>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</si>
  <si>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</si>
  <si>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</si>
  <si>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</si>
  <si>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</si>
  <si>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</si>
  <si>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</si>
  <si>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</si>
  <si>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</si>
  <si>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</si>
  <si>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</si>
  <si>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</si>
  <si>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</si>
  <si>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</si>
  <si>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</si>
  <si>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</si>
  <si>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</si>
  <si>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</si>
  <si>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</si>
  <si>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</si>
  <si>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</si>
  <si>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</si>
  <si>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</si>
  <si>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</si>
  <si>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</si>
  <si>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</si>
  <si>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</si>
  <si>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</si>
  <si>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</si>
  <si>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</si>
  <si>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</si>
  <si>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</si>
  <si>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</si>
  <si>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</si>
  <si>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</si>
  <si>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</si>
  <si>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</si>
  <si>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</si>
  <si>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</si>
  <si>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</si>
  <si>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</si>
  <si>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</si>
  <si>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</si>
  <si>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</si>
  <si>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</si>
  <si>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</si>
  <si>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</si>
  <si>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</si>
  <si>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</si>
  <si>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</si>
  <si>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</si>
  <si>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</si>
  <si>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</si>
  <si>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</si>
  <si>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</si>
  <si>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</si>
  <si>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</si>
  <si>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</si>
  <si>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</si>
  <si>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</si>
  <si>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</si>
  <si>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</si>
  <si>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</si>
  <si>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</si>
  <si>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</si>
  <si>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</si>
  <si>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</si>
  <si>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</si>
  <si>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</si>
  <si>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</si>
  <si>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</si>
  <si>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</si>
  <si>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</si>
  <si>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</si>
  <si>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</si>
  <si>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</si>
  <si>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</si>
  <si>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</si>
  <si>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</si>
  <si>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</si>
  <si>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</si>
  <si>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</si>
  <si>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</si>
  <si>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</si>
  <si>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</si>
  <si>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</si>
  <si>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</si>
  <si>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</si>
  <si>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</si>
  <si>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</si>
  <si>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</si>
  <si>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</si>
  <si>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</si>
  <si>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</si>
  <si>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</si>
  <si>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</si>
  <si>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</si>
  <si>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</si>
  <si>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</si>
  <si>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</si>
  <si>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</si>
  <si>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</si>
  <si>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</si>
  <si>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</si>
  <si>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</si>
  <si>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</si>
  <si>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</si>
  <si>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</si>
  <si>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</si>
  <si>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</si>
  <si>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</si>
  <si>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</si>
  <si>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</si>
  <si>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</si>
  <si>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</si>
  <si>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</si>
  <si>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</si>
  <si>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</si>
  <si>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</si>
  <si>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</si>
  <si>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</si>
  <si>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</si>
  <si>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</si>
  <si>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</si>
  <si>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</si>
  <si>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</si>
  <si>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</si>
  <si>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</si>
  <si>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</si>
  <si>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</si>
  <si>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</si>
  <si>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</si>
  <si>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</si>
  <si>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</si>
  <si>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</si>
  <si>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</si>
  <si>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</si>
  <si>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</si>
  <si>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</si>
  <si>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</si>
  <si>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</si>
  <si>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</si>
  <si>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</si>
  <si>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</si>
  <si>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</si>
  <si>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</si>
  <si>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</si>
  <si>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</si>
  <si>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</si>
  <si>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</si>
  <si>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</si>
  <si>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</si>
  <si>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</si>
  <si>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</si>
  <si>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</si>
  <si>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</si>
  <si>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</si>
  <si>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</si>
  <si>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</si>
  <si>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</si>
  <si>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</si>
  <si>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</si>
  <si>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</si>
  <si>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</si>
  <si>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</si>
  <si>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</si>
  <si>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</si>
  <si>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</si>
  <si>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</si>
  <si>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</si>
  <si>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</si>
  <si>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</si>
  <si>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</si>
  <si>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</si>
  <si>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</si>
  <si>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</si>
  <si>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</si>
  <si>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</si>
  <si>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</si>
  <si>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</si>
  <si>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</si>
  <si>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</si>
  <si>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</si>
  <si>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</si>
  <si>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</si>
  <si>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</si>
  <si>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</si>
  <si>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</si>
  <si>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</si>
  <si>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</si>
  <si>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</si>
  <si>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</si>
  <si>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</si>
  <si>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</si>
  <si>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</si>
  <si>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</si>
  <si>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</si>
  <si>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</si>
  <si>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</si>
  <si>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</si>
  <si>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</si>
  <si>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</si>
  <si>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</si>
  <si>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</si>
  <si>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</si>
  <si>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</si>
  <si>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</si>
  <si>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</si>
  <si>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</si>
  <si>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</si>
  <si>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</si>
  <si>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</si>
  <si>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</si>
  <si>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</si>
  <si>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</si>
  <si>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</si>
  <si>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</si>
  <si>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</si>
  <si>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</si>
  <si>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</si>
  <si>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</si>
  <si>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</si>
  <si>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</si>
  <si>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</si>
  <si>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</si>
  <si>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</si>
  <si>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</si>
  <si>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</si>
  <si>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</si>
  <si>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</si>
  <si>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</si>
  <si>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</si>
  <si>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</si>
  <si>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</si>
  <si>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</si>
  <si>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</si>
  <si>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</si>
  <si>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</si>
  <si>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</si>
  <si>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</si>
  <si>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</si>
  <si>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</si>
  <si>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</si>
  <si>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</si>
  <si>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</si>
  <si>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</si>
  <si>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</si>
  <si>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</si>
  <si>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</si>
  <si>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</si>
  <si>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</si>
  <si>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</si>
  <si>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</si>
  <si>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</si>
  <si>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</si>
  <si>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</si>
  <si>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</si>
  <si>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</si>
  <si>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</si>
  <si>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</si>
  <si>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</si>
  <si>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</si>
  <si>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</si>
  <si>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</si>
  <si>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</si>
  <si>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</si>
  <si>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</si>
  <si>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</si>
  <si>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</si>
  <si>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</si>
  <si>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</si>
  <si>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</si>
  <si>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</si>
  <si>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</si>
  <si>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</si>
  <si>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</si>
  <si>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</si>
  <si>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</si>
  <si>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</si>
  <si>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</si>
  <si>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</si>
  <si>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</si>
  <si>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</si>
  <si>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</si>
  <si>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</si>
  <si>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</si>
  <si>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</si>
  <si>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</si>
  <si>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</si>
  <si>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</si>
  <si>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</si>
  <si>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</si>
  <si>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</si>
  <si>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</si>
  <si>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</si>
  <si>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</si>
  <si>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</si>
  <si>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</si>
  <si>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</si>
  <si>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</si>
  <si>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</si>
  <si>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</si>
  <si>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</si>
  <si>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</si>
  <si>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</si>
  <si>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</si>
  <si>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</si>
  <si>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</si>
  <si>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</si>
  <si>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</si>
  <si>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</si>
  <si>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</si>
  <si>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</si>
  <si>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</si>
  <si>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</si>
  <si>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</si>
  <si>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</si>
  <si>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</si>
  <si>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</si>
  <si>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</si>
  <si>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</si>
  <si>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</si>
  <si>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</si>
  <si>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</si>
  <si>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</si>
  <si>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</si>
  <si>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</si>
  <si>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</si>
  <si>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</si>
  <si>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</si>
  <si>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</si>
  <si>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</si>
  <si>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</si>
  <si>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</si>
  <si>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</si>
  <si>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</si>
  <si>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</si>
  <si>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</si>
  <si>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</si>
  <si>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</si>
  <si>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</si>
  <si>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</si>
  <si>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</si>
  <si>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</si>
  <si>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</si>
  <si>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</si>
  <si>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</si>
  <si>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</si>
  <si>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</si>
  <si>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</si>
  <si>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</si>
  <si>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</si>
  <si>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</si>
  <si>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</si>
  <si>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</si>
  <si>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</si>
  <si>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</si>
  <si>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</si>
  <si>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</si>
  <si>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</si>
  <si>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</si>
  <si>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</si>
  <si>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</si>
  <si>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</si>
  <si>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</si>
  <si>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</si>
  <si>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</si>
  <si>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</si>
  <si>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</si>
  <si>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</si>
  <si>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</si>
  <si>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</si>
  <si>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</si>
  <si>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</si>
  <si>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</si>
  <si>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</si>
  <si>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</si>
  <si>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</si>
  <si>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</si>
  <si>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</si>
  <si>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</si>
  <si>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</si>
  <si>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</si>
  <si>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</si>
  <si>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</si>
  <si>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</si>
  <si>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</si>
  <si>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</si>
  <si>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</si>
  <si>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</si>
  <si>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</si>
  <si>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</si>
  <si>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</si>
  <si>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</si>
  <si>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</si>
  <si>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</si>
  <si>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</si>
  <si>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</si>
  <si>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</si>
  <si>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</si>
  <si>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</si>
  <si>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</si>
  <si>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</si>
  <si>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</si>
  <si>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</si>
  <si>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</si>
  <si>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</si>
  <si>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</si>
  <si>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</si>
  <si>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</si>
  <si>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</si>
  <si>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</si>
  <si>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</si>
  <si>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</si>
  <si>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</si>
  <si>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</si>
  <si>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</si>
  <si>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</si>
  <si>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</si>
  <si>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</si>
  <si>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</si>
  <si>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</si>
  <si>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</si>
  <si>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</si>
  <si>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</si>
  <si>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</si>
  <si>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</si>
  <si>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</si>
  <si>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</si>
  <si>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</si>
  <si>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</si>
  <si>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</si>
  <si>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</si>
  <si>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</si>
  <si>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</si>
  <si>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</si>
  <si>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</si>
  <si>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</si>
  <si>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</si>
  <si>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</si>
  <si>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</si>
  <si>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</si>
  <si>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</si>
  <si>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</si>
  <si>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</si>
  <si>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</si>
  <si>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</si>
  <si>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</si>
  <si>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</si>
  <si>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</si>
  <si>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</si>
  <si>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</si>
  <si>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</si>
  <si>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</si>
  <si>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</si>
  <si>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</si>
  <si>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</si>
  <si>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</si>
  <si>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</si>
  <si>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</si>
  <si>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</si>
  <si>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</si>
  <si>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</si>
  <si>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</si>
  <si>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</si>
  <si>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</si>
  <si>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</si>
  <si>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</si>
  <si>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</si>
  <si>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</si>
  <si>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</si>
  <si>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</si>
  <si>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</si>
  <si>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</si>
  <si>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</si>
  <si>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</si>
  <si>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</si>
  <si>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</si>
  <si>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</si>
  <si>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</si>
  <si>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</si>
  <si>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</si>
  <si>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</si>
  <si>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</si>
  <si>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</si>
  <si>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</si>
  <si>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</si>
  <si>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</si>
  <si>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</si>
  <si>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</si>
  <si>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</si>
  <si>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</si>
  <si>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</si>
  <si>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</si>
  <si>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</si>
  <si>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</si>
  <si>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</si>
  <si>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</si>
  <si>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</si>
  <si>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</si>
  <si>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</si>
  <si>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</si>
  <si>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</si>
  <si>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</si>
  <si>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</si>
  <si>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</si>
  <si>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</si>
  <si>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</si>
  <si>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</si>
  <si>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</si>
  <si>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</si>
  <si>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</si>
  <si>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</si>
  <si>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</si>
  <si>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</si>
  <si>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</si>
  <si>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</si>
  <si>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</si>
  <si>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</si>
  <si>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</si>
  <si>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</si>
  <si>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</si>
  <si>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</si>
  <si>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</si>
  <si>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</si>
  <si>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</si>
  <si>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</si>
  <si>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</si>
  <si>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</si>
  <si>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</si>
  <si>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</si>
  <si>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</si>
  <si>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</si>
  <si>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</si>
  <si>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</si>
  <si>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</si>
  <si>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</si>
  <si>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</si>
  <si>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</si>
  <si>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</si>
  <si>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</si>
  <si>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</si>
  <si>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</si>
  <si>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</si>
  <si>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</si>
  <si>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</si>
  <si>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</si>
  <si>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</si>
  <si>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</si>
  <si>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</si>
  <si>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</si>
  <si>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</si>
  <si>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</si>
  <si>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</si>
  <si>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</si>
  <si>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</si>
  <si>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</si>
  <si>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</si>
  <si>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</si>
  <si>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</si>
  <si>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</si>
  <si>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</si>
  <si>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</si>
  <si>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</si>
  <si>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</si>
  <si>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</si>
  <si>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</si>
  <si>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</si>
  <si>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</si>
  <si>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</si>
  <si>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</si>
  <si>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</si>
  <si>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</si>
  <si>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</si>
  <si>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</si>
  <si>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</si>
  <si>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</si>
  <si>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</si>
  <si>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</si>
  <si>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</si>
  <si>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</si>
  <si>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</si>
  <si>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</si>
  <si>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</si>
  <si>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</si>
  <si>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</si>
  <si>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</si>
  <si>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</si>
  <si>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</si>
  <si>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</si>
  <si>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</si>
  <si>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</si>
  <si>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</si>
  <si>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</si>
  <si>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</si>
  <si>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</si>
  <si>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</si>
  <si>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</si>
  <si>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</si>
  <si>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</si>
  <si>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</si>
  <si>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</si>
  <si>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</si>
  <si>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</si>
  <si>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</si>
  <si>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</si>
  <si>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</si>
  <si>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</si>
  <si>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</si>
  <si>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</si>
  <si>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</si>
  <si>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</si>
  <si>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</si>
  <si>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</si>
  <si>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</si>
  <si>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</si>
  <si>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</si>
  <si>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</si>
  <si>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</si>
  <si>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</si>
  <si>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</si>
  <si>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</si>
  <si>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</si>
  <si>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</si>
  <si>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</si>
  <si>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</si>
  <si>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</si>
  <si>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</si>
  <si>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</si>
  <si>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</si>
  <si>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</si>
  <si>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</si>
  <si>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24020</t>
  </si>
  <si>
    <t>DIEST</t>
  </si>
  <si>
    <t>Cultuurgrond (ha)</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</si>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</sst>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216795.10742234878</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216795.10742234878</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46366.375163401623</c:v>
                </c:pt>
                <c:pt idx="2">
                  <c:v>21759.246643428214</c:v>
                </c:pt>
                <c:pt idx="3">
                  <c:v>393.8993289984802</c:v>
                </c:pt>
                <c:pt idx="4">
                  <c:v>6302.2330371372691</c:v>
                </c:pt>
                <c:pt idx="5">
                  <c:v>15282.973611857862</c:v>
                </c:pt>
                <c:pt idx="6">
                  <c:v>35125.622423657805</c:v>
                </c:pt>
                <c:pt idx="7">
                  <c:v>822.2971867370785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46366.375163401623</c:v>
                </c:pt>
                <c:pt idx="2">
                  <c:v>21759.246643428214</c:v>
                </c:pt>
                <c:pt idx="3">
                  <c:v>393.8993289984802</c:v>
                </c:pt>
                <c:pt idx="4">
                  <c:v>6302.2330371372691</c:v>
                </c:pt>
                <c:pt idx="5">
                  <c:v>15282.973611857862</c:v>
                </c:pt>
                <c:pt idx="6">
                  <c:v>35125.622423657805</c:v>
                </c:pt>
                <c:pt idx="7">
                  <c:v>822.2971867370785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24020</v>
      </c>
      <c r="B6" s="398"/>
      <c r="C6" s="399"/>
    </row>
    <row r="7" spans="1:7" s="396" customFormat="1" ht="15.75" customHeight="1">
      <c r="A7" s="400" t="str">
        <f>txtMunicipality</f>
        <v>DIEST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0.19596679304870432</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0.19596679304870432</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24020</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9917</v>
      </c>
      <c r="C9" s="338">
        <v>10614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2534</v>
      </c>
    </row>
    <row r="15" spans="1:6">
      <c r="A15" s="1295" t="s">
        <v>184</v>
      </c>
      <c r="B15" s="335">
        <v>300</v>
      </c>
    </row>
    <row r="16" spans="1:6">
      <c r="A16" s="1295" t="s">
        <v>6</v>
      </c>
      <c r="B16" s="335">
        <v>310</v>
      </c>
    </row>
    <row r="17" spans="1:6">
      <c r="A17" s="1295" t="s">
        <v>7</v>
      </c>
      <c r="B17" s="335">
        <v>321</v>
      </c>
    </row>
    <row r="18" spans="1:6">
      <c r="A18" s="1295" t="s">
        <v>8</v>
      </c>
      <c r="B18" s="335">
        <v>490</v>
      </c>
    </row>
    <row r="19" spans="1:6">
      <c r="A19" s="1295" t="s">
        <v>9</v>
      </c>
      <c r="B19" s="335">
        <v>425</v>
      </c>
    </row>
    <row r="20" spans="1:6">
      <c r="A20" s="1295" t="s">
        <v>10</v>
      </c>
      <c r="B20" s="335">
        <v>272</v>
      </c>
    </row>
    <row r="21" spans="1:6">
      <c r="A21" s="1295" t="s">
        <v>11</v>
      </c>
      <c r="B21" s="335">
        <v>1738</v>
      </c>
    </row>
    <row r="22" spans="1:6">
      <c r="A22" s="1295" t="s">
        <v>12</v>
      </c>
      <c r="B22" s="335">
        <v>7712</v>
      </c>
    </row>
    <row r="23" spans="1:6">
      <c r="A23" s="1295" t="s">
        <v>13</v>
      </c>
      <c r="B23" s="335">
        <v>90</v>
      </c>
    </row>
    <row r="24" spans="1:6">
      <c r="A24" s="1295" t="s">
        <v>14</v>
      </c>
      <c r="B24" s="335">
        <v>9</v>
      </c>
    </row>
    <row r="25" spans="1:6">
      <c r="A25" s="1295" t="s">
        <v>15</v>
      </c>
      <c r="B25" s="335">
        <v>531</v>
      </c>
    </row>
    <row r="26" spans="1:6">
      <c r="A26" s="1295" t="s">
        <v>16</v>
      </c>
      <c r="B26" s="335">
        <v>142</v>
      </c>
    </row>
    <row r="27" spans="1:6">
      <c r="A27" s="1295" t="s">
        <v>17</v>
      </c>
      <c r="B27" s="335">
        <v>0</v>
      </c>
    </row>
    <row r="28" spans="1:6" s="341" customFormat="1">
      <c r="A28" s="1296" t="s">
        <v>18</v>
      </c>
      <c r="B28" s="1296">
        <v>138261</v>
      </c>
    </row>
    <row r="29" spans="1:6">
      <c r="A29" s="1296" t="s">
        <v>906</v>
      </c>
      <c r="B29" s="1296">
        <v>152</v>
      </c>
      <c r="C29" s="341"/>
      <c r="D29" s="341"/>
      <c r="E29" s="341"/>
      <c r="F29" s="341"/>
    </row>
    <row r="30" spans="1:6">
      <c r="A30" s="1291" t="s">
        <v>907</v>
      </c>
      <c r="B30" s="1291">
        <v>28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54073</v>
      </c>
    </row>
    <row r="37" spans="1:6">
      <c r="A37" s="1295" t="s">
        <v>25</v>
      </c>
      <c r="B37" s="1295" t="s">
        <v>28</v>
      </c>
      <c r="C37" s="335">
        <v>0</v>
      </c>
      <c r="D37" s="335">
        <v>0</v>
      </c>
      <c r="E37" s="335">
        <v>3</v>
      </c>
      <c r="F37" s="335">
        <v>50609</v>
      </c>
    </row>
    <row r="38" spans="1:6">
      <c r="A38" s="1295" t="s">
        <v>25</v>
      </c>
      <c r="B38" s="1295" t="s">
        <v>29</v>
      </c>
      <c r="C38" s="335">
        <v>1</v>
      </c>
      <c r="D38" s="335">
        <v>17780.575612060999</v>
      </c>
      <c r="E38" s="335">
        <v>0</v>
      </c>
      <c r="F38" s="335">
        <v>0</v>
      </c>
    </row>
    <row r="39" spans="1:6">
      <c r="A39" s="1295" t="s">
        <v>30</v>
      </c>
      <c r="B39" s="1295" t="s">
        <v>31</v>
      </c>
      <c r="C39" s="335">
        <v>4966</v>
      </c>
      <c r="D39" s="335">
        <v>86012870.523871198</v>
      </c>
      <c r="E39" s="335">
        <v>10052</v>
      </c>
      <c r="F39" s="335">
        <v>37721065</v>
      </c>
    </row>
    <row r="40" spans="1:6">
      <c r="A40" s="1295" t="s">
        <v>30</v>
      </c>
      <c r="B40" s="1295" t="s">
        <v>29</v>
      </c>
      <c r="C40" s="335">
        <v>0</v>
      </c>
      <c r="D40" s="335">
        <v>0</v>
      </c>
      <c r="E40" s="335">
        <v>0</v>
      </c>
      <c r="F40" s="335">
        <v>0</v>
      </c>
    </row>
    <row r="41" spans="1:6">
      <c r="A41" s="1295" t="s">
        <v>32</v>
      </c>
      <c r="B41" s="1295" t="s">
        <v>33</v>
      </c>
      <c r="C41" s="335">
        <v>38</v>
      </c>
      <c r="D41" s="335">
        <v>3377833.3795046802</v>
      </c>
      <c r="E41" s="335">
        <v>164</v>
      </c>
      <c r="F41" s="335">
        <v>17187221</v>
      </c>
    </row>
    <row r="42" spans="1:6">
      <c r="A42" s="1295" t="s">
        <v>32</v>
      </c>
      <c r="B42" s="1295" t="s">
        <v>34</v>
      </c>
      <c r="C42" s="335">
        <v>0</v>
      </c>
      <c r="D42" s="335">
        <v>0</v>
      </c>
      <c r="E42" s="335">
        <v>3</v>
      </c>
      <c r="F42" s="335">
        <v>8580</v>
      </c>
    </row>
    <row r="43" spans="1:6">
      <c r="A43" s="1295" t="s">
        <v>32</v>
      </c>
      <c r="B43" s="1295" t="s">
        <v>35</v>
      </c>
      <c r="C43" s="335">
        <v>0</v>
      </c>
      <c r="D43" s="335">
        <v>0</v>
      </c>
      <c r="E43" s="335">
        <v>0</v>
      </c>
      <c r="F43" s="335">
        <v>0</v>
      </c>
    </row>
    <row r="44" spans="1:6">
      <c r="A44" s="1295" t="s">
        <v>32</v>
      </c>
      <c r="B44" s="1295" t="s">
        <v>36</v>
      </c>
      <c r="C44" s="335">
        <v>0</v>
      </c>
      <c r="D44" s="335">
        <v>0</v>
      </c>
      <c r="E44" s="335">
        <v>18</v>
      </c>
      <c r="F44" s="335">
        <v>4779923</v>
      </c>
    </row>
    <row r="45" spans="1:6">
      <c r="A45" s="1295" t="s">
        <v>32</v>
      </c>
      <c r="B45" s="1295" t="s">
        <v>37</v>
      </c>
      <c r="C45" s="335">
        <v>0</v>
      </c>
      <c r="D45" s="335">
        <v>0</v>
      </c>
      <c r="E45" s="335">
        <v>10</v>
      </c>
      <c r="F45" s="335">
        <v>527837</v>
      </c>
    </row>
    <row r="46" spans="1:6">
      <c r="A46" s="1295" t="s">
        <v>32</v>
      </c>
      <c r="B46" s="1295" t="s">
        <v>38</v>
      </c>
      <c r="C46" s="335">
        <v>0</v>
      </c>
      <c r="D46" s="335">
        <v>0</v>
      </c>
      <c r="E46" s="335">
        <v>0</v>
      </c>
      <c r="F46" s="335">
        <v>0</v>
      </c>
    </row>
    <row r="47" spans="1:6">
      <c r="A47" s="1295" t="s">
        <v>32</v>
      </c>
      <c r="B47" s="1295" t="s">
        <v>39</v>
      </c>
      <c r="C47" s="335">
        <v>3</v>
      </c>
      <c r="D47" s="335">
        <v>853199.22973484499</v>
      </c>
      <c r="E47" s="335">
        <v>10</v>
      </c>
      <c r="F47" s="335">
        <v>1532565</v>
      </c>
    </row>
    <row r="48" spans="1:6">
      <c r="A48" s="1295" t="s">
        <v>32</v>
      </c>
      <c r="B48" s="1295" t="s">
        <v>29</v>
      </c>
      <c r="C48" s="335">
        <v>58</v>
      </c>
      <c r="D48" s="335">
        <v>11216446.078089001</v>
      </c>
      <c r="E48" s="335">
        <v>1</v>
      </c>
      <c r="F48" s="335">
        <v>32713</v>
      </c>
    </row>
    <row r="49" spans="1:6">
      <c r="A49" s="1295" t="s">
        <v>32</v>
      </c>
      <c r="B49" s="1295" t="s">
        <v>40</v>
      </c>
      <c r="C49" s="335">
        <v>0</v>
      </c>
      <c r="D49" s="335">
        <v>0</v>
      </c>
      <c r="E49" s="335">
        <v>7</v>
      </c>
      <c r="F49" s="335">
        <v>192265</v>
      </c>
    </row>
    <row r="50" spans="1:6">
      <c r="A50" s="1295" t="s">
        <v>32</v>
      </c>
      <c r="B50" s="1295" t="s">
        <v>41</v>
      </c>
      <c r="C50" s="335">
        <v>12</v>
      </c>
      <c r="D50" s="335">
        <v>5960317.3141807402</v>
      </c>
      <c r="E50" s="335">
        <v>18</v>
      </c>
      <c r="F50" s="335">
        <v>3367553</v>
      </c>
    </row>
    <row r="51" spans="1:6">
      <c r="A51" s="1295" t="s">
        <v>42</v>
      </c>
      <c r="B51" s="1295" t="s">
        <v>43</v>
      </c>
      <c r="C51" s="335">
        <v>0</v>
      </c>
      <c r="D51" s="335">
        <v>0</v>
      </c>
      <c r="E51" s="335">
        <v>62</v>
      </c>
      <c r="F51" s="335">
        <v>1269840</v>
      </c>
    </row>
    <row r="52" spans="1:6">
      <c r="A52" s="1295" t="s">
        <v>42</v>
      </c>
      <c r="B52" s="1295" t="s">
        <v>29</v>
      </c>
      <c r="C52" s="335">
        <v>4</v>
      </c>
      <c r="D52" s="335">
        <v>34180078.404867403</v>
      </c>
      <c r="E52" s="335">
        <v>0</v>
      </c>
      <c r="F52" s="335">
        <v>0</v>
      </c>
    </row>
    <row r="53" spans="1:6">
      <c r="A53" s="1295" t="s">
        <v>44</v>
      </c>
      <c r="B53" s="1295" t="s">
        <v>45</v>
      </c>
      <c r="C53" s="335">
        <v>170</v>
      </c>
      <c r="D53" s="335">
        <v>9220472.6454401892</v>
      </c>
      <c r="E53" s="335">
        <v>0</v>
      </c>
      <c r="F53" s="335">
        <v>0</v>
      </c>
    </row>
    <row r="54" spans="1:6">
      <c r="A54" s="1295" t="s">
        <v>46</v>
      </c>
      <c r="B54" s="1295" t="s">
        <v>47</v>
      </c>
      <c r="C54" s="335">
        <v>0</v>
      </c>
      <c r="D54" s="335">
        <v>0</v>
      </c>
      <c r="E54" s="335">
        <v>5</v>
      </c>
      <c r="F54" s="335">
        <v>2010031</v>
      </c>
    </row>
    <row r="55" spans="1:6">
      <c r="A55" s="1295" t="s">
        <v>46</v>
      </c>
      <c r="B55" s="1295" t="s">
        <v>29</v>
      </c>
      <c r="C55" s="335">
        <v>0</v>
      </c>
      <c r="D55" s="335">
        <v>0</v>
      </c>
      <c r="E55" s="335">
        <v>0</v>
      </c>
      <c r="F55" s="335">
        <v>0</v>
      </c>
    </row>
    <row r="56" spans="1:6">
      <c r="A56" s="1295" t="s">
        <v>48</v>
      </c>
      <c r="B56" s="1295" t="s">
        <v>29</v>
      </c>
      <c r="C56" s="335">
        <v>0</v>
      </c>
      <c r="D56" s="335">
        <v>0</v>
      </c>
      <c r="E56" s="335">
        <v>237</v>
      </c>
      <c r="F56" s="335">
        <v>1802553</v>
      </c>
    </row>
    <row r="57" spans="1:6">
      <c r="A57" s="1295" t="s">
        <v>49</v>
      </c>
      <c r="B57" s="1295" t="s">
        <v>50</v>
      </c>
      <c r="C57" s="335">
        <v>51</v>
      </c>
      <c r="D57" s="335">
        <v>2693726.4291202598</v>
      </c>
      <c r="E57" s="335">
        <v>131</v>
      </c>
      <c r="F57" s="335">
        <v>3115052</v>
      </c>
    </row>
    <row r="58" spans="1:6">
      <c r="A58" s="1295" t="s">
        <v>49</v>
      </c>
      <c r="B58" s="1295" t="s">
        <v>51</v>
      </c>
      <c r="C58" s="335">
        <v>46</v>
      </c>
      <c r="D58" s="335">
        <v>7881860.8829427296</v>
      </c>
      <c r="E58" s="335">
        <v>88</v>
      </c>
      <c r="F58" s="335">
        <v>5338985</v>
      </c>
    </row>
    <row r="59" spans="1:6">
      <c r="A59" s="1295" t="s">
        <v>49</v>
      </c>
      <c r="B59" s="1295" t="s">
        <v>52</v>
      </c>
      <c r="C59" s="335">
        <v>152</v>
      </c>
      <c r="D59" s="335">
        <v>6763336.3683559</v>
      </c>
      <c r="E59" s="335">
        <v>399</v>
      </c>
      <c r="F59" s="335">
        <v>25235269</v>
      </c>
    </row>
    <row r="60" spans="1:6">
      <c r="A60" s="1295" t="s">
        <v>49</v>
      </c>
      <c r="B60" s="1295" t="s">
        <v>53</v>
      </c>
      <c r="C60" s="335">
        <v>89</v>
      </c>
      <c r="D60" s="335">
        <v>4650456.3600694202</v>
      </c>
      <c r="E60" s="335">
        <v>116</v>
      </c>
      <c r="F60" s="335">
        <v>3212580</v>
      </c>
    </row>
    <row r="61" spans="1:6">
      <c r="A61" s="1295" t="s">
        <v>49</v>
      </c>
      <c r="B61" s="1295" t="s">
        <v>54</v>
      </c>
      <c r="C61" s="335">
        <v>206</v>
      </c>
      <c r="D61" s="335">
        <v>12229025.068024499</v>
      </c>
      <c r="E61" s="335">
        <v>573</v>
      </c>
      <c r="F61" s="335">
        <v>7925095</v>
      </c>
    </row>
    <row r="62" spans="1:6">
      <c r="A62" s="1295" t="s">
        <v>49</v>
      </c>
      <c r="B62" s="1295" t="s">
        <v>55</v>
      </c>
      <c r="C62" s="335">
        <v>14</v>
      </c>
      <c r="D62" s="335">
        <v>1870033.81718995</v>
      </c>
      <c r="E62" s="335">
        <v>25</v>
      </c>
      <c r="F62" s="335">
        <v>1542794</v>
      </c>
    </row>
    <row r="63" spans="1:6">
      <c r="A63" s="1295" t="s">
        <v>49</v>
      </c>
      <c r="B63" s="1295" t="s">
        <v>29</v>
      </c>
      <c r="C63" s="335">
        <v>154</v>
      </c>
      <c r="D63" s="335">
        <v>19715661.789633401</v>
      </c>
      <c r="E63" s="335">
        <v>1</v>
      </c>
      <c r="F63" s="335">
        <v>15516</v>
      </c>
    </row>
    <row r="64" spans="1:6">
      <c r="A64" s="1295" t="s">
        <v>56</v>
      </c>
      <c r="B64" s="1295" t="s">
        <v>57</v>
      </c>
      <c r="C64" s="335">
        <v>0</v>
      </c>
      <c r="D64" s="335">
        <v>0</v>
      </c>
      <c r="E64" s="335">
        <v>0</v>
      </c>
      <c r="F64" s="335">
        <v>0</v>
      </c>
    </row>
    <row r="65" spans="1:6">
      <c r="A65" s="1295" t="s">
        <v>56</v>
      </c>
      <c r="B65" s="1295" t="s">
        <v>29</v>
      </c>
      <c r="C65" s="335">
        <v>4</v>
      </c>
      <c r="D65" s="335">
        <v>71463.373999180403</v>
      </c>
      <c r="E65" s="335">
        <v>1</v>
      </c>
      <c r="F65" s="335">
        <v>9041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136869.301879804</v>
      </c>
      <c r="E68" s="335">
        <v>12</v>
      </c>
      <c r="F68" s="335">
        <v>182060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111321110</v>
      </c>
      <c r="E73" s="335">
        <v>115287585.78748953</v>
      </c>
    </row>
    <row r="74" spans="1:6">
      <c r="A74" s="1295" t="s">
        <v>64</v>
      </c>
      <c r="B74" s="1295" t="s">
        <v>727</v>
      </c>
      <c r="C74" s="1295" t="s">
        <v>728</v>
      </c>
      <c r="D74" s="335">
        <v>7585495.2237882027</v>
      </c>
      <c r="E74" s="335">
        <v>7972883.0686778193</v>
      </c>
    </row>
    <row r="75" spans="1:6">
      <c r="A75" s="1295" t="s">
        <v>65</v>
      </c>
      <c r="B75" s="1295" t="s">
        <v>725</v>
      </c>
      <c r="C75" s="1295" t="s">
        <v>729</v>
      </c>
      <c r="D75" s="335">
        <v>17711537</v>
      </c>
      <c r="E75" s="335">
        <v>18337391.17392797</v>
      </c>
    </row>
    <row r="76" spans="1:6">
      <c r="A76" s="1295" t="s">
        <v>65</v>
      </c>
      <c r="B76" s="1295" t="s">
        <v>727</v>
      </c>
      <c r="C76" s="1295" t="s">
        <v>730</v>
      </c>
      <c r="D76" s="335">
        <v>475608.22378820303</v>
      </c>
      <c r="E76" s="335">
        <v>512067.69185506291</v>
      </c>
    </row>
    <row r="77" spans="1:6">
      <c r="A77" s="1295" t="s">
        <v>66</v>
      </c>
      <c r="B77" s="1295" t="s">
        <v>725</v>
      </c>
      <c r="C77" s="1295" t="s">
        <v>731</v>
      </c>
      <c r="D77" s="335">
        <v>36569409</v>
      </c>
      <c r="E77" s="335">
        <v>41943633.421880648</v>
      </c>
    </row>
    <row r="78" spans="1:6">
      <c r="A78" s="1291" t="s">
        <v>66</v>
      </c>
      <c r="B78" s="1291" t="s">
        <v>727</v>
      </c>
      <c r="C78" s="1291" t="s">
        <v>732</v>
      </c>
      <c r="D78" s="1291">
        <v>4173888</v>
      </c>
      <c r="E78" s="1291">
        <v>4964076.6720139021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849821.55242359394</v>
      </c>
      <c r="C83" s="335">
        <v>842377.69569955918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16929.421890000001</v>
      </c>
    </row>
    <row r="91" spans="1:6">
      <c r="A91" s="1295" t="s">
        <v>68</v>
      </c>
      <c r="B91" s="335">
        <v>4255.643</v>
      </c>
    </row>
    <row r="92" spans="1:6">
      <c r="A92" s="1291" t="s">
        <v>69</v>
      </c>
      <c r="B92" s="338">
        <v>7802.366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2946</v>
      </c>
    </row>
    <row r="98" spans="1:6">
      <c r="A98" s="1295" t="s">
        <v>72</v>
      </c>
      <c r="B98" s="335">
        <v>3</v>
      </c>
    </row>
    <row r="99" spans="1:6">
      <c r="A99" s="1295" t="s">
        <v>73</v>
      </c>
      <c r="B99" s="335">
        <v>85</v>
      </c>
    </row>
    <row r="100" spans="1:6">
      <c r="A100" s="1295" t="s">
        <v>74</v>
      </c>
      <c r="B100" s="335">
        <v>484</v>
      </c>
    </row>
    <row r="101" spans="1:6">
      <c r="A101" s="1295" t="s">
        <v>75</v>
      </c>
      <c r="B101" s="335">
        <v>52</v>
      </c>
    </row>
    <row r="102" spans="1:6">
      <c r="A102" s="1295" t="s">
        <v>76</v>
      </c>
      <c r="B102" s="335">
        <v>111</v>
      </c>
    </row>
    <row r="103" spans="1:6">
      <c r="A103" s="1295" t="s">
        <v>77</v>
      </c>
      <c r="B103" s="335">
        <v>132</v>
      </c>
    </row>
    <row r="104" spans="1:6">
      <c r="A104" s="1295" t="s">
        <v>78</v>
      </c>
      <c r="B104" s="335">
        <v>4977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132</v>
      </c>
    </row>
    <row r="130" spans="1:6">
      <c r="A130" s="1295" t="s">
        <v>295</v>
      </c>
      <c r="B130" s="335">
        <v>1</v>
      </c>
    </row>
    <row r="131" spans="1:6">
      <c r="A131" s="1295" t="s">
        <v>296</v>
      </c>
      <c r="B131" s="335">
        <v>0</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121106.87252572225</v>
      </c>
      <c r="C3" s="43" t="s">
        <v>170</v>
      </c>
      <c r="D3" s="43"/>
      <c r="E3" s="156"/>
      <c r="F3" s="43"/>
      <c r="G3" s="43"/>
      <c r="H3" s="43"/>
      <c r="I3" s="43"/>
      <c r="J3" s="43"/>
      <c r="K3" s="96"/>
    </row>
    <row r="4" spans="1:11">
      <c r="A4" s="366" t="s">
        <v>171</v>
      </c>
      <c r="B4" s="49">
        <f>IF(ISERROR('SEAP template'!B78),0,'SEAP template'!B78)</f>
        <v>28987.430890000003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3374.5288235294115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0.19596679304870432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4820.7554621848731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20285.357142857141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2010.0309999999999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2010.0309999999999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0.19596679304870432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393.8993289984802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37721.065000000002</v>
      </c>
      <c r="C5" s="17">
        <f>IF(ISERROR('Eigen informatie GS &amp; warmtenet'!B57),0,'Eigen informatie GS &amp; warmtenet'!B57)</f>
        <v>0</v>
      </c>
      <c r="D5" s="30">
        <f>(SUM(HH_hh_gas_kWh,HH_rest_gas_kWh)/1000)*0.902</f>
        <v>77583.609212531825</v>
      </c>
      <c r="E5" s="17">
        <f>B46*B57</f>
        <v>5022.6917904090851</v>
      </c>
      <c r="F5" s="17">
        <f>B51*B62</f>
        <v>79881.251747361195</v>
      </c>
      <c r="G5" s="18"/>
      <c r="H5" s="17"/>
      <c r="I5" s="17"/>
      <c r="J5" s="17">
        <f>B50*B61+C50*C61</f>
        <v>0</v>
      </c>
      <c r="K5" s="17"/>
      <c r="L5" s="17"/>
      <c r="M5" s="17"/>
      <c r="N5" s="17">
        <f>B48*B59+C48*C59</f>
        <v>11519.350005379991</v>
      </c>
      <c r="O5" s="17">
        <f>B69*B70*B71</f>
        <v>220.43000000000004</v>
      </c>
      <c r="P5" s="17">
        <f>B77*B78*B79/1000-B77*B78*B79/1000/B80</f>
        <v>591.06666666666661</v>
      </c>
    </row>
    <row r="6" spans="1:16">
      <c r="A6" s="16" t="s">
        <v>634</v>
      </c>
      <c r="B6" s="783">
        <f>kWh_PV_kleiner_dan_10kW</f>
        <v>4255.643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41976.707999999999</v>
      </c>
      <c r="C8" s="21">
        <f>C5</f>
        <v>0</v>
      </c>
      <c r="D8" s="21">
        <f>D5</f>
        <v>77583.609212531825</v>
      </c>
      <c r="E8" s="21">
        <f>E5</f>
        <v>5022.6917904090851</v>
      </c>
      <c r="F8" s="21">
        <f>F5</f>
        <v>79881.251747361195</v>
      </c>
      <c r="G8" s="21"/>
      <c r="H8" s="21"/>
      <c r="I8" s="21"/>
      <c r="J8" s="21">
        <f>J5</f>
        <v>0</v>
      </c>
      <c r="K8" s="21"/>
      <c r="L8" s="21">
        <f>L5</f>
        <v>0</v>
      </c>
      <c r="M8" s="21">
        <f>M5</f>
        <v>0</v>
      </c>
      <c r="N8" s="21">
        <f>N5</f>
        <v>11519.350005379991</v>
      </c>
      <c r="O8" s="21">
        <f>O5</f>
        <v>220.43000000000004</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0.19596679304870432</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8226.040849501891</v>
      </c>
      <c r="C12" s="23">
        <f ca="1">C10*C8</f>
        <v>0</v>
      </c>
      <c r="D12" s="23">
        <f>D8*D10</f>
        <v>15671.889060931429</v>
      </c>
      <c r="E12" s="23">
        <f>E10*E8</f>
        <v>1140.1510364228623</v>
      </c>
      <c r="F12" s="23">
        <f>F10*F8</f>
        <v>21328.294216545441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2946</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13.687600644122384</v>
      </c>
      <c r="D20" s="231"/>
      <c r="E20" s="15"/>
    </row>
    <row r="21" spans="1:7">
      <c r="A21" s="173" t="s">
        <v>74</v>
      </c>
      <c r="B21" s="37">
        <f>aantalw2001_elektriciteit</f>
        <v>484</v>
      </c>
      <c r="C21" s="169">
        <f>IF(ISERROR(B21/SUM($B$20,$B$21,$B$22)*100),0,B21/SUM($B$20,$B$21,$B$22)*100)</f>
        <v>77.938808373590987</v>
      </c>
      <c r="D21" s="231"/>
      <c r="E21" s="15"/>
    </row>
    <row r="22" spans="1:7">
      <c r="A22" s="173" t="s">
        <v>75</v>
      </c>
      <c r="B22" s="37">
        <f>aantalw2001_hout</f>
        <v>52</v>
      </c>
      <c r="C22" s="169">
        <f>IF(ISERROR(B22/SUM($B$20,$B$21,$B$22)*100),0,B22/SUM($B$20,$B$21,$B$22)*100)</f>
        <v>8.3735909822866343</v>
      </c>
      <c r="D22" s="231"/>
      <c r="E22" s="15"/>
    </row>
    <row r="23" spans="1:7">
      <c r="A23" s="173" t="s">
        <v>76</v>
      </c>
      <c r="B23" s="37">
        <f>aantalw2001_niet_gespec</f>
        <v>111</v>
      </c>
      <c r="C23" s="168" t="s">
        <v>111</v>
      </c>
      <c r="D23" s="230"/>
      <c r="E23" s="15"/>
    </row>
    <row r="24" spans="1:7">
      <c r="A24" s="173" t="s">
        <v>77</v>
      </c>
      <c r="B24" s="37">
        <f>aantalw2001_steenkool</f>
        <v>132</v>
      </c>
      <c r="C24" s="168" t="s">
        <v>111</v>
      </c>
      <c r="D24" s="231"/>
      <c r="E24" s="15"/>
    </row>
    <row r="25" spans="1:7">
      <c r="A25" s="173" t="s">
        <v>78</v>
      </c>
      <c r="B25" s="37">
        <f>aantalw2001_stookolie</f>
        <v>4977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9917</v>
      </c>
      <c r="C28" s="36"/>
      <c r="D28" s="230"/>
    </row>
    <row r="29" spans="1:7" s="15" customFormat="1">
      <c r="A29" s="232" t="s">
        <v>746</v>
      </c>
      <c r="B29" s="37">
        <f>SUM(HH_hh_gas_aantal,HH_rest_gas_aantal)</f>
        <v>4966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4966</v>
      </c>
      <c r="C32" s="169">
        <f>IF(ISERROR(B32/SUM($B$32,$B$34,$B$35,$B$36,$B$38,$B$39)*100),0,B32/SUM($B$32,$B$34,$B$35,$B$36,$B$38,$B$39)*100)</f>
        <v>50.232652235484522</v>
      </c>
      <c r="D32" s="235"/>
      <c r="G32" s="15"/>
    </row>
    <row r="33" spans="1:7">
      <c r="A33" s="173" t="s">
        <v>72</v>
      </c>
      <c r="B33" s="34" t="s">
        <v>111</v>
      </c>
      <c r="C33" s="169"/>
      <c r="D33" s="235"/>
      <c r="G33" s="15"/>
    </row>
    <row r="34" spans="1:7">
      <c r="A34" s="173" t="s">
        <v>73</v>
      </c>
      <c r="B34" s="33">
        <f>IF((($B$28-$B$32-$B$39-$B$77-$B$38)*C20/100)&lt;0,0,($B$28-$B$32-$B$39-$B$77-$B$38)*C20/100)</f>
        <v>241.03864734299518</v>
      </c>
      <c r="C34" s="169">
        <f>IF(ISERROR(B34/SUM($B$32,$B$34,$B$35,$B$36,$B$38,$B$39)*100),0,B34/SUM($B$32,$B$34,$B$35,$B$36,$B$38,$B$39)*100)</f>
        <v>2.4381817453266756</v>
      </c>
      <c r="D34" s="235"/>
      <c r="G34" s="15"/>
    </row>
    <row r="35" spans="1:7">
      <c r="A35" s="173" t="s">
        <v>74</v>
      </c>
      <c r="B35" s="33">
        <f>IF((($B$28-$B$32-$B$39-$B$77-$B$38)*C21/100)&lt;0,0,($B$28-$B$32-$B$39-$B$77-$B$38)*C21/100)</f>
        <v>1372.5024154589371</v>
      </c>
      <c r="C35" s="169">
        <f>IF(ISERROR(B35/SUM($B$32,$B$34,$B$35,$B$36,$B$38,$B$39)*100),0,B35/SUM($B$32,$B$34,$B$35,$B$36,$B$38,$B$39)*100)</f>
        <v>13.883293702801305</v>
      </c>
      <c r="D35" s="235"/>
      <c r="G35" s="15"/>
    </row>
    <row r="36" spans="1:7">
      <c r="A36" s="173" t="s">
        <v>75</v>
      </c>
      <c r="B36" s="33">
        <f>IF((($B$28-$B$32-$B$39-$B$77-$B$38)*C22/100)&lt;0,0,($B$28-$B$32-$B$39-$B$77-$B$38)*C22/100)</f>
        <v>147.45893719806764</v>
      </c>
      <c r="C36" s="169">
        <f>IF(ISERROR(B36/SUM($B$32,$B$34,$B$35,$B$36,$B$38,$B$39)*100),0,B36/SUM($B$32,$B$34,$B$35,$B$36,$B$38,$B$39)*100)</f>
        <v>1.4915935383174959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3159</v>
      </c>
      <c r="C39" s="169">
        <f>IF(ISERROR(B39/SUM($B$32,$B$34,$B$35,$B$36,$B$38,$B$39)*100),0,B39/SUM($B$32,$B$34,$B$35,$B$36,$B$38,$B$39)*100)</f>
        <v>31.954278778069998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4966</v>
      </c>
      <c r="C44" s="34" t="s">
        <v>111</v>
      </c>
      <c r="D44" s="176"/>
    </row>
    <row r="45" spans="1:7">
      <c r="A45" s="173" t="s">
        <v>72</v>
      </c>
      <c r="B45" s="33" t="str">
        <f t="shared" si="0"/>
        <v>-</v>
      </c>
      <c r="C45" s="34" t="s">
        <v>111</v>
      </c>
      <c r="D45" s="176"/>
    </row>
    <row r="46" spans="1:7">
      <c r="A46" s="173" t="s">
        <v>73</v>
      </c>
      <c r="B46" s="33">
        <f t="shared" si="0"/>
        <v>241.03864734299518</v>
      </c>
      <c r="C46" s="34" t="s">
        <v>111</v>
      </c>
      <c r="D46" s="176"/>
    </row>
    <row r="47" spans="1:7">
      <c r="A47" s="173" t="s">
        <v>74</v>
      </c>
      <c r="B47" s="33">
        <f t="shared" si="0"/>
        <v>1372.5024154589371</v>
      </c>
      <c r="C47" s="34" t="s">
        <v>111</v>
      </c>
      <c r="D47" s="176"/>
    </row>
    <row r="48" spans="1:7">
      <c r="A48" s="173" t="s">
        <v>75</v>
      </c>
      <c r="B48" s="33">
        <f t="shared" si="0"/>
        <v>147.45893719806764</v>
      </c>
      <c r="C48" s="33">
        <f>B48*10</f>
        <v>1474.5893719806763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46385.291000000012</v>
      </c>
      <c r="C5" s="17">
        <f>IF(ISERROR('Eigen informatie GS &amp; warmtenet'!B58),0,'Eigen informatie GS &amp; warmtenet'!B58)</f>
        <v>0</v>
      </c>
      <c r="D5" s="30">
        <f>SUM(D6:D12)</f>
        <v>50335.298845233221</v>
      </c>
      <c r="E5" s="17">
        <f>SUM(E6:E12)</f>
        <v>597.13041905784803</v>
      </c>
      <c r="F5" s="17">
        <f>SUM(F6:F12)</f>
        <v>8865.2529447264642</v>
      </c>
      <c r="G5" s="18"/>
      <c r="H5" s="17"/>
      <c r="I5" s="17"/>
      <c r="J5" s="17">
        <f>SUM(J6:J12)</f>
        <v>0</v>
      </c>
      <c r="K5" s="17"/>
      <c r="L5" s="17"/>
      <c r="M5" s="17"/>
      <c r="N5" s="17">
        <f>SUM(N6:N12)</f>
        <v>2305.3376155495407</v>
      </c>
      <c r="O5" s="17">
        <f>B38*B39*B40</f>
        <v>1.5633333333333335</v>
      </c>
      <c r="P5" s="17">
        <f>B46*B47*B48/1000-B46*B47*B48/1000/B49</f>
        <v>0</v>
      </c>
      <c r="R5" s="32"/>
    </row>
    <row r="6" spans="1:18">
      <c r="A6" s="32" t="s">
        <v>54</v>
      </c>
      <c r="B6" s="37">
        <f>B26</f>
        <v>7925.0950000000003</v>
      </c>
      <c r="C6" s="33"/>
      <c r="D6" s="37">
        <f>IF(ISERROR(TER_kantoor_gas_kWh/1000),0,TER_kantoor_gas_kWh/1000)*0.902</f>
        <v>11030.580611358098</v>
      </c>
      <c r="E6" s="33">
        <f>$C$26*'E Balans VL '!I12/100/3.6*1000000</f>
        <v>30.790671915370606</v>
      </c>
      <c r="F6" s="33">
        <f>$C$26*('E Balans VL '!L12+'E Balans VL '!N12)/100/3.6*1000000</f>
        <v>1205.3348368848165</v>
      </c>
      <c r="G6" s="34"/>
      <c r="H6" s="33"/>
      <c r="I6" s="33"/>
      <c r="J6" s="33">
        <f>$C$26*('E Balans VL '!D12+'E Balans VL '!E12)/100/3.6*1000000</f>
        <v>0</v>
      </c>
      <c r="K6" s="33"/>
      <c r="L6" s="33"/>
      <c r="M6" s="33"/>
      <c r="N6" s="33">
        <f>$C$26*'E Balans VL '!Y12/100/3.6*1000000</f>
        <v>4.3676767480001066</v>
      </c>
      <c r="O6" s="33"/>
      <c r="P6" s="33"/>
      <c r="R6" s="32"/>
    </row>
    <row r="7" spans="1:18">
      <c r="A7" s="32" t="s">
        <v>53</v>
      </c>
      <c r="B7" s="37">
        <f t="shared" ref="B7:B12" si="0">B27</f>
        <v>3212.58</v>
      </c>
      <c r="C7" s="33"/>
      <c r="D7" s="37">
        <f>IF(ISERROR(TER_horeca_gas_kWh/1000),0,TER_horeca_gas_kWh/1000)*0.902</f>
        <v>4194.7116367826166</v>
      </c>
      <c r="E7" s="33">
        <f>$C$27*'E Balans VL '!I9/100/3.6*1000000</f>
        <v>180.96549030158707</v>
      </c>
      <c r="F7" s="33">
        <f>$C$27*('E Balans VL '!L9+'E Balans VL '!N9)/100/3.6*1000000</f>
        <v>926.31573876169011</v>
      </c>
      <c r="G7" s="34"/>
      <c r="H7" s="33"/>
      <c r="I7" s="33"/>
      <c r="J7" s="33">
        <f>$C$27*('E Balans VL '!D9+'E Balans VL '!E9)/100/3.6*1000000</f>
        <v>0</v>
      </c>
      <c r="K7" s="33"/>
      <c r="L7" s="33"/>
      <c r="M7" s="33"/>
      <c r="N7" s="33">
        <f>$C$27*'E Balans VL '!Y9/100/3.6*1000000</f>
        <v>0.88697664386361996</v>
      </c>
      <c r="O7" s="33"/>
      <c r="P7" s="33"/>
      <c r="R7" s="32"/>
    </row>
    <row r="8" spans="1:18">
      <c r="A8" s="6" t="s">
        <v>52</v>
      </c>
      <c r="B8" s="37">
        <f t="shared" si="0"/>
        <v>25235.269</v>
      </c>
      <c r="C8" s="33"/>
      <c r="D8" s="37">
        <f>IF(ISERROR(TER_handel_gas_kWh/1000),0,TER_handel_gas_kWh/1000)*0.902</f>
        <v>6100.5294042570222</v>
      </c>
      <c r="E8" s="33">
        <f>$C$28*'E Balans VL '!I13/100/3.6*1000000</f>
        <v>363.72584104113173</v>
      </c>
      <c r="F8" s="33">
        <f>$C$28*('E Balans VL '!L13+'E Balans VL '!N13)/100/3.6*1000000</f>
        <v>4383.9539150583787</v>
      </c>
      <c r="G8" s="34"/>
      <c r="H8" s="33"/>
      <c r="I8" s="33"/>
      <c r="J8" s="33">
        <f>$C$28*('E Balans VL '!D13+'E Balans VL '!E13)/100/3.6*1000000</f>
        <v>0</v>
      </c>
      <c r="K8" s="33"/>
      <c r="L8" s="33"/>
      <c r="M8" s="33"/>
      <c r="N8" s="33">
        <f>$C$28*'E Balans VL '!Y13/100/3.6*1000000</f>
        <v>75.607675172016002</v>
      </c>
      <c r="O8" s="33"/>
      <c r="P8" s="33"/>
      <c r="R8" s="32"/>
    </row>
    <row r="9" spans="1:18">
      <c r="A9" s="32" t="s">
        <v>51</v>
      </c>
      <c r="B9" s="37">
        <f t="shared" si="0"/>
        <v>5338.9849999999997</v>
      </c>
      <c r="C9" s="33"/>
      <c r="D9" s="37">
        <f>IF(ISERROR(TER_gezond_gas_kWh/1000),0,TER_gezond_gas_kWh/1000)*0.902</f>
        <v>7109.4385164143423</v>
      </c>
      <c r="E9" s="33">
        <f>$C$29*'E Balans VL '!I10/100/3.6*1000000</f>
        <v>5.7034197940930369</v>
      </c>
      <c r="F9" s="33">
        <f>$C$29*('E Balans VL '!L10+'E Balans VL '!N10)/100/3.6*1000000</f>
        <v>870.95071134291447</v>
      </c>
      <c r="G9" s="34"/>
      <c r="H9" s="33"/>
      <c r="I9" s="33"/>
      <c r="J9" s="33">
        <f>$C$29*('E Balans VL '!D10+'E Balans VL '!E10)/100/3.6*1000000</f>
        <v>0</v>
      </c>
      <c r="K9" s="33"/>
      <c r="L9" s="33"/>
      <c r="M9" s="33"/>
      <c r="N9" s="33">
        <f>$C$29*'E Balans VL '!Y10/100/3.6*1000000</f>
        <v>54.961804210934901</v>
      </c>
      <c r="O9" s="33"/>
      <c r="P9" s="33"/>
      <c r="R9" s="32"/>
    </row>
    <row r="10" spans="1:18">
      <c r="A10" s="32" t="s">
        <v>50</v>
      </c>
      <c r="B10" s="37">
        <f t="shared" si="0"/>
        <v>3115.0520000000001</v>
      </c>
      <c r="C10" s="33"/>
      <c r="D10" s="37">
        <f>IF(ISERROR(TER_ander_gas_kWh/1000),0,TER_ander_gas_kWh/1000)*0.902</f>
        <v>2429.7412390664745</v>
      </c>
      <c r="E10" s="33">
        <f>$C$30*'E Balans VL '!I14/100/3.6*1000000</f>
        <v>14.325650313416336</v>
      </c>
      <c r="F10" s="33">
        <f>$C$30*('E Balans VL '!L14+'E Balans VL '!N14)/100/3.6*1000000</f>
        <v>933.67934197130319</v>
      </c>
      <c r="G10" s="34"/>
      <c r="H10" s="33"/>
      <c r="I10" s="33"/>
      <c r="J10" s="33">
        <f>$C$30*('E Balans VL '!D14+'E Balans VL '!E14)/100/3.6*1000000</f>
        <v>0</v>
      </c>
      <c r="K10" s="33"/>
      <c r="L10" s="33"/>
      <c r="M10" s="33"/>
      <c r="N10" s="33">
        <f>$C$30*'E Balans VL '!Y14/100/3.6*1000000</f>
        <v>2168.2818189770155</v>
      </c>
      <c r="O10" s="33"/>
      <c r="P10" s="33"/>
      <c r="R10" s="32"/>
    </row>
    <row r="11" spans="1:18">
      <c r="A11" s="32" t="s">
        <v>55</v>
      </c>
      <c r="B11" s="37">
        <f t="shared" si="0"/>
        <v>1542.7940000000001</v>
      </c>
      <c r="C11" s="33"/>
      <c r="D11" s="37">
        <f>IF(ISERROR(TER_onderwijs_gas_kWh/1000),0,TER_onderwijs_gas_kWh/1000)*0.902</f>
        <v>1686.7705031053349</v>
      </c>
      <c r="E11" s="33">
        <f>$C$31*'E Balans VL '!I11/100/3.6*1000000</f>
        <v>1.4311443259539911</v>
      </c>
      <c r="F11" s="33">
        <f>$C$31*('E Balans VL '!L11+'E Balans VL '!N11)/100/3.6*1000000</f>
        <v>541.94807362924689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15.516</v>
      </c>
      <c r="C12" s="33"/>
      <c r="D12" s="37">
        <f>IF(ISERROR(TER_rest_gas_kWh/1000),0,TER_rest_gas_kWh/1000)*0.902</f>
        <v>17783.526934249327</v>
      </c>
      <c r="E12" s="33">
        <f>$C$32*'E Balans VL '!I8/100/3.6*1000000</f>
        <v>0.18820136629523351</v>
      </c>
      <c r="F12" s="33">
        <f>$C$32*('E Balans VL '!L8+'E Balans VL '!N8)/100/3.6*1000000</f>
        <v>3.070327078114905</v>
      </c>
      <c r="G12" s="34"/>
      <c r="H12" s="33"/>
      <c r="I12" s="33"/>
      <c r="J12" s="33">
        <f>$C$32*('E Balans VL '!D8+'E Balans VL '!E8)/100/3.6*1000000</f>
        <v>0</v>
      </c>
      <c r="K12" s="33"/>
      <c r="L12" s="33"/>
      <c r="M12" s="33"/>
      <c r="N12" s="33">
        <f>$C$32*'E Balans VL '!Y8/100/3.6*1000000</f>
        <v>1.2316637977106089</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46410.041000000012</v>
      </c>
      <c r="C16" s="21">
        <f t="shared" ca="1" si="1"/>
        <v>35.357142857142861</v>
      </c>
      <c r="D16" s="21">
        <f t="shared" ca="1" si="1"/>
        <v>50264.584559518938</v>
      </c>
      <c r="E16" s="21">
        <f t="shared" si="1"/>
        <v>597.13041905784803</v>
      </c>
      <c r="F16" s="21">
        <f t="shared" ca="1" si="1"/>
        <v>8865.2529447264642</v>
      </c>
      <c r="G16" s="21">
        <f t="shared" si="1"/>
        <v>0</v>
      </c>
      <c r="H16" s="21">
        <f t="shared" si="1"/>
        <v>0</v>
      </c>
      <c r="I16" s="21">
        <f t="shared" si="1"/>
        <v>0</v>
      </c>
      <c r="J16" s="21">
        <f t="shared" si="1"/>
        <v>0</v>
      </c>
      <c r="K16" s="21">
        <f t="shared" si="1"/>
        <v>0</v>
      </c>
      <c r="L16" s="21">
        <f t="shared" ca="1" si="1"/>
        <v>0</v>
      </c>
      <c r="M16" s="21">
        <f t="shared" si="1"/>
        <v>0</v>
      </c>
      <c r="N16" s="21">
        <f t="shared" ca="1" si="1"/>
        <v>2305.3376155495407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0.19596679304870432</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9094.8269000288856</v>
      </c>
      <c r="C20" s="23">
        <f t="shared" ref="C20:P20" ca="1" si="2">C16*C18</f>
        <v>8.4025210084033617</v>
      </c>
      <c r="D20" s="23">
        <f t="shared" ca="1" si="2"/>
        <v>10153.446081022827</v>
      </c>
      <c r="E20" s="23">
        <f t="shared" si="2"/>
        <v>135.54860512613152</v>
      </c>
      <c r="F20" s="23">
        <f t="shared" ca="1" si="2"/>
        <v>2367.022536241966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7925.0950000000003</v>
      </c>
      <c r="C26" s="39">
        <f>IF(ISERROR(B26*3.6/1000000/'E Balans VL '!Z12*100),0,B26*3.6/1000000/'E Balans VL '!Z12*100)</f>
        <v>0.16833294338174434</v>
      </c>
      <c r="D26" s="239" t="s">
        <v>692</v>
      </c>
      <c r="F26" s="6"/>
    </row>
    <row r="27" spans="1:18">
      <c r="A27" s="233" t="s">
        <v>53</v>
      </c>
      <c r="B27" s="33">
        <f>IF(ISERROR(TER_horeca_ele_kWh/1000),0,TER_horeca_ele_kWh/1000)</f>
        <v>3212.58</v>
      </c>
      <c r="C27" s="39">
        <f>IF(ISERROR(B27*3.6/1000000/'E Balans VL '!Z9*100),0,B27*3.6/1000000/'E Balans VL '!Z9*100)</f>
        <v>0.24979765986373148</v>
      </c>
      <c r="D27" s="239" t="s">
        <v>692</v>
      </c>
      <c r="F27" s="6"/>
    </row>
    <row r="28" spans="1:18">
      <c r="A28" s="173" t="s">
        <v>52</v>
      </c>
      <c r="B28" s="33">
        <f>IF(ISERROR(TER_handel_ele_kWh/1000),0,TER_handel_ele_kWh/1000)</f>
        <v>25235.269</v>
      </c>
      <c r="C28" s="39">
        <f>IF(ISERROR(B28*3.6/1000000/'E Balans VL '!Z13*100),0,B28*3.6/1000000/'E Balans VL '!Z13*100)</f>
        <v>0.72201074503067697</v>
      </c>
      <c r="D28" s="239" t="s">
        <v>692</v>
      </c>
      <c r="F28" s="6"/>
    </row>
    <row r="29" spans="1:18">
      <c r="A29" s="233" t="s">
        <v>51</v>
      </c>
      <c r="B29" s="33">
        <f>IF(ISERROR(TER_gezond_ele_kWh/1000),0,TER_gezond_ele_kWh/1000)</f>
        <v>5338.9849999999997</v>
      </c>
      <c r="C29" s="39">
        <f>IF(ISERROR(B29*3.6/1000000/'E Balans VL '!Z10*100),0,B29*3.6/1000000/'E Balans VL '!Z10*100)</f>
        <v>0.58207342813228202</v>
      </c>
      <c r="D29" s="239" t="s">
        <v>692</v>
      </c>
      <c r="F29" s="6"/>
    </row>
    <row r="30" spans="1:18">
      <c r="A30" s="233" t="s">
        <v>50</v>
      </c>
      <c r="B30" s="33">
        <f>IF(ISERROR(TER_ander_ele_kWh/1000),0,TER_ander_ele_kWh/1000)</f>
        <v>3115.0520000000001</v>
      </c>
      <c r="C30" s="39">
        <f>IF(ISERROR(B30*3.6/1000000/'E Balans VL '!Z14*100),0,B30*3.6/1000000/'E Balans VL '!Z14*100)</f>
        <v>0.22795243903204845</v>
      </c>
      <c r="D30" s="239" t="s">
        <v>692</v>
      </c>
      <c r="F30" s="6"/>
    </row>
    <row r="31" spans="1:18">
      <c r="A31" s="233" t="s">
        <v>55</v>
      </c>
      <c r="B31" s="33">
        <f>IF(ISERROR(TER_onderwijs_ele_kWh/1000),0,TER_onderwijs_ele_kWh/1000)</f>
        <v>1542.7940000000001</v>
      </c>
      <c r="C31" s="39">
        <f>IF(ISERROR(B31*3.6/1000000/'E Balans VL '!Z11*100),0,B31*3.6/1000000/'E Balans VL '!Z11*100)</f>
        <v>0.30987132054723332</v>
      </c>
      <c r="D31" s="239" t="s">
        <v>692</v>
      </c>
    </row>
    <row r="32" spans="1:18">
      <c r="A32" s="233" t="s">
        <v>260</v>
      </c>
      <c r="B32" s="33">
        <f>IF(ISERROR(TER_rest_ele_kWh/1000),0,TER_rest_ele_kWh/1000)</f>
        <v>15.516</v>
      </c>
      <c r="C32" s="39">
        <f>IF(ISERROR(B32*3.6/1000000/'E Balans VL '!Z8*100),0,B32*3.6/1000000/'E Balans VL '!Z8*100)</f>
        <v>1.264459838180286E-4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27628.656999999999</v>
      </c>
      <c r="C5" s="17">
        <f>IF(ISERROR('Eigen informatie GS &amp; warmtenet'!B59),0,'Eigen informatie GS &amp; warmtenet'!B59)</f>
        <v>0</v>
      </c>
      <c r="D5" s="30">
        <f>SUM(D6:D15)</f>
        <v>19309.83199336136</v>
      </c>
      <c r="E5" s="17">
        <f>SUM(E6:E15)</f>
        <v>5086.1926457868758</v>
      </c>
      <c r="F5" s="17">
        <f>SUM(F6:F15)</f>
        <v>18024.154967244252</v>
      </c>
      <c r="G5" s="18"/>
      <c r="H5" s="17"/>
      <c r="I5" s="17"/>
      <c r="J5" s="17">
        <f>SUM(J6:J15)</f>
        <v>3.031451464392092</v>
      </c>
      <c r="K5" s="17"/>
      <c r="L5" s="17"/>
      <c r="M5" s="17"/>
      <c r="N5" s="17">
        <f>SUM(N6:N15)</f>
        <v>10013.615091101972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4779.9229999999998</v>
      </c>
      <c r="C8" s="33"/>
      <c r="D8" s="37">
        <f>IF( ISERROR(IND_metaal_Gas_kWH/1000),0,IND_metaal_Gas_kWH/1000)*0.902</f>
        <v>0</v>
      </c>
      <c r="E8" s="33">
        <f>C30*'E Balans VL '!I18/100/3.6*1000000</f>
        <v>137.29733018988867</v>
      </c>
      <c r="F8" s="33">
        <f>C30*'E Balans VL '!L18/100/3.6*1000000+C30*'E Balans VL '!N18/100/3.6*1000000</f>
        <v>1225.9583183691691</v>
      </c>
      <c r="G8" s="34"/>
      <c r="H8" s="33"/>
      <c r="I8" s="33"/>
      <c r="J8" s="40">
        <f>C30*'E Balans VL '!D18/100/3.6*1000000+C30*'E Balans VL '!E18/100/3.6*1000000</f>
        <v>0</v>
      </c>
      <c r="K8" s="33"/>
      <c r="L8" s="33"/>
      <c r="M8" s="33"/>
      <c r="N8" s="33">
        <f>C30*'E Balans VL '!Y18/100/3.6*1000000</f>
        <v>129.7846666552216</v>
      </c>
      <c r="O8" s="33"/>
      <c r="P8" s="33"/>
      <c r="R8" s="32"/>
    </row>
    <row r="9" spans="1:18">
      <c r="A9" s="6" t="s">
        <v>33</v>
      </c>
      <c r="B9" s="37">
        <f t="shared" si="0"/>
        <v>17187.221000000001</v>
      </c>
      <c r="C9" s="33"/>
      <c r="D9" s="37">
        <f>IF( ISERROR(IND_andere_gas_kWh/1000),0,IND_andere_gas_kWh/1000)*0.902</f>
        <v>3046.8057083132217</v>
      </c>
      <c r="E9" s="33">
        <f>C31*'E Balans VL '!I19/100/3.6*1000000</f>
        <v>4652.1581418021242</v>
      </c>
      <c r="F9" s="33">
        <f>C31*'E Balans VL '!L19/100/3.6*1000000+C31*'E Balans VL '!N19/100/3.6*1000000</f>
        <v>11448.507973908861</v>
      </c>
      <c r="G9" s="34"/>
      <c r="H9" s="33"/>
      <c r="I9" s="33"/>
      <c r="J9" s="40">
        <f>C31*'E Balans VL '!D19/100/3.6*1000000+C31*'E Balans VL '!E19/100/3.6*1000000</f>
        <v>0</v>
      </c>
      <c r="K9" s="33"/>
      <c r="L9" s="33"/>
      <c r="M9" s="33"/>
      <c r="N9" s="33">
        <f>C31*'E Balans VL '!Y19/100/3.6*1000000</f>
        <v>5611.34215231689</v>
      </c>
      <c r="O9" s="33"/>
      <c r="P9" s="33"/>
      <c r="R9" s="32"/>
    </row>
    <row r="10" spans="1:18">
      <c r="A10" s="6" t="s">
        <v>41</v>
      </c>
      <c r="B10" s="37">
        <f t="shared" si="0"/>
        <v>3367.5529999999999</v>
      </c>
      <c r="C10" s="33"/>
      <c r="D10" s="37">
        <f>IF( ISERROR(IND_voed_gas_kWh/1000),0,IND_voed_gas_kWh/1000)*0.902</f>
        <v>5376.2062173910281</v>
      </c>
      <c r="E10" s="33">
        <f>C32*'E Balans VL '!I20/100/3.6*1000000</f>
        <v>274.6653594316968</v>
      </c>
      <c r="F10" s="33">
        <f>C32*'E Balans VL '!L20/100/3.6*1000000+C32*'E Balans VL '!N20/100/3.6*1000000</f>
        <v>5021.3270541791962</v>
      </c>
      <c r="G10" s="34"/>
      <c r="H10" s="33"/>
      <c r="I10" s="33"/>
      <c r="J10" s="40">
        <f>C32*'E Balans VL '!D20/100/3.6*1000000+C32*'E Balans VL '!E20/100/3.6*1000000</f>
        <v>4.4548638529020225E-2</v>
      </c>
      <c r="K10" s="33"/>
      <c r="L10" s="33"/>
      <c r="M10" s="33"/>
      <c r="N10" s="33">
        <f>C32*'E Balans VL '!Y20/100/3.6*1000000</f>
        <v>989.26824326761346</v>
      </c>
      <c r="O10" s="33"/>
      <c r="P10" s="33"/>
      <c r="R10" s="32"/>
    </row>
    <row r="11" spans="1:18">
      <c r="A11" s="6" t="s">
        <v>40</v>
      </c>
      <c r="B11" s="37">
        <f t="shared" si="0"/>
        <v>192.26499999999999</v>
      </c>
      <c r="C11" s="33"/>
      <c r="D11" s="37">
        <f>IF( ISERROR(IND_textiel_gas_kWh/1000),0,IND_textiel_gas_kWh/1000)*0.902</f>
        <v>0</v>
      </c>
      <c r="E11" s="33">
        <f>C33*'E Balans VL '!I21/100/3.6*1000000</f>
        <v>3.8110856686094458E-2</v>
      </c>
      <c r="F11" s="33">
        <f>C33*'E Balans VL '!L21/100/3.6*1000000+C33*'E Balans VL '!N21/100/3.6*1000000</f>
        <v>7.0813519184630156</v>
      </c>
      <c r="G11" s="34"/>
      <c r="H11" s="33"/>
      <c r="I11" s="33"/>
      <c r="J11" s="40">
        <f>C33*'E Balans VL '!D21/100/3.6*1000000+C33*'E Balans VL '!E21/100/3.6*1000000</f>
        <v>0</v>
      </c>
      <c r="K11" s="33"/>
      <c r="L11" s="33"/>
      <c r="M11" s="33"/>
      <c r="N11" s="33">
        <f>C33*'E Balans VL '!Y21/100/3.6*1000000</f>
        <v>0.89398371426835122</v>
      </c>
      <c r="O11" s="33"/>
      <c r="P11" s="33"/>
      <c r="R11" s="32"/>
    </row>
    <row r="12" spans="1:18">
      <c r="A12" s="6" t="s">
        <v>37</v>
      </c>
      <c r="B12" s="37">
        <f t="shared" si="0"/>
        <v>527.83699999999999</v>
      </c>
      <c r="C12" s="33"/>
      <c r="D12" s="37">
        <f>IF( ISERROR(IND_min_gas_kWh/1000),0,IND_min_gas_kWh/1000)*0.902</f>
        <v>0</v>
      </c>
      <c r="E12" s="33">
        <f>C34*'E Balans VL '!I22/100/3.6*1000000</f>
        <v>4.1117352192131964</v>
      </c>
      <c r="F12" s="33">
        <f>C34*'E Balans VL '!L22/100/3.6*1000000+C34*'E Balans VL '!N22/100/3.6*1000000</f>
        <v>199.06767982566421</v>
      </c>
      <c r="G12" s="34"/>
      <c r="H12" s="33"/>
      <c r="I12" s="33"/>
      <c r="J12" s="40">
        <f>C34*'E Balans VL '!D22/100/3.6*1000000+C34*'E Balans VL '!E22/100/3.6*1000000</f>
        <v>2.9030573496658811</v>
      </c>
      <c r="K12" s="33"/>
      <c r="L12" s="33"/>
      <c r="M12" s="33"/>
      <c r="N12" s="33">
        <f>C34*'E Balans VL '!Y22/100/3.6*1000000</f>
        <v>0</v>
      </c>
      <c r="O12" s="33"/>
      <c r="P12" s="33"/>
      <c r="R12" s="32"/>
    </row>
    <row r="13" spans="1:18">
      <c r="A13" s="6" t="s">
        <v>39</v>
      </c>
      <c r="B13" s="37">
        <f t="shared" si="0"/>
        <v>1532.5650000000001</v>
      </c>
      <c r="C13" s="33"/>
      <c r="D13" s="37">
        <f>IF( ISERROR(IND_papier_gas_kWh/1000),0,IND_papier_gas_kWh/1000)*0.902</f>
        <v>769.58570522083016</v>
      </c>
      <c r="E13" s="33">
        <f>C35*'E Balans VL '!I23/100/3.6*1000000</f>
        <v>16.0564103676945</v>
      </c>
      <c r="F13" s="33">
        <f>C35*'E Balans VL '!L23/100/3.6*1000000+C35*'E Balans VL '!N23/100/3.6*1000000</f>
        <v>114.36027194106659</v>
      </c>
      <c r="G13" s="34"/>
      <c r="H13" s="33"/>
      <c r="I13" s="33"/>
      <c r="J13" s="40">
        <f>C35*'E Balans VL '!D23/100/3.6*1000000+C35*'E Balans VL '!E23/100/3.6*1000000</f>
        <v>0</v>
      </c>
      <c r="K13" s="33"/>
      <c r="L13" s="33"/>
      <c r="M13" s="33"/>
      <c r="N13" s="33">
        <f>C35*'E Balans VL '!Y23/100/3.6*1000000</f>
        <v>3275.6977232256477</v>
      </c>
      <c r="O13" s="33"/>
      <c r="P13" s="33"/>
      <c r="R13" s="32"/>
    </row>
    <row r="14" spans="1:18">
      <c r="A14" s="6" t="s">
        <v>34</v>
      </c>
      <c r="B14" s="37">
        <f t="shared" si="0"/>
        <v>8.58</v>
      </c>
      <c r="C14" s="33"/>
      <c r="D14" s="37">
        <f>IF( ISERROR(IND_chemie_gas_kWh/1000),0,IND_chemie_gas_kWh/1000)*0.902</f>
        <v>0</v>
      </c>
      <c r="E14" s="33">
        <f>C36*'E Balans VL '!I24/100/3.6*1000000</f>
        <v>4.0559674843360149E-2</v>
      </c>
      <c r="F14" s="33">
        <f>C36*'E Balans VL '!L24/100/3.6*1000000+C36*'E Balans VL '!N24/100/3.6*1000000</f>
        <v>0.16215739459015374</v>
      </c>
      <c r="G14" s="34"/>
      <c r="H14" s="33"/>
      <c r="I14" s="33"/>
      <c r="J14" s="40">
        <f>C36*'E Balans VL '!D24/100/3.6*1000000+C36*'E Balans VL '!E24/100/3.6*1000000</f>
        <v>0</v>
      </c>
      <c r="K14" s="33"/>
      <c r="L14" s="33"/>
      <c r="M14" s="33"/>
      <c r="N14" s="33">
        <f>C36*'E Balans VL '!Y24/100/3.6*1000000</f>
        <v>0.20829337359268255</v>
      </c>
      <c r="O14" s="33"/>
      <c r="P14" s="33"/>
      <c r="R14" s="32"/>
    </row>
    <row r="15" spans="1:18">
      <c r="A15" s="6" t="s">
        <v>270</v>
      </c>
      <c r="B15" s="37">
        <f t="shared" si="0"/>
        <v>32.713000000000001</v>
      </c>
      <c r="C15" s="33"/>
      <c r="D15" s="37">
        <f>IF( ISERROR(IND_rest_gas_kWh/1000),0,IND_rest_gas_kWh/1000)*0.902</f>
        <v>10117.234362436278</v>
      </c>
      <c r="E15" s="33">
        <f>C37*'E Balans VL '!I15/100/3.6*1000000</f>
        <v>1.8249982447292536</v>
      </c>
      <c r="F15" s="33">
        <f>C37*'E Balans VL '!L15/100/3.6*1000000+C37*'E Balans VL '!N15/100/3.6*1000000</f>
        <v>7.6901597072426222</v>
      </c>
      <c r="G15" s="34"/>
      <c r="H15" s="33"/>
      <c r="I15" s="33"/>
      <c r="J15" s="40">
        <f>C37*'E Balans VL '!D15/100/3.6*1000000+C37*'E Balans VL '!E15/100/3.6*1000000</f>
        <v>8.3845476197190891E-2</v>
      </c>
      <c r="K15" s="33"/>
      <c r="L15" s="33"/>
      <c r="M15" s="33"/>
      <c r="N15" s="33">
        <f>C37*'E Balans VL '!Y15/100/3.6*1000000</f>
        <v>6.4200285487380508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27628.656999999999</v>
      </c>
      <c r="C18" s="21">
        <f>C5+C16</f>
        <v>0</v>
      </c>
      <c r="D18" s="21">
        <f>MAX((D5+D16),0)</f>
        <v>19309.83199336136</v>
      </c>
      <c r="E18" s="21">
        <f>MAX((E5+E16),0)</f>
        <v>5086.1926457868758</v>
      </c>
      <c r="F18" s="21">
        <f>MAX((F5+F16),0)</f>
        <v>18024.154967244252</v>
      </c>
      <c r="G18" s="21"/>
      <c r="H18" s="21"/>
      <c r="I18" s="21"/>
      <c r="J18" s="21">
        <f>MAX((J5+J16),0)</f>
        <v>3.031451464392092</v>
      </c>
      <c r="K18" s="21"/>
      <c r="L18" s="21">
        <f>MAX((L5+L16),0)</f>
        <v>0</v>
      </c>
      <c r="M18" s="21"/>
      <c r="N18" s="21">
        <f>MAX((N5+N16),0)</f>
        <v>10013.615091101972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0.19596679304870432</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5414.2993085326361</v>
      </c>
      <c r="C22" s="23">
        <f ca="1">C18*C20</f>
        <v>0</v>
      </c>
      <c r="D22" s="23">
        <f>D18*D20</f>
        <v>3900.5860626589952</v>
      </c>
      <c r="E22" s="23">
        <f>E18*E20</f>
        <v>1154.5657305936209</v>
      </c>
      <c r="F22" s="23">
        <f>F18*F20</f>
        <v>4812.4493762542161</v>
      </c>
      <c r="G22" s="23"/>
      <c r="H22" s="23"/>
      <c r="I22" s="23"/>
      <c r="J22" s="23">
        <f>J18*J20</f>
        <v>1.0731338183948005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4779.9229999999998</v>
      </c>
      <c r="C30" s="39">
        <f>IF(ISERROR(B30*3.6/1000000/'E Balans VL '!Z18*100),0,B30*3.6/1000000/'E Balans VL '!Z18*100)</f>
        <v>0.47033222135638303</v>
      </c>
      <c r="D30" s="239" t="s">
        <v>692</v>
      </c>
    </row>
    <row r="31" spans="1:18">
      <c r="A31" s="6" t="s">
        <v>33</v>
      </c>
      <c r="B31" s="37">
        <f>IF( ISERROR(IND_ander_ele_kWh/1000),0,IND_ander_ele_kWh/1000)</f>
        <v>17187.221000000001</v>
      </c>
      <c r="C31" s="39">
        <f>IF(ISERROR(B31*3.6/1000000/'E Balans VL '!Z19*100),0,B31*3.6/1000000/'E Balans VL '!Z19*100)</f>
        <v>0.74848976443886184</v>
      </c>
      <c r="D31" s="239" t="s">
        <v>692</v>
      </c>
    </row>
    <row r="32" spans="1:18">
      <c r="A32" s="173" t="s">
        <v>41</v>
      </c>
      <c r="B32" s="37">
        <f>IF( ISERROR(IND_voed_ele_kWh/1000),0,IND_voed_ele_kWh/1000)</f>
        <v>3367.5529999999999</v>
      </c>
      <c r="C32" s="39">
        <f>IF(ISERROR(B32*3.6/1000000/'E Balans VL '!Z20*100),0,B32*3.6/1000000/'E Balans VL '!Z20*100)</f>
        <v>0.63894461635245614</v>
      </c>
      <c r="D32" s="239" t="s">
        <v>692</v>
      </c>
    </row>
    <row r="33" spans="1:5">
      <c r="A33" s="173" t="s">
        <v>40</v>
      </c>
      <c r="B33" s="37">
        <f>IF( ISERROR(IND_textiel_ele_kWh/1000),0,IND_textiel_ele_kWh/1000)</f>
        <v>192.26499999999999</v>
      </c>
      <c r="C33" s="39">
        <f>IF(ISERROR(B33*3.6/1000000/'E Balans VL '!Z21*100),0,B33*3.6/1000000/'E Balans VL '!Z21*100)</f>
        <v>1.0977356475087198E-2</v>
      </c>
      <c r="D33" s="239" t="s">
        <v>692</v>
      </c>
    </row>
    <row r="34" spans="1:5">
      <c r="A34" s="173" t="s">
        <v>37</v>
      </c>
      <c r="B34" s="37">
        <f>IF( ISERROR(IND_min_ele_kWh/1000),0,IND_min_ele_kWh/1000)</f>
        <v>527.83699999999999</v>
      </c>
      <c r="C34" s="39">
        <f>IF(ISERROR(B34*3.6/1000000/'E Balans VL '!Z22*100),0,B34*3.6/1000000/'E Balans VL '!Z22*100)</f>
        <v>7.421918257394329E-2</v>
      </c>
      <c r="D34" s="239" t="s">
        <v>692</v>
      </c>
    </row>
    <row r="35" spans="1:5">
      <c r="A35" s="173" t="s">
        <v>39</v>
      </c>
      <c r="B35" s="37">
        <f>IF( ISERROR(IND_papier_ele_kWh/1000),0,IND_papier_ele_kWh/1000)</f>
        <v>1532.5650000000001</v>
      </c>
      <c r="C35" s="39">
        <f>IF(ISERROR(B35*3.6/1000000/'E Balans VL '!Z22*100),0,B35*3.6/1000000/'E Balans VL '!Z22*100)</f>
        <v>0.21549402853804378</v>
      </c>
      <c r="D35" s="239" t="s">
        <v>692</v>
      </c>
    </row>
    <row r="36" spans="1:5">
      <c r="A36" s="173" t="s">
        <v>34</v>
      </c>
      <c r="B36" s="37">
        <f>IF( ISERROR(IND_chemie_ele_kWh/1000),0,IND_chemie_ele_kWh/1000)</f>
        <v>8.58</v>
      </c>
      <c r="C36" s="39">
        <f>IF(ISERROR(B36*3.6/1000000/'E Balans VL '!Z24*100),0,B36*3.6/1000000/'E Balans VL '!Z24*100)</f>
        <v>2.5004655340607891E-4</v>
      </c>
      <c r="D36" s="239" t="s">
        <v>692</v>
      </c>
    </row>
    <row r="37" spans="1:5">
      <c r="A37" s="173" t="s">
        <v>270</v>
      </c>
      <c r="B37" s="37">
        <f>IF( ISERROR(IND_rest_ele_kWh/1000),0,IND_rest_ele_kWh/1000)</f>
        <v>32.713000000000001</v>
      </c>
      <c r="C37" s="39">
        <f>IF(ISERROR(B37*3.6/1000000/'E Balans VL '!Z15*100),0,B37*3.6/1000000/'E Balans VL '!Z15*100)</f>
        <v>2.5209384484621333E-4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1269.8399999999999</v>
      </c>
      <c r="C5" s="17">
        <f>'Eigen informatie GS &amp; warmtenet'!B60</f>
        <v>0</v>
      </c>
      <c r="D5" s="30">
        <f>IF(ISERROR(SUM(LB_lb_gas_kWh,LB_rest_gas_kWh)/1000),0,SUM(LB_lb_gas_kWh,LB_rest_gas_kWh)/1000)*0.902</f>
        <v>30830.430721190398</v>
      </c>
      <c r="E5" s="17">
        <f>B17*'E Balans VL '!I25/3.6*1000000/100</f>
        <v>16.00161988652939</v>
      </c>
      <c r="F5" s="17">
        <f>B17*('E Balans VL '!L25/3.6*1000000+'E Balans VL '!N25/3.6*1000000)/100</f>
        <v>4381.2661139280863</v>
      </c>
      <c r="G5" s="18"/>
      <c r="H5" s="17"/>
      <c r="I5" s="17"/>
      <c r="J5" s="17">
        <f>('E Balans VL '!D25+'E Balans VL '!E25)/3.6*1000000*landbouw!B17/100</f>
        <v>190.96950096833967</v>
      </c>
      <c r="K5" s="17"/>
      <c r="L5" s="17">
        <f>L6*(-1)</f>
        <v>0</v>
      </c>
      <c r="M5" s="17"/>
      <c r="N5" s="17">
        <f>N6*(-1)</f>
        <v>0</v>
      </c>
      <c r="O5" s="17"/>
      <c r="P5" s="17"/>
      <c r="R5" s="32"/>
    </row>
    <row r="6" spans="1:18">
      <c r="A6" s="16" t="s">
        <v>497</v>
      </c>
      <c r="B6" s="17" t="s">
        <v>211</v>
      </c>
      <c r="C6" s="17">
        <f>'lokale energieproductie'!O92+'lokale energieproductie'!O61</f>
        <v>20250</v>
      </c>
      <c r="D6" s="312">
        <f>('lokale energieproductie'!P61+'lokale energieproductie'!P92)*(-1)</f>
        <v>-40500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1269.8399999999999</v>
      </c>
      <c r="C8" s="21">
        <f>C5+C6</f>
        <v>20250</v>
      </c>
      <c r="D8" s="21">
        <f>MAX((D5+D6),0)</f>
        <v>0</v>
      </c>
      <c r="E8" s="21">
        <f>MAX((E5+E6),0)</f>
        <v>16.00161988652939</v>
      </c>
      <c r="F8" s="21">
        <f>MAX((F5+F6),0)</f>
        <v>4381.2661139280863</v>
      </c>
      <c r="G8" s="21"/>
      <c r="H8" s="21"/>
      <c r="I8" s="21"/>
      <c r="J8" s="21">
        <f>MAX((J5+J6),0)</f>
        <v>190.96950096833967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0.19596679304870432</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248.84647248496668</v>
      </c>
      <c r="C12" s="23">
        <f ca="1">C8*C10</f>
        <v>4812.3529411764703</v>
      </c>
      <c r="D12" s="23">
        <f>D8*D10</f>
        <v>0</v>
      </c>
      <c r="E12" s="23">
        <f>E8*E10</f>
        <v>3.6323677142421715</v>
      </c>
      <c r="F12" s="23">
        <f>F8*F10</f>
        <v>1169.798052418799</v>
      </c>
      <c r="G12" s="23"/>
      <c r="H12" s="23"/>
      <c r="I12" s="23"/>
      <c r="J12" s="23">
        <f>J8*J10</f>
        <v>67.603203342792241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0.17710265696638902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143.31048105463435</v>
      </c>
      <c r="C26" s="249">
        <f>B26*'GWP N2O_CH4'!B5</f>
        <v>3009.5201021473213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69.869371014148527</v>
      </c>
      <c r="C27" s="249">
        <f>B27*'GWP N2O_CH4'!B5</f>
        <v>1467.256791297119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2.425695436733414</v>
      </c>
      <c r="C28" s="249">
        <f>B28*'GWP N2O_CH4'!B4</f>
        <v>751.96558538735837</v>
      </c>
      <c r="D28" s="50"/>
    </row>
    <row r="29" spans="1:4">
      <c r="A29" s="41" t="s">
        <v>277</v>
      </c>
      <c r="B29" s="249">
        <f>B34*'ha_N2O bodem landbouw'!B4</f>
        <v>15.094085610489289</v>
      </c>
      <c r="C29" s="249">
        <f>B29*'GWP N2O_CH4'!B4</f>
        <v>4679.1665392516798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3.768842352626217E-3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3.2553092600093105E-5</v>
      </c>
      <c r="C5" s="448" t="s">
        <v>211</v>
      </c>
      <c r="D5" s="433">
        <f>SUM(D6:D11)</f>
        <v>5.0404317261419685E-5</v>
      </c>
      <c r="E5" s="433">
        <f>SUM(E6:E11)</f>
        <v>1.6443728165510662E-3</v>
      </c>
      <c r="F5" s="446" t="s">
        <v>211</v>
      </c>
      <c r="G5" s="433">
        <f>SUM(G6:G11)</f>
        <v>0.4008066639995011</v>
      </c>
      <c r="H5" s="433">
        <f>SUM(H6:H11)</f>
        <v>7.6494087593159565E-2</v>
      </c>
      <c r="I5" s="448" t="s">
        <v>211</v>
      </c>
      <c r="J5" s="448" t="s">
        <v>211</v>
      </c>
      <c r="K5" s="448" t="s">
        <v>211</v>
      </c>
      <c r="L5" s="448" t="s">
        <v>211</v>
      </c>
      <c r="M5" s="433">
        <f>SUM(M6:M11)</f>
        <v>2.1579316328068247E-2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2.1882858762183186E-5</v>
      </c>
      <c r="C6" s="887"/>
      <c r="D6" s="887">
        <f>vkm_2011_GW_PW*SUMIFS(TableVerdeelsleutelVkm[CNG],TableVerdeelsleutelVkm[Voertuigtype],"Lichte voertuigen")*SUMIFS(TableECFTransport[EnergieConsumptieFactor (PJ per km)],TableECFTransport[Index],CONCATENATE($A6,"_CNG_CNG"))</f>
        <v>3.0990407870213935E-5</v>
      </c>
      <c r="E6" s="887">
        <f>vkm_2011_GW_PW*SUMIFS(TableVerdeelsleutelVkm[LPG],TableVerdeelsleutelVkm[Voertuigtype],"Lichte voertuigen")*SUMIFS(TableECFTransport[EnergieConsumptieFactor (PJ per km)],TableECFTransport[Index],CONCATENATE($A6,"_LPG_LPG"))</f>
        <v>9.7330668808727971E-4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0.17492986297120627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4.6873864374210247E-2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1.0035109348933034E-2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7.1605166148573665E-2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2.5440573218837414E-5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3.2313145335648324E-3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3.4816313153199934E-6</v>
      </c>
      <c r="C8" s="887"/>
      <c r="D8" s="436">
        <f>vkm_2011_NGW_PW*SUMIFS(TableVerdeelsleutelVkm[CNG],TableVerdeelsleutelVkm[Voertuigtype],"Lichte voertuigen")*SUMIFS(TableECFTransport[EnergieConsumptieFactor (PJ per km)],TableECFTransport[Index],CONCATENATE($A8,"_CNG_CNG"))</f>
        <v>8.7840742498895984E-6</v>
      </c>
      <c r="E8" s="436">
        <f>vkm_2011_NGW_PW*SUMIFS(TableVerdeelsleutelVkm[LPG],TableVerdeelsleutelVkm[Voertuigtype],"Lichte voertuigen")*SUMIFS(TableECFTransport[EnergieConsumptieFactor (PJ per km)],TableECFTransport[Index],CONCATENATE($A8,"_LPG_LPG"))</f>
        <v>2.5410351715080177E-4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4.3073010198001957E-2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1.2819837107922425E-2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2.5294035155634786E-3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5.7271175423634513E-3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1.9254991621643254E-6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2.5844169106233815E-4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7.1886025225899268E-6</v>
      </c>
      <c r="C10" s="887"/>
      <c r="D10" s="436">
        <f>vkm_2011_SW_PW*SUMIFS(TableVerdeelsleutelVkm[CNG],TableVerdeelsleutelVkm[Voertuigtype],"Lichte voertuigen")*SUMIFS(TableECFTransport[EnergieConsumptieFactor (PJ per km)],TableECFTransport[Index],CONCATENATE($A10,"_CNG_CNG"))</f>
        <v>1.0629835141316153E-5</v>
      </c>
      <c r="E10" s="436">
        <f>vkm_2011_SW_PW*SUMIFS(TableVerdeelsleutelVkm[LPG],TableVerdeelsleutelVkm[Voertuigtype],"Lichte voertuigen")*SUMIFS(TableECFTransport[EnergieConsumptieFactor (PJ per km)],TableECFTransport[Index],CONCATENATE($A10,"_LPG_LPG"))</f>
        <v>4.1696261131298471E-4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6.786925517222725E-2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1.675861296363871E-2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3.828128705214606E-3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3.7602251967128512E-2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1.4407075007183612E-5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1.6969185337299591E-3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9.0425257222480848</v>
      </c>
      <c r="C14" s="21"/>
      <c r="D14" s="21">
        <f t="shared" ref="D14:M14" si="0">((D5)*10^9/3600)+D12</f>
        <v>14.001199239283247</v>
      </c>
      <c r="E14" s="21">
        <f t="shared" si="0"/>
        <v>456.77022681974063</v>
      </c>
      <c r="F14" s="21"/>
      <c r="G14" s="21">
        <f t="shared" si="0"/>
        <v>111335.18444430587</v>
      </c>
      <c r="H14" s="21">
        <f t="shared" si="0"/>
        <v>21248.357664766547</v>
      </c>
      <c r="I14" s="21"/>
      <c r="J14" s="21"/>
      <c r="K14" s="21"/>
      <c r="L14" s="21"/>
      <c r="M14" s="21">
        <f t="shared" si="0"/>
        <v>5994.2545355745133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0.19596679304870432</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1.7720347668493759</v>
      </c>
      <c r="C18" s="23"/>
      <c r="D18" s="23">
        <f t="shared" ref="D18:M18" si="1">D14*D16</f>
        <v>2.8282422463352161</v>
      </c>
      <c r="E18" s="23">
        <f t="shared" si="1"/>
        <v>103.68684148808113</v>
      </c>
      <c r="F18" s="23"/>
      <c r="G18" s="23">
        <f t="shared" si="1"/>
        <v>29726.494246629667</v>
      </c>
      <c r="H18" s="23">
        <f t="shared" si="1"/>
        <v>5290.8410585268703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1.1087153079601059E-2</v>
      </c>
      <c r="H50" s="323">
        <f t="shared" si="2"/>
        <v>0</v>
      </c>
      <c r="I50" s="323">
        <f t="shared" si="2"/>
        <v>0</v>
      </c>
      <c r="J50" s="323">
        <f t="shared" si="2"/>
        <v>0</v>
      </c>
      <c r="K50" s="323">
        <f t="shared" si="2"/>
        <v>0</v>
      </c>
      <c r="L50" s="323">
        <f t="shared" si="2"/>
        <v>0</v>
      </c>
      <c r="M50" s="323">
        <f t="shared" si="2"/>
        <v>4.9307281569916609E-4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1.1087153079601059E-2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4.9307281569916609E-4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3079.7647443336273</v>
      </c>
      <c r="H54" s="21">
        <f t="shared" si="3"/>
        <v>0</v>
      </c>
      <c r="I54" s="21">
        <f t="shared" si="3"/>
        <v>0</v>
      </c>
      <c r="J54" s="21">
        <f t="shared" si="3"/>
        <v>0</v>
      </c>
      <c r="K54" s="21">
        <f t="shared" si="3"/>
        <v>0</v>
      </c>
      <c r="L54" s="21">
        <f t="shared" si="3"/>
        <v>0</v>
      </c>
      <c r="M54" s="21">
        <f t="shared" si="3"/>
        <v>136.96467102754613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0.19596679304870432</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822.2971867370785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48420.072000000015</v>
      </c>
      <c r="D10" s="690">
        <f ca="1">tertiair!C16</f>
        <v>35.357142857142861</v>
      </c>
      <c r="E10" s="690">
        <f ca="1">tertiair!D16</f>
        <v>50264.584559518938</v>
      </c>
      <c r="F10" s="690">
        <f>tertiair!E16</f>
        <v>597.13041905784803</v>
      </c>
      <c r="G10" s="690">
        <f ca="1">tertiair!F16</f>
        <v>8865.2529447264642</v>
      </c>
      <c r="H10" s="690">
        <f>tertiair!G16</f>
        <v>0</v>
      </c>
      <c r="I10" s="690">
        <f>tertiair!H16</f>
        <v>0</v>
      </c>
      <c r="J10" s="690">
        <f>tertiair!I16</f>
        <v>0</v>
      </c>
      <c r="K10" s="690">
        <f>tertiair!J16</f>
        <v>0</v>
      </c>
      <c r="L10" s="690">
        <f>tertiair!K16</f>
        <v>0</v>
      </c>
      <c r="M10" s="690">
        <f ca="1">tertiair!L16</f>
        <v>0</v>
      </c>
      <c r="N10" s="690">
        <f>tertiair!M16</f>
        <v>0</v>
      </c>
      <c r="O10" s="690">
        <f ca="1">tertiair!N16</f>
        <v>2305.3376155495407</v>
      </c>
      <c r="P10" s="690">
        <f>tertiair!O16</f>
        <v>1.5633333333333335</v>
      </c>
      <c r="Q10" s="691">
        <f>tertiair!P16</f>
        <v>0</v>
      </c>
      <c r="R10" s="693">
        <f ca="1">SUM(C10:Q10)</f>
        <v>110489.2980150433</v>
      </c>
      <c r="S10" s="67"/>
    </row>
    <row r="11" spans="1:19" s="458" customFormat="1">
      <c r="A11" s="805" t="s">
        <v>225</v>
      </c>
      <c r="B11" s="810"/>
      <c r="C11" s="690">
        <f>huishoudens!B8</f>
        <v>41976.707999999999</v>
      </c>
      <c r="D11" s="690">
        <f>huishoudens!C8</f>
        <v>0</v>
      </c>
      <c r="E11" s="690">
        <f>huishoudens!D8</f>
        <v>77583.609212531825</v>
      </c>
      <c r="F11" s="690">
        <f>huishoudens!E8</f>
        <v>5022.6917904090851</v>
      </c>
      <c r="G11" s="690">
        <f>huishoudens!F8</f>
        <v>79881.251747361195</v>
      </c>
      <c r="H11" s="690">
        <f>huishoudens!G8</f>
        <v>0</v>
      </c>
      <c r="I11" s="690">
        <f>huishoudens!H8</f>
        <v>0</v>
      </c>
      <c r="J11" s="690">
        <f>huishoudens!I8</f>
        <v>0</v>
      </c>
      <c r="K11" s="690">
        <f>huishoudens!J8</f>
        <v>0</v>
      </c>
      <c r="L11" s="690">
        <f>huishoudens!K8</f>
        <v>0</v>
      </c>
      <c r="M11" s="690">
        <f>huishoudens!L8</f>
        <v>0</v>
      </c>
      <c r="N11" s="690">
        <f>huishoudens!M8</f>
        <v>0</v>
      </c>
      <c r="O11" s="690">
        <f>huishoudens!N8</f>
        <v>11519.350005379991</v>
      </c>
      <c r="P11" s="690">
        <f>huishoudens!O8</f>
        <v>220.43000000000004</v>
      </c>
      <c r="Q11" s="691">
        <f>huishoudens!P8</f>
        <v>591.06666666666661</v>
      </c>
      <c r="R11" s="693">
        <f>SUM(C11:Q11)</f>
        <v>216795.10742234878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27628.656999999999</v>
      </c>
      <c r="D13" s="690">
        <f>industrie!C18</f>
        <v>0</v>
      </c>
      <c r="E13" s="690">
        <f>industrie!D18</f>
        <v>19309.83199336136</v>
      </c>
      <c r="F13" s="690">
        <f>industrie!E18</f>
        <v>5086.1926457868758</v>
      </c>
      <c r="G13" s="690">
        <f>industrie!F18</f>
        <v>18024.154967244252</v>
      </c>
      <c r="H13" s="690">
        <f>industrie!G18</f>
        <v>0</v>
      </c>
      <c r="I13" s="690">
        <f>industrie!H18</f>
        <v>0</v>
      </c>
      <c r="J13" s="690">
        <f>industrie!I18</f>
        <v>0</v>
      </c>
      <c r="K13" s="690">
        <f>industrie!J18</f>
        <v>3.031451464392092</v>
      </c>
      <c r="L13" s="690">
        <f>industrie!K18</f>
        <v>0</v>
      </c>
      <c r="M13" s="690">
        <f>industrie!L18</f>
        <v>0</v>
      </c>
      <c r="N13" s="690">
        <f>industrie!M18</f>
        <v>0</v>
      </c>
      <c r="O13" s="690">
        <f>industrie!N18</f>
        <v>10013.615091101972</v>
      </c>
      <c r="P13" s="690">
        <f>industrie!O18</f>
        <v>0</v>
      </c>
      <c r="Q13" s="691">
        <f>industrie!P18</f>
        <v>0</v>
      </c>
      <c r="R13" s="693">
        <f>SUM(C13:Q13)</f>
        <v>80065.483148958854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118025.43700000001</v>
      </c>
      <c r="D16" s="725">
        <f t="shared" ref="D16:R16" ca="1" si="0">SUM(D9:D15)</f>
        <v>35.357142857142861</v>
      </c>
      <c r="E16" s="725">
        <f t="shared" ca="1" si="0"/>
        <v>147158.02576541211</v>
      </c>
      <c r="F16" s="725">
        <f t="shared" si="0"/>
        <v>10706.014855253808</v>
      </c>
      <c r="G16" s="725">
        <f t="shared" ca="1" si="0"/>
        <v>106770.65965933191</v>
      </c>
      <c r="H16" s="725">
        <f t="shared" si="0"/>
        <v>0</v>
      </c>
      <c r="I16" s="725">
        <f t="shared" si="0"/>
        <v>0</v>
      </c>
      <c r="J16" s="725">
        <f t="shared" si="0"/>
        <v>0</v>
      </c>
      <c r="K16" s="725">
        <f t="shared" si="0"/>
        <v>3.031451464392092</v>
      </c>
      <c r="L16" s="725">
        <f t="shared" si="0"/>
        <v>0</v>
      </c>
      <c r="M16" s="725">
        <f t="shared" ca="1" si="0"/>
        <v>0</v>
      </c>
      <c r="N16" s="725">
        <f t="shared" si="0"/>
        <v>0</v>
      </c>
      <c r="O16" s="725">
        <f t="shared" ca="1" si="0"/>
        <v>23838.302712031502</v>
      </c>
      <c r="P16" s="725">
        <f t="shared" si="0"/>
        <v>221.99333333333337</v>
      </c>
      <c r="Q16" s="725">
        <f t="shared" si="0"/>
        <v>591.06666666666661</v>
      </c>
      <c r="R16" s="725">
        <f t="shared" ca="1" si="0"/>
        <v>407349.88858635095</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3079.7647443336273</v>
      </c>
      <c r="I19" s="690">
        <f>transport!H54</f>
        <v>0</v>
      </c>
      <c r="J19" s="690">
        <f>transport!I54</f>
        <v>0</v>
      </c>
      <c r="K19" s="690">
        <f>transport!J54</f>
        <v>0</v>
      </c>
      <c r="L19" s="690">
        <f>transport!K54</f>
        <v>0</v>
      </c>
      <c r="M19" s="690">
        <f>transport!L54</f>
        <v>0</v>
      </c>
      <c r="N19" s="690">
        <f>transport!M54</f>
        <v>136.96467102754613</v>
      </c>
      <c r="O19" s="690">
        <f>transport!N54</f>
        <v>0</v>
      </c>
      <c r="P19" s="690">
        <f>transport!O54</f>
        <v>0</v>
      </c>
      <c r="Q19" s="691">
        <f>transport!P54</f>
        <v>0</v>
      </c>
      <c r="R19" s="693">
        <f>SUM(C19:Q19)</f>
        <v>3216.7294153611733</v>
      </c>
      <c r="S19" s="67"/>
    </row>
    <row r="20" spans="1:19" s="458" customFormat="1">
      <c r="A20" s="805" t="s">
        <v>307</v>
      </c>
      <c r="B20" s="810"/>
      <c r="C20" s="690">
        <f>transport!B14</f>
        <v>9.0425257222480848</v>
      </c>
      <c r="D20" s="690">
        <f>transport!C14</f>
        <v>0</v>
      </c>
      <c r="E20" s="690">
        <f>transport!D14</f>
        <v>14.001199239283247</v>
      </c>
      <c r="F20" s="690">
        <f>transport!E14</f>
        <v>456.77022681974063</v>
      </c>
      <c r="G20" s="690">
        <f>transport!F14</f>
        <v>0</v>
      </c>
      <c r="H20" s="690">
        <f>transport!G14</f>
        <v>111335.18444430587</v>
      </c>
      <c r="I20" s="690">
        <f>transport!H14</f>
        <v>21248.357664766547</v>
      </c>
      <c r="J20" s="690">
        <f>transport!I14</f>
        <v>0</v>
      </c>
      <c r="K20" s="690">
        <f>transport!J14</f>
        <v>0</v>
      </c>
      <c r="L20" s="690">
        <f>transport!K14</f>
        <v>0</v>
      </c>
      <c r="M20" s="690">
        <f>transport!L14</f>
        <v>0</v>
      </c>
      <c r="N20" s="690">
        <f>transport!M14</f>
        <v>5994.2545355745133</v>
      </c>
      <c r="O20" s="690">
        <f>transport!N14</f>
        <v>0</v>
      </c>
      <c r="P20" s="690">
        <f>transport!O14</f>
        <v>0</v>
      </c>
      <c r="Q20" s="691">
        <f>transport!P14</f>
        <v>0</v>
      </c>
      <c r="R20" s="693">
        <f>SUM(C20:Q20)</f>
        <v>139057.61059642822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9.0425257222480848</v>
      </c>
      <c r="D22" s="808">
        <f t="shared" ref="D22:R22" si="1">SUM(D18:D21)</f>
        <v>0</v>
      </c>
      <c r="E22" s="808">
        <f t="shared" si="1"/>
        <v>14.001199239283247</v>
      </c>
      <c r="F22" s="808">
        <f t="shared" si="1"/>
        <v>456.77022681974063</v>
      </c>
      <c r="G22" s="808">
        <f t="shared" si="1"/>
        <v>0</v>
      </c>
      <c r="H22" s="808">
        <f t="shared" si="1"/>
        <v>114414.9491886395</v>
      </c>
      <c r="I22" s="808">
        <f t="shared" si="1"/>
        <v>21248.357664766547</v>
      </c>
      <c r="J22" s="808">
        <f t="shared" si="1"/>
        <v>0</v>
      </c>
      <c r="K22" s="808">
        <f t="shared" si="1"/>
        <v>0</v>
      </c>
      <c r="L22" s="808">
        <f t="shared" si="1"/>
        <v>0</v>
      </c>
      <c r="M22" s="808">
        <f t="shared" si="1"/>
        <v>0</v>
      </c>
      <c r="N22" s="808">
        <f t="shared" si="1"/>
        <v>6131.2192066020598</v>
      </c>
      <c r="O22" s="808">
        <f t="shared" si="1"/>
        <v>0</v>
      </c>
      <c r="P22" s="808">
        <f t="shared" si="1"/>
        <v>0</v>
      </c>
      <c r="Q22" s="808">
        <f t="shared" si="1"/>
        <v>0</v>
      </c>
      <c r="R22" s="808">
        <f t="shared" si="1"/>
        <v>142274.34001178941</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1269.8399999999999</v>
      </c>
      <c r="D24" s="690">
        <f>+landbouw!C8</f>
        <v>20250</v>
      </c>
      <c r="E24" s="690">
        <f>+landbouw!D8</f>
        <v>0</v>
      </c>
      <c r="F24" s="690">
        <f>+landbouw!E8</f>
        <v>16.00161988652939</v>
      </c>
      <c r="G24" s="690">
        <f>+landbouw!F8</f>
        <v>4381.2661139280863</v>
      </c>
      <c r="H24" s="690">
        <f>+landbouw!G8</f>
        <v>0</v>
      </c>
      <c r="I24" s="690">
        <f>+landbouw!H8</f>
        <v>0</v>
      </c>
      <c r="J24" s="690">
        <f>+landbouw!I8</f>
        <v>0</v>
      </c>
      <c r="K24" s="690">
        <f>+landbouw!J8</f>
        <v>190.96950096833967</v>
      </c>
      <c r="L24" s="690">
        <f>+landbouw!K8</f>
        <v>0</v>
      </c>
      <c r="M24" s="690">
        <f>+landbouw!L8</f>
        <v>0</v>
      </c>
      <c r="N24" s="690">
        <f>+landbouw!M8</f>
        <v>0</v>
      </c>
      <c r="O24" s="690">
        <f>+landbouw!N8</f>
        <v>0</v>
      </c>
      <c r="P24" s="690">
        <f>+landbouw!O8</f>
        <v>0</v>
      </c>
      <c r="Q24" s="691">
        <f>+landbouw!P8</f>
        <v>0</v>
      </c>
      <c r="R24" s="693">
        <f>SUM(C24:Q24)</f>
        <v>26108.077234782955</v>
      </c>
      <c r="S24" s="67"/>
    </row>
    <row r="25" spans="1:19" s="458" customFormat="1" ht="15" thickBot="1">
      <c r="A25" s="827" t="s">
        <v>872</v>
      </c>
      <c r="B25" s="1004"/>
      <c r="C25" s="1005">
        <f>IF(Onbekend_ele_kWh="---",0,Onbekend_ele_kWh)/1000+IF(REST_rest_ele_kWh="---",0,REST_rest_ele_kWh)/1000</f>
        <v>1802.5530000000001</v>
      </c>
      <c r="D25" s="1005"/>
      <c r="E25" s="1005">
        <f>IF(onbekend_gas_kWh="---",0,onbekend_gas_kWh)/1000+IF(REST_rest_gas_kWh="---",0,REST_rest_gas_kWh)/1000</f>
        <v>9220.4726454401898</v>
      </c>
      <c r="F25" s="1005"/>
      <c r="G25" s="1005"/>
      <c r="H25" s="1005"/>
      <c r="I25" s="1005"/>
      <c r="J25" s="1005"/>
      <c r="K25" s="1005"/>
      <c r="L25" s="1005"/>
      <c r="M25" s="1005"/>
      <c r="N25" s="1005"/>
      <c r="O25" s="1005"/>
      <c r="P25" s="1005"/>
      <c r="Q25" s="1006"/>
      <c r="R25" s="693">
        <f>SUM(C25:Q25)</f>
        <v>11023.02564544019</v>
      </c>
      <c r="S25" s="67"/>
    </row>
    <row r="26" spans="1:19" s="458" customFormat="1" ht="15.75" thickBot="1">
      <c r="A26" s="698" t="s">
        <v>873</v>
      </c>
      <c r="B26" s="813"/>
      <c r="C26" s="808">
        <f>SUM(C24:C25)</f>
        <v>3072.393</v>
      </c>
      <c r="D26" s="808">
        <f t="shared" ref="D26:R26" si="2">SUM(D24:D25)</f>
        <v>20250</v>
      </c>
      <c r="E26" s="808">
        <f t="shared" si="2"/>
        <v>9220.4726454401898</v>
      </c>
      <c r="F26" s="808">
        <f t="shared" si="2"/>
        <v>16.00161988652939</v>
      </c>
      <c r="G26" s="808">
        <f t="shared" si="2"/>
        <v>4381.2661139280863</v>
      </c>
      <c r="H26" s="808">
        <f t="shared" si="2"/>
        <v>0</v>
      </c>
      <c r="I26" s="808">
        <f t="shared" si="2"/>
        <v>0</v>
      </c>
      <c r="J26" s="808">
        <f t="shared" si="2"/>
        <v>0</v>
      </c>
      <c r="K26" s="808">
        <f t="shared" si="2"/>
        <v>190.96950096833967</v>
      </c>
      <c r="L26" s="808">
        <f t="shared" si="2"/>
        <v>0</v>
      </c>
      <c r="M26" s="808">
        <f t="shared" si="2"/>
        <v>0</v>
      </c>
      <c r="N26" s="808">
        <f t="shared" si="2"/>
        <v>0</v>
      </c>
      <c r="O26" s="808">
        <f t="shared" si="2"/>
        <v>0</v>
      </c>
      <c r="P26" s="808">
        <f t="shared" si="2"/>
        <v>0</v>
      </c>
      <c r="Q26" s="808">
        <f t="shared" si="2"/>
        <v>0</v>
      </c>
      <c r="R26" s="808">
        <f t="shared" si="2"/>
        <v>37131.102880223145</v>
      </c>
      <c r="S26" s="67"/>
    </row>
    <row r="27" spans="1:19" s="458" customFormat="1" ht="17.25" thickTop="1" thickBot="1">
      <c r="A27" s="699" t="s">
        <v>116</v>
      </c>
      <c r="B27" s="800"/>
      <c r="C27" s="700">
        <f ca="1">C22+C16+C26</f>
        <v>121106.87252572225</v>
      </c>
      <c r="D27" s="700">
        <f t="shared" ref="D27:R27" ca="1" si="3">D22+D16+D26</f>
        <v>20285.357142857141</v>
      </c>
      <c r="E27" s="700">
        <f t="shared" ca="1" si="3"/>
        <v>156392.49961009159</v>
      </c>
      <c r="F27" s="700">
        <f t="shared" si="3"/>
        <v>11178.786701960078</v>
      </c>
      <c r="G27" s="700">
        <f t="shared" ca="1" si="3"/>
        <v>111151.92577325999</v>
      </c>
      <c r="H27" s="700">
        <f t="shared" si="3"/>
        <v>114414.9491886395</v>
      </c>
      <c r="I27" s="700">
        <f t="shared" si="3"/>
        <v>21248.357664766547</v>
      </c>
      <c r="J27" s="700">
        <f t="shared" si="3"/>
        <v>0</v>
      </c>
      <c r="K27" s="700">
        <f t="shared" si="3"/>
        <v>194.00095243273176</v>
      </c>
      <c r="L27" s="700">
        <f t="shared" si="3"/>
        <v>0</v>
      </c>
      <c r="M27" s="700">
        <f t="shared" ca="1" si="3"/>
        <v>0</v>
      </c>
      <c r="N27" s="700">
        <f t="shared" si="3"/>
        <v>6131.2192066020598</v>
      </c>
      <c r="O27" s="700">
        <f t="shared" ca="1" si="3"/>
        <v>23838.302712031502</v>
      </c>
      <c r="P27" s="700">
        <f t="shared" si="3"/>
        <v>221.99333333333337</v>
      </c>
      <c r="Q27" s="700">
        <f t="shared" si="3"/>
        <v>591.06666666666661</v>
      </c>
      <c r="R27" s="700">
        <f t="shared" ca="1" si="3"/>
        <v>586755.3314783636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9488.7262290273666</v>
      </c>
      <c r="D40" s="690">
        <f ca="1">tertiair!C20</f>
        <v>8.4025210084033617</v>
      </c>
      <c r="E40" s="690">
        <f ca="1">tertiair!D20</f>
        <v>10153.446081022827</v>
      </c>
      <c r="F40" s="690">
        <f>tertiair!E20</f>
        <v>135.54860512613152</v>
      </c>
      <c r="G40" s="690">
        <f ca="1">tertiair!F20</f>
        <v>2367.022536241966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22153.145972426697</v>
      </c>
    </row>
    <row r="41" spans="1:18">
      <c r="A41" s="818" t="s">
        <v>225</v>
      </c>
      <c r="B41" s="825"/>
      <c r="C41" s="690">
        <f ca="1">huishoudens!B12</f>
        <v>8226.040849501891</v>
      </c>
      <c r="D41" s="690">
        <f ca="1">huishoudens!C12</f>
        <v>0</v>
      </c>
      <c r="E41" s="690">
        <f>huishoudens!D12</f>
        <v>15671.889060931429</v>
      </c>
      <c r="F41" s="690">
        <f>huishoudens!E12</f>
        <v>1140.1510364228623</v>
      </c>
      <c r="G41" s="690">
        <f>huishoudens!F12</f>
        <v>21328.294216545441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46366.375163401623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5414.2993085326361</v>
      </c>
      <c r="D43" s="690">
        <f ca="1">industrie!C22</f>
        <v>0</v>
      </c>
      <c r="E43" s="690">
        <f>industrie!D22</f>
        <v>3900.5860626589952</v>
      </c>
      <c r="F43" s="690">
        <f>industrie!E22</f>
        <v>1154.5657305936209</v>
      </c>
      <c r="G43" s="690">
        <f>industrie!F22</f>
        <v>4812.4493762542161</v>
      </c>
      <c r="H43" s="690">
        <f>industrie!G22</f>
        <v>0</v>
      </c>
      <c r="I43" s="690">
        <f>industrie!H22</f>
        <v>0</v>
      </c>
      <c r="J43" s="690">
        <f>industrie!I22</f>
        <v>0</v>
      </c>
      <c r="K43" s="690">
        <f>industrie!J22</f>
        <v>1.0731338183948005</v>
      </c>
      <c r="L43" s="690">
        <f>industrie!K22</f>
        <v>0</v>
      </c>
      <c r="M43" s="690">
        <f>industrie!L22</f>
        <v>0</v>
      </c>
      <c r="N43" s="690">
        <f>industrie!M22</f>
        <v>0</v>
      </c>
      <c r="O43" s="690">
        <f>industrie!N22</f>
        <v>0</v>
      </c>
      <c r="P43" s="690">
        <f>industrie!O22</f>
        <v>0</v>
      </c>
      <c r="Q43" s="767">
        <f>industrie!P22</f>
        <v>0</v>
      </c>
      <c r="R43" s="845">
        <f t="shared" ca="1" si="4"/>
        <v>15282.973611857862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23129.066387061896</v>
      </c>
      <c r="D46" s="725">
        <f t="shared" ref="D46:Q46" ca="1" si="5">SUM(D39:D45)</f>
        <v>8.4025210084033617</v>
      </c>
      <c r="E46" s="725">
        <f t="shared" ca="1" si="5"/>
        <v>29725.921204613252</v>
      </c>
      <c r="F46" s="725">
        <f t="shared" si="5"/>
        <v>2430.265372142615</v>
      </c>
      <c r="G46" s="725">
        <f t="shared" ca="1" si="5"/>
        <v>28507.766129041622</v>
      </c>
      <c r="H46" s="725">
        <f t="shared" si="5"/>
        <v>0</v>
      </c>
      <c r="I46" s="725">
        <f t="shared" si="5"/>
        <v>0</v>
      </c>
      <c r="J46" s="725">
        <f t="shared" si="5"/>
        <v>0</v>
      </c>
      <c r="K46" s="725">
        <f t="shared" si="5"/>
        <v>1.0731338183948005</v>
      </c>
      <c r="L46" s="725">
        <f t="shared" si="5"/>
        <v>0</v>
      </c>
      <c r="M46" s="725">
        <f t="shared" ca="1" si="5"/>
        <v>0</v>
      </c>
      <c r="N46" s="725">
        <f t="shared" si="5"/>
        <v>0</v>
      </c>
      <c r="O46" s="725">
        <f t="shared" ca="1" si="5"/>
        <v>0</v>
      </c>
      <c r="P46" s="725">
        <f t="shared" si="5"/>
        <v>0</v>
      </c>
      <c r="Q46" s="725">
        <f t="shared" si="5"/>
        <v>0</v>
      </c>
      <c r="R46" s="725">
        <f ca="1">SUM(R39:R45)</f>
        <v>83802.494747686171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822.2971867370785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822.2971867370785</v>
      </c>
    </row>
    <row r="50" spans="1:18">
      <c r="A50" s="821" t="s">
        <v>307</v>
      </c>
      <c r="B50" s="831"/>
      <c r="C50" s="696">
        <f ca="1">transport!B18</f>
        <v>1.7720347668493759</v>
      </c>
      <c r="D50" s="696">
        <f>transport!C18</f>
        <v>0</v>
      </c>
      <c r="E50" s="696">
        <f>transport!D18</f>
        <v>2.8282422463352161</v>
      </c>
      <c r="F50" s="696">
        <f>transport!E18</f>
        <v>103.68684148808113</v>
      </c>
      <c r="G50" s="696">
        <f>transport!F18</f>
        <v>0</v>
      </c>
      <c r="H50" s="696">
        <f>transport!G18</f>
        <v>29726.494246629667</v>
      </c>
      <c r="I50" s="696">
        <f>transport!H18</f>
        <v>5290.8410585268703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35125.622423657805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1.7720347668493759</v>
      </c>
      <c r="D52" s="725">
        <f t="shared" ref="D52:Q52" ca="1" si="6">SUM(D48:D51)</f>
        <v>0</v>
      </c>
      <c r="E52" s="725">
        <f t="shared" si="6"/>
        <v>2.8282422463352161</v>
      </c>
      <c r="F52" s="725">
        <f t="shared" si="6"/>
        <v>103.68684148808113</v>
      </c>
      <c r="G52" s="725">
        <f t="shared" si="6"/>
        <v>0</v>
      </c>
      <c r="H52" s="725">
        <f t="shared" si="6"/>
        <v>30548.791433366747</v>
      </c>
      <c r="I52" s="725">
        <f t="shared" si="6"/>
        <v>5290.8410585268703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35947.919610394885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248.84647248496668</v>
      </c>
      <c r="D54" s="696">
        <f ca="1">+landbouw!C12</f>
        <v>4812.3529411764703</v>
      </c>
      <c r="E54" s="696">
        <f>+landbouw!D12</f>
        <v>0</v>
      </c>
      <c r="F54" s="696">
        <f>+landbouw!E12</f>
        <v>3.6323677142421715</v>
      </c>
      <c r="G54" s="696">
        <f>+landbouw!F12</f>
        <v>1169.798052418799</v>
      </c>
      <c r="H54" s="696">
        <f>+landbouw!G12</f>
        <v>0</v>
      </c>
      <c r="I54" s="696">
        <f>+landbouw!H12</f>
        <v>0</v>
      </c>
      <c r="J54" s="696">
        <f>+landbouw!I12</f>
        <v>0</v>
      </c>
      <c r="K54" s="696">
        <f>+landbouw!J12</f>
        <v>67.603203342792241</v>
      </c>
      <c r="L54" s="696">
        <f>+landbouw!K12</f>
        <v>0</v>
      </c>
      <c r="M54" s="696">
        <f>+landbouw!L12</f>
        <v>0</v>
      </c>
      <c r="N54" s="696">
        <f>+landbouw!M12</f>
        <v>0</v>
      </c>
      <c r="O54" s="696">
        <f>+landbouw!N12</f>
        <v>0</v>
      </c>
      <c r="P54" s="696">
        <f>+landbouw!O12</f>
        <v>0</v>
      </c>
      <c r="Q54" s="697">
        <f>+landbouw!P12</f>
        <v>0</v>
      </c>
      <c r="R54" s="724">
        <f ca="1">SUM(C54:Q54)</f>
        <v>6302.2330371372691</v>
      </c>
    </row>
    <row r="55" spans="1:18" ht="15" thickBot="1">
      <c r="A55" s="821" t="s">
        <v>872</v>
      </c>
      <c r="B55" s="831"/>
      <c r="C55" s="696">
        <f ca="1">C25*'EF ele_warmte'!B12</f>
        <v>353.24053071032114</v>
      </c>
      <c r="D55" s="696"/>
      <c r="E55" s="696">
        <f>E25*EF_CO2_aardgas</f>
        <v>1862.5354743789185</v>
      </c>
      <c r="F55" s="696"/>
      <c r="G55" s="696"/>
      <c r="H55" s="696"/>
      <c r="I55" s="696"/>
      <c r="J55" s="696"/>
      <c r="K55" s="696"/>
      <c r="L55" s="696"/>
      <c r="M55" s="696"/>
      <c r="N55" s="696"/>
      <c r="O55" s="696"/>
      <c r="P55" s="696"/>
      <c r="Q55" s="697"/>
      <c r="R55" s="724">
        <f ca="1">SUM(C55:Q55)</f>
        <v>2215.7760050892398</v>
      </c>
    </row>
    <row r="56" spans="1:18" ht="15.75" thickBot="1">
      <c r="A56" s="819" t="s">
        <v>873</v>
      </c>
      <c r="B56" s="832"/>
      <c r="C56" s="725">
        <f ca="1">SUM(C54:C55)</f>
        <v>602.08700319528782</v>
      </c>
      <c r="D56" s="725">
        <f t="shared" ref="D56:Q56" ca="1" si="7">SUM(D54:D55)</f>
        <v>4812.3529411764703</v>
      </c>
      <c r="E56" s="725">
        <f t="shared" si="7"/>
        <v>1862.5354743789185</v>
      </c>
      <c r="F56" s="725">
        <f t="shared" si="7"/>
        <v>3.6323677142421715</v>
      </c>
      <c r="G56" s="725">
        <f t="shared" si="7"/>
        <v>1169.798052418799</v>
      </c>
      <c r="H56" s="725">
        <f t="shared" si="7"/>
        <v>0</v>
      </c>
      <c r="I56" s="725">
        <f t="shared" si="7"/>
        <v>0</v>
      </c>
      <c r="J56" s="725">
        <f t="shared" si="7"/>
        <v>0</v>
      </c>
      <c r="K56" s="725">
        <f t="shared" si="7"/>
        <v>67.603203342792241</v>
      </c>
      <c r="L56" s="725">
        <f t="shared" si="7"/>
        <v>0</v>
      </c>
      <c r="M56" s="725">
        <f t="shared" si="7"/>
        <v>0</v>
      </c>
      <c r="N56" s="725">
        <f t="shared" si="7"/>
        <v>0</v>
      </c>
      <c r="O56" s="725">
        <f t="shared" si="7"/>
        <v>0</v>
      </c>
      <c r="P56" s="725">
        <f t="shared" si="7"/>
        <v>0</v>
      </c>
      <c r="Q56" s="726">
        <f t="shared" si="7"/>
        <v>0</v>
      </c>
      <c r="R56" s="727">
        <f ca="1">SUM(R54:R55)</f>
        <v>8518.0090422265093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23732.925425024034</v>
      </c>
      <c r="D61" s="733">
        <f t="shared" ref="D61:Q61" ca="1" si="8">D46+D52+D56</f>
        <v>4820.755462184874</v>
      </c>
      <c r="E61" s="733">
        <f t="shared" ca="1" si="8"/>
        <v>31591.284921238504</v>
      </c>
      <c r="F61" s="733">
        <f t="shared" si="8"/>
        <v>2537.5845813449382</v>
      </c>
      <c r="G61" s="733">
        <f t="shared" ca="1" si="8"/>
        <v>29677.564181460421</v>
      </c>
      <c r="H61" s="733">
        <f t="shared" si="8"/>
        <v>30548.791433366747</v>
      </c>
      <c r="I61" s="733">
        <f t="shared" si="8"/>
        <v>5290.8410585268703</v>
      </c>
      <c r="J61" s="733">
        <f t="shared" si="8"/>
        <v>0</v>
      </c>
      <c r="K61" s="733">
        <f t="shared" si="8"/>
        <v>68.676337161187035</v>
      </c>
      <c r="L61" s="733">
        <f t="shared" si="8"/>
        <v>0</v>
      </c>
      <c r="M61" s="733">
        <f t="shared" ca="1" si="8"/>
        <v>0</v>
      </c>
      <c r="N61" s="733">
        <f t="shared" si="8"/>
        <v>0</v>
      </c>
      <c r="O61" s="733">
        <f t="shared" ca="1" si="8"/>
        <v>0</v>
      </c>
      <c r="P61" s="733">
        <f t="shared" si="8"/>
        <v>0</v>
      </c>
      <c r="Q61" s="733">
        <f t="shared" si="8"/>
        <v>0</v>
      </c>
      <c r="R61" s="733">
        <f ca="1">R46+R52+R56</f>
        <v>128268.42340030757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0.19596679304870437</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16929.421890000001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12058.009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14199.75</v>
      </c>
      <c r="D76" s="1021">
        <f>'lokale energieproductie'!C8</f>
        <v>16705.588235294115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3374.5288235294115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28987.430890000003</v>
      </c>
      <c r="C78" s="748">
        <f>SUM(C72:C77)</f>
        <v>14199.75</v>
      </c>
      <c r="D78" s="749">
        <f t="shared" ref="D78:H78" si="10">SUM(D76:D77)</f>
        <v>16705.588235294115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3374.5288235294115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20285.357142857141</v>
      </c>
      <c r="D87" s="770">
        <f>'lokale energieproductie'!C17</f>
        <v>23865.126050420164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4820.7554621848731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20285.357142857141</v>
      </c>
      <c r="D90" s="748">
        <f t="shared" ref="D90:H90" si="12">SUM(D87:D89)</f>
        <v>23865.126050420164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4820.7554621848731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16929.421890000001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12058.009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14199.75</v>
      </c>
      <c r="C8" s="560">
        <f>B101</f>
        <v>16705.588235294115</v>
      </c>
      <c r="D8" s="1028"/>
      <c r="E8" s="1028">
        <f>E101</f>
        <v>0</v>
      </c>
      <c r="F8" s="1029"/>
      <c r="G8" s="561"/>
      <c r="H8" s="1028">
        <f>I101</f>
        <v>0</v>
      </c>
      <c r="I8" s="1028">
        <f>G101+F101</f>
        <v>0</v>
      </c>
      <c r="J8" s="1028">
        <f>H101+D101+C101</f>
        <v>0</v>
      </c>
      <c r="K8" s="1028"/>
      <c r="L8" s="1028"/>
      <c r="M8" s="1028"/>
      <c r="N8" s="562"/>
      <c r="O8" s="563">
        <f>C8*$C$12+D8*$D$12+E8*$E$12+F8*$F$12+G8*$G$12+H8*$H$12+I8*$I$12+J8*$J$12</f>
        <v>3374.5288235294115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43187.180890000003</v>
      </c>
      <c r="C10" s="573">
        <f t="shared" ref="C10:L10" si="0">SUM(C8:C9)</f>
        <v>16705.588235294115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3374.5288235294115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20285.357142857141</v>
      </c>
      <c r="C17" s="585">
        <f>B102</f>
        <v>23865.126050420164</v>
      </c>
      <c r="D17" s="586"/>
      <c r="E17" s="586">
        <f>E102</f>
        <v>0</v>
      </c>
      <c r="F17" s="1034"/>
      <c r="G17" s="587"/>
      <c r="H17" s="585">
        <f>I102</f>
        <v>0</v>
      </c>
      <c r="I17" s="586">
        <f>G102+F102</f>
        <v>0</v>
      </c>
      <c r="J17" s="586">
        <f>H102+D102+C102</f>
        <v>0</v>
      </c>
      <c r="K17" s="586"/>
      <c r="L17" s="586"/>
      <c r="M17" s="586"/>
      <c r="N17" s="1035"/>
      <c r="O17" s="588">
        <f>C17*$C$22+E17*$E$22+H17*$H$22+I17*$I$22+J17*$J$22+D17*$D$22+F17*$F$22+G17*$G$22+K17*$K$22+L17*$L$22</f>
        <v>4820.7554621848731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20285.357142857141</v>
      </c>
      <c r="C20" s="572">
        <f>SUM(C17:C19)</f>
        <v>23865.126050420164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4820.7554621848731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24020</v>
      </c>
      <c r="C28" s="791">
        <v>3290</v>
      </c>
      <c r="D28" s="644" t="s">
        <v>910</v>
      </c>
      <c r="E28" s="643" t="s">
        <v>911</v>
      </c>
      <c r="F28" s="643" t="s">
        <v>912</v>
      </c>
      <c r="G28" s="643" t="s">
        <v>913</v>
      </c>
      <c r="H28" s="643" t="s">
        <v>914</v>
      </c>
      <c r="I28" s="643" t="s">
        <v>915</v>
      </c>
      <c r="J28" s="790">
        <v>37839</v>
      </c>
      <c r="K28" s="790">
        <v>38687</v>
      </c>
      <c r="L28" s="643" t="s">
        <v>916</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25.5">
      <c r="A29" s="596"/>
      <c r="B29" s="791">
        <v>24020</v>
      </c>
      <c r="C29" s="791">
        <v>3294</v>
      </c>
      <c r="D29" s="644" t="s">
        <v>917</v>
      </c>
      <c r="E29" s="643" t="s">
        <v>918</v>
      </c>
      <c r="F29" s="643" t="s">
        <v>919</v>
      </c>
      <c r="G29" s="643" t="s">
        <v>913</v>
      </c>
      <c r="H29" s="643" t="s">
        <v>914</v>
      </c>
      <c r="I29" s="643" t="s">
        <v>918</v>
      </c>
      <c r="J29" s="790">
        <v>40165</v>
      </c>
      <c r="K29" s="790">
        <v>39211</v>
      </c>
      <c r="L29" s="643" t="s">
        <v>916</v>
      </c>
      <c r="M29" s="643">
        <v>3150</v>
      </c>
      <c r="N29" s="643">
        <v>14175</v>
      </c>
      <c r="O29" s="643">
        <v>20250</v>
      </c>
      <c r="P29" s="643">
        <v>40500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3155.5</v>
      </c>
      <c r="N58" s="601">
        <f>SUM(N28:N57)</f>
        <v>14199.75</v>
      </c>
      <c r="O58" s="601">
        <f t="shared" ref="O58:W58" si="2">SUM(O28:O57)</f>
        <v>20285.357142857141</v>
      </c>
      <c r="P58" s="601">
        <f t="shared" si="2"/>
        <v>40570.714285714283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3150</v>
      </c>
      <c r="N61" s="606">
        <f t="shared" si="4"/>
        <v>14175</v>
      </c>
      <c r="O61" s="606">
        <f t="shared" si="4"/>
        <v>20250</v>
      </c>
      <c r="P61" s="606">
        <f t="shared" si="4"/>
        <v>40500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16705.588235294115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23865.126050420164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41976.707999999999</v>
      </c>
      <c r="C4" s="462">
        <f>huishoudens!C8</f>
        <v>0</v>
      </c>
      <c r="D4" s="462">
        <f>huishoudens!D8</f>
        <v>77583.609212531825</v>
      </c>
      <c r="E4" s="462">
        <f>huishoudens!E8</f>
        <v>5022.6917904090851</v>
      </c>
      <c r="F4" s="462">
        <f>huishoudens!F8</f>
        <v>79881.251747361195</v>
      </c>
      <c r="G4" s="462">
        <f>huishoudens!G8</f>
        <v>0</v>
      </c>
      <c r="H4" s="462">
        <f>huishoudens!H8</f>
        <v>0</v>
      </c>
      <c r="I4" s="462">
        <f>huishoudens!I8</f>
        <v>0</v>
      </c>
      <c r="J4" s="462">
        <f>huishoudens!J8</f>
        <v>0</v>
      </c>
      <c r="K4" s="462">
        <f>huishoudens!K8</f>
        <v>0</v>
      </c>
      <c r="L4" s="462">
        <f>huishoudens!L8</f>
        <v>0</v>
      </c>
      <c r="M4" s="462">
        <f>huishoudens!M8</f>
        <v>0</v>
      </c>
      <c r="N4" s="462">
        <f>huishoudens!N8</f>
        <v>11519.350005379991</v>
      </c>
      <c r="O4" s="462">
        <f>huishoudens!O8</f>
        <v>220.43000000000004</v>
      </c>
      <c r="P4" s="463">
        <f>huishoudens!P8</f>
        <v>591.06666666666661</v>
      </c>
      <c r="Q4" s="464">
        <f>SUM(B4:P4)</f>
        <v>216795.10742234878</v>
      </c>
    </row>
    <row r="5" spans="1:17">
      <c r="A5" s="461" t="s">
        <v>156</v>
      </c>
      <c r="B5" s="462">
        <f ca="1">tertiair!B16</f>
        <v>46410.041000000012</v>
      </c>
      <c r="C5" s="462">
        <f ca="1">tertiair!C16</f>
        <v>35.357142857142861</v>
      </c>
      <c r="D5" s="462">
        <f ca="1">tertiair!D16</f>
        <v>50264.584559518938</v>
      </c>
      <c r="E5" s="462">
        <f>tertiair!E16</f>
        <v>597.13041905784803</v>
      </c>
      <c r="F5" s="462">
        <f ca="1">tertiair!F16</f>
        <v>8865.2529447264642</v>
      </c>
      <c r="G5" s="462">
        <f>tertiair!G16</f>
        <v>0</v>
      </c>
      <c r="H5" s="462">
        <f>tertiair!H16</f>
        <v>0</v>
      </c>
      <c r="I5" s="462">
        <f>tertiair!I16</f>
        <v>0</v>
      </c>
      <c r="J5" s="462">
        <f>tertiair!J16</f>
        <v>0</v>
      </c>
      <c r="K5" s="462">
        <f>tertiair!K16</f>
        <v>0</v>
      </c>
      <c r="L5" s="462">
        <f ca="1">tertiair!L16</f>
        <v>0</v>
      </c>
      <c r="M5" s="462">
        <f>tertiair!M16</f>
        <v>0</v>
      </c>
      <c r="N5" s="462">
        <f ca="1">tertiair!N16</f>
        <v>2305.3376155495407</v>
      </c>
      <c r="O5" s="462">
        <f>tertiair!O16</f>
        <v>1.5633333333333335</v>
      </c>
      <c r="P5" s="463">
        <f>tertiair!P16</f>
        <v>0</v>
      </c>
      <c r="Q5" s="461">
        <f t="shared" ref="Q5:Q14" ca="1" si="0">SUM(B5:P5)</f>
        <v>108479.26701504328</v>
      </c>
    </row>
    <row r="6" spans="1:17">
      <c r="A6" s="461" t="s">
        <v>194</v>
      </c>
      <c r="B6" s="462">
        <f>'openbare verlichting'!B8</f>
        <v>2010.0309999999999</v>
      </c>
      <c r="C6" s="462"/>
      <c r="D6" s="462"/>
      <c r="E6" s="462"/>
      <c r="F6" s="462"/>
      <c r="G6" s="462"/>
      <c r="H6" s="462"/>
      <c r="I6" s="462"/>
      <c r="J6" s="462"/>
      <c r="K6" s="462"/>
      <c r="L6" s="462"/>
      <c r="M6" s="462"/>
      <c r="N6" s="462"/>
      <c r="O6" s="462"/>
      <c r="P6" s="463"/>
      <c r="Q6" s="461">
        <f t="shared" si="0"/>
        <v>2010.0309999999999</v>
      </c>
    </row>
    <row r="7" spans="1:17">
      <c r="A7" s="461" t="s">
        <v>112</v>
      </c>
      <c r="B7" s="462">
        <f>landbouw!B8</f>
        <v>1269.8399999999999</v>
      </c>
      <c r="C7" s="462">
        <f>landbouw!C8</f>
        <v>20250</v>
      </c>
      <c r="D7" s="462">
        <f>landbouw!D8</f>
        <v>0</v>
      </c>
      <c r="E7" s="462">
        <f>landbouw!E8</f>
        <v>16.00161988652939</v>
      </c>
      <c r="F7" s="462">
        <f>landbouw!F8</f>
        <v>4381.2661139280863</v>
      </c>
      <c r="G7" s="462">
        <f>landbouw!G8</f>
        <v>0</v>
      </c>
      <c r="H7" s="462">
        <f>landbouw!H8</f>
        <v>0</v>
      </c>
      <c r="I7" s="462">
        <f>landbouw!I8</f>
        <v>0</v>
      </c>
      <c r="J7" s="462">
        <f>landbouw!J8</f>
        <v>190.96950096833967</v>
      </c>
      <c r="K7" s="462">
        <f>landbouw!K8</f>
        <v>0</v>
      </c>
      <c r="L7" s="462">
        <f>landbouw!L8</f>
        <v>0</v>
      </c>
      <c r="M7" s="462">
        <f>landbouw!M8</f>
        <v>0</v>
      </c>
      <c r="N7" s="462">
        <f>landbouw!N8</f>
        <v>0</v>
      </c>
      <c r="O7" s="462">
        <f>landbouw!O8</f>
        <v>0</v>
      </c>
      <c r="P7" s="463">
        <f>landbouw!P8</f>
        <v>0</v>
      </c>
      <c r="Q7" s="461">
        <f t="shared" si="0"/>
        <v>26108.077234782955</v>
      </c>
    </row>
    <row r="8" spans="1:17">
      <c r="A8" s="461" t="s">
        <v>657</v>
      </c>
      <c r="B8" s="462">
        <f>industrie!B18</f>
        <v>27628.656999999999</v>
      </c>
      <c r="C8" s="462">
        <f>industrie!C18</f>
        <v>0</v>
      </c>
      <c r="D8" s="462">
        <f>industrie!D18</f>
        <v>19309.83199336136</v>
      </c>
      <c r="E8" s="462">
        <f>industrie!E18</f>
        <v>5086.1926457868758</v>
      </c>
      <c r="F8" s="462">
        <f>industrie!F18</f>
        <v>18024.154967244252</v>
      </c>
      <c r="G8" s="462">
        <f>industrie!G18</f>
        <v>0</v>
      </c>
      <c r="H8" s="462">
        <f>industrie!H18</f>
        <v>0</v>
      </c>
      <c r="I8" s="462">
        <f>industrie!I18</f>
        <v>0</v>
      </c>
      <c r="J8" s="462">
        <f>industrie!J18</f>
        <v>3.031451464392092</v>
      </c>
      <c r="K8" s="462">
        <f>industrie!K18</f>
        <v>0</v>
      </c>
      <c r="L8" s="462">
        <f>industrie!L18</f>
        <v>0</v>
      </c>
      <c r="M8" s="462">
        <f>industrie!M18</f>
        <v>0</v>
      </c>
      <c r="N8" s="462">
        <f>industrie!N18</f>
        <v>10013.615091101972</v>
      </c>
      <c r="O8" s="462">
        <f>industrie!O18</f>
        <v>0</v>
      </c>
      <c r="P8" s="463">
        <f>industrie!P18</f>
        <v>0</v>
      </c>
      <c r="Q8" s="461">
        <f t="shared" si="0"/>
        <v>80065.483148958854</v>
      </c>
    </row>
    <row r="9" spans="1:17" s="467" customFormat="1">
      <c r="A9" s="465" t="s">
        <v>574</v>
      </c>
      <c r="B9" s="466">
        <f>transport!B14</f>
        <v>9.0425257222480848</v>
      </c>
      <c r="C9" s="466">
        <f>transport!C14</f>
        <v>0</v>
      </c>
      <c r="D9" s="466">
        <f>transport!D14</f>
        <v>14.001199239283247</v>
      </c>
      <c r="E9" s="466">
        <f>transport!E14</f>
        <v>456.77022681974063</v>
      </c>
      <c r="F9" s="466">
        <f>transport!F14</f>
        <v>0</v>
      </c>
      <c r="G9" s="466">
        <f>transport!G14</f>
        <v>111335.18444430587</v>
      </c>
      <c r="H9" s="466">
        <f>transport!H14</f>
        <v>21248.357664766547</v>
      </c>
      <c r="I9" s="466">
        <f>transport!I14</f>
        <v>0</v>
      </c>
      <c r="J9" s="466">
        <f>transport!J14</f>
        <v>0</v>
      </c>
      <c r="K9" s="466">
        <f>transport!K14</f>
        <v>0</v>
      </c>
      <c r="L9" s="466">
        <f>transport!L14</f>
        <v>0</v>
      </c>
      <c r="M9" s="466">
        <f>transport!M14</f>
        <v>5994.2545355745133</v>
      </c>
      <c r="N9" s="466">
        <f>transport!N14</f>
        <v>0</v>
      </c>
      <c r="O9" s="466">
        <f>transport!O14</f>
        <v>0</v>
      </c>
      <c r="P9" s="466">
        <f>transport!P14</f>
        <v>0</v>
      </c>
      <c r="Q9" s="465">
        <f>SUM(B9:P9)</f>
        <v>139057.61059642822</v>
      </c>
    </row>
    <row r="10" spans="1:17">
      <c r="A10" s="461" t="s">
        <v>564</v>
      </c>
      <c r="B10" s="462">
        <f>transport!B54</f>
        <v>0</v>
      </c>
      <c r="C10" s="462">
        <f>transport!C54</f>
        <v>0</v>
      </c>
      <c r="D10" s="462">
        <f>transport!D54</f>
        <v>0</v>
      </c>
      <c r="E10" s="462">
        <f>transport!E54</f>
        <v>0</v>
      </c>
      <c r="F10" s="462">
        <f>transport!F54</f>
        <v>0</v>
      </c>
      <c r="G10" s="462">
        <f>transport!G54</f>
        <v>3079.7647443336273</v>
      </c>
      <c r="H10" s="462">
        <f>transport!H54</f>
        <v>0</v>
      </c>
      <c r="I10" s="462">
        <f>transport!I54</f>
        <v>0</v>
      </c>
      <c r="J10" s="462">
        <f>transport!J54</f>
        <v>0</v>
      </c>
      <c r="K10" s="462">
        <f>transport!K54</f>
        <v>0</v>
      </c>
      <c r="L10" s="462">
        <f>transport!L54</f>
        <v>0</v>
      </c>
      <c r="M10" s="462">
        <f>transport!M54</f>
        <v>136.96467102754613</v>
      </c>
      <c r="N10" s="462">
        <f>transport!N54</f>
        <v>0</v>
      </c>
      <c r="O10" s="462">
        <f>transport!O54</f>
        <v>0</v>
      </c>
      <c r="P10" s="463">
        <f>transport!P54</f>
        <v>0</v>
      </c>
      <c r="Q10" s="461">
        <f t="shared" si="0"/>
        <v>3216.7294153611733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1802.5530000000001</v>
      </c>
      <c r="C14" s="469"/>
      <c r="D14" s="469">
        <f>'SEAP template'!E25</f>
        <v>9220.4726454401898</v>
      </c>
      <c r="E14" s="469"/>
      <c r="F14" s="469"/>
      <c r="G14" s="469"/>
      <c r="H14" s="469"/>
      <c r="I14" s="469"/>
      <c r="J14" s="469"/>
      <c r="K14" s="469"/>
      <c r="L14" s="469"/>
      <c r="M14" s="469"/>
      <c r="N14" s="469"/>
      <c r="O14" s="469"/>
      <c r="P14" s="470"/>
      <c r="Q14" s="461">
        <f t="shared" si="0"/>
        <v>11023.02564544019</v>
      </c>
    </row>
    <row r="15" spans="1:17" s="474" customFormat="1">
      <c r="A15" s="471" t="s">
        <v>568</v>
      </c>
      <c r="B15" s="472">
        <f ca="1">SUM(B4:B14)</f>
        <v>121106.87252572225</v>
      </c>
      <c r="C15" s="472">
        <f t="shared" ref="C15:Q15" ca="1" si="1">SUM(C4:C14)</f>
        <v>20285.357142857141</v>
      </c>
      <c r="D15" s="472">
        <f t="shared" ca="1" si="1"/>
        <v>156392.49961009159</v>
      </c>
      <c r="E15" s="472">
        <f t="shared" si="1"/>
        <v>11178.78670196008</v>
      </c>
      <c r="F15" s="472">
        <f t="shared" ca="1" si="1"/>
        <v>111151.92577325999</v>
      </c>
      <c r="G15" s="472">
        <f t="shared" si="1"/>
        <v>114414.9491886395</v>
      </c>
      <c r="H15" s="472">
        <f t="shared" si="1"/>
        <v>21248.357664766547</v>
      </c>
      <c r="I15" s="472">
        <f t="shared" si="1"/>
        <v>0</v>
      </c>
      <c r="J15" s="472">
        <f t="shared" si="1"/>
        <v>194.00095243273176</v>
      </c>
      <c r="K15" s="472">
        <f t="shared" si="1"/>
        <v>0</v>
      </c>
      <c r="L15" s="472">
        <f t="shared" ca="1" si="1"/>
        <v>0</v>
      </c>
      <c r="M15" s="472">
        <f t="shared" si="1"/>
        <v>6131.2192066020598</v>
      </c>
      <c r="N15" s="472">
        <f t="shared" ca="1" si="1"/>
        <v>23838.302712031502</v>
      </c>
      <c r="O15" s="472">
        <f t="shared" si="1"/>
        <v>221.99333333333337</v>
      </c>
      <c r="P15" s="472">
        <f t="shared" si="1"/>
        <v>591.06666666666661</v>
      </c>
      <c r="Q15" s="472">
        <f t="shared" ca="1" si="1"/>
        <v>586755.33147836349</v>
      </c>
    </row>
    <row r="17" spans="1:17">
      <c r="A17" s="475" t="s">
        <v>569</v>
      </c>
      <c r="B17" s="781">
        <f ca="1">huishoudens!B10</f>
        <v>0.19596679304870432</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8226.040849501891</v>
      </c>
      <c r="C22" s="462">
        <f t="shared" ref="C22:C32" ca="1" si="3">C4*$C$17</f>
        <v>0</v>
      </c>
      <c r="D22" s="462">
        <f t="shared" ref="D22:D32" si="4">D4*$D$17</f>
        <v>15671.889060931429</v>
      </c>
      <c r="E22" s="462">
        <f t="shared" ref="E22:E32" si="5">E4*$E$17</f>
        <v>1140.1510364228623</v>
      </c>
      <c r="F22" s="462">
        <f t="shared" ref="F22:F32" si="6">F4*$F$17</f>
        <v>21328.294216545441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46366.375163401623</v>
      </c>
    </row>
    <row r="23" spans="1:17">
      <c r="A23" s="461" t="s">
        <v>156</v>
      </c>
      <c r="B23" s="462">
        <f t="shared" ca="1" si="2"/>
        <v>9094.8269000288856</v>
      </c>
      <c r="C23" s="462">
        <f t="shared" ca="1" si="3"/>
        <v>8.4025210084033617</v>
      </c>
      <c r="D23" s="462">
        <f t="shared" ca="1" si="4"/>
        <v>10153.446081022827</v>
      </c>
      <c r="E23" s="462">
        <f t="shared" si="5"/>
        <v>135.54860512613152</v>
      </c>
      <c r="F23" s="462">
        <f t="shared" ca="1" si="6"/>
        <v>2367.022536241966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21759.246643428214</v>
      </c>
    </row>
    <row r="24" spans="1:17">
      <c r="A24" s="461" t="s">
        <v>194</v>
      </c>
      <c r="B24" s="462">
        <f t="shared" ca="1" si="2"/>
        <v>393.8993289984802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393.8993289984802</v>
      </c>
    </row>
    <row r="25" spans="1:17">
      <c r="A25" s="461" t="s">
        <v>112</v>
      </c>
      <c r="B25" s="462">
        <f t="shared" ca="1" si="2"/>
        <v>248.84647248496668</v>
      </c>
      <c r="C25" s="462">
        <f t="shared" ca="1" si="3"/>
        <v>4812.3529411764703</v>
      </c>
      <c r="D25" s="462">
        <f t="shared" si="4"/>
        <v>0</v>
      </c>
      <c r="E25" s="462">
        <f t="shared" si="5"/>
        <v>3.6323677142421715</v>
      </c>
      <c r="F25" s="462">
        <f t="shared" si="6"/>
        <v>1169.798052418799</v>
      </c>
      <c r="G25" s="462">
        <f t="shared" si="7"/>
        <v>0</v>
      </c>
      <c r="H25" s="462">
        <f t="shared" si="8"/>
        <v>0</v>
      </c>
      <c r="I25" s="462">
        <f t="shared" si="9"/>
        <v>0</v>
      </c>
      <c r="J25" s="462">
        <f t="shared" si="10"/>
        <v>67.603203342792241</v>
      </c>
      <c r="K25" s="462">
        <f t="shared" si="11"/>
        <v>0</v>
      </c>
      <c r="L25" s="462">
        <f t="shared" si="12"/>
        <v>0</v>
      </c>
      <c r="M25" s="462">
        <f t="shared" si="13"/>
        <v>0</v>
      </c>
      <c r="N25" s="462">
        <f t="shared" si="14"/>
        <v>0</v>
      </c>
      <c r="O25" s="462">
        <f t="shared" si="15"/>
        <v>0</v>
      </c>
      <c r="P25" s="463">
        <f t="shared" si="16"/>
        <v>0</v>
      </c>
      <c r="Q25" s="461">
        <f t="shared" ca="1" si="17"/>
        <v>6302.2330371372691</v>
      </c>
    </row>
    <row r="26" spans="1:17">
      <c r="A26" s="461" t="s">
        <v>657</v>
      </c>
      <c r="B26" s="462">
        <f t="shared" ca="1" si="2"/>
        <v>5414.2993085326361</v>
      </c>
      <c r="C26" s="462">
        <f t="shared" ca="1" si="3"/>
        <v>0</v>
      </c>
      <c r="D26" s="462">
        <f t="shared" si="4"/>
        <v>3900.5860626589952</v>
      </c>
      <c r="E26" s="462">
        <f t="shared" si="5"/>
        <v>1154.5657305936209</v>
      </c>
      <c r="F26" s="462">
        <f t="shared" si="6"/>
        <v>4812.4493762542161</v>
      </c>
      <c r="G26" s="462">
        <f t="shared" si="7"/>
        <v>0</v>
      </c>
      <c r="H26" s="462">
        <f t="shared" si="8"/>
        <v>0</v>
      </c>
      <c r="I26" s="462">
        <f t="shared" si="9"/>
        <v>0</v>
      </c>
      <c r="J26" s="462">
        <f t="shared" si="10"/>
        <v>1.0731338183948005</v>
      </c>
      <c r="K26" s="462">
        <f t="shared" si="11"/>
        <v>0</v>
      </c>
      <c r="L26" s="462">
        <f t="shared" si="12"/>
        <v>0</v>
      </c>
      <c r="M26" s="462">
        <f t="shared" si="13"/>
        <v>0</v>
      </c>
      <c r="N26" s="462">
        <f t="shared" si="14"/>
        <v>0</v>
      </c>
      <c r="O26" s="462">
        <f t="shared" si="15"/>
        <v>0</v>
      </c>
      <c r="P26" s="463">
        <f t="shared" si="16"/>
        <v>0</v>
      </c>
      <c r="Q26" s="461">
        <f t="shared" ca="1" si="17"/>
        <v>15282.973611857862</v>
      </c>
    </row>
    <row r="27" spans="1:17" s="467" customFormat="1">
      <c r="A27" s="465" t="s">
        <v>574</v>
      </c>
      <c r="B27" s="775">
        <f t="shared" ca="1" si="2"/>
        <v>1.7720347668493759</v>
      </c>
      <c r="C27" s="466">
        <f t="shared" ca="1" si="3"/>
        <v>0</v>
      </c>
      <c r="D27" s="466">
        <f t="shared" si="4"/>
        <v>2.8282422463352161</v>
      </c>
      <c r="E27" s="466">
        <f t="shared" si="5"/>
        <v>103.68684148808113</v>
      </c>
      <c r="F27" s="466">
        <f t="shared" si="6"/>
        <v>0</v>
      </c>
      <c r="G27" s="466">
        <f t="shared" si="7"/>
        <v>29726.494246629667</v>
      </c>
      <c r="H27" s="466">
        <f t="shared" si="8"/>
        <v>5290.8410585268703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35125.622423657805</v>
      </c>
    </row>
    <row r="28" spans="1:17">
      <c r="A28" s="461" t="s">
        <v>564</v>
      </c>
      <c r="B28" s="462">
        <f t="shared" ca="1" si="2"/>
        <v>0</v>
      </c>
      <c r="C28" s="462">
        <f t="shared" ca="1" si="3"/>
        <v>0</v>
      </c>
      <c r="D28" s="462">
        <f t="shared" si="4"/>
        <v>0</v>
      </c>
      <c r="E28" s="462">
        <f t="shared" si="5"/>
        <v>0</v>
      </c>
      <c r="F28" s="462">
        <f t="shared" si="6"/>
        <v>0</v>
      </c>
      <c r="G28" s="462">
        <f t="shared" si="7"/>
        <v>822.2971867370785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822.2971867370785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353.24053071032114</v>
      </c>
      <c r="C32" s="462">
        <f t="shared" ca="1" si="3"/>
        <v>0</v>
      </c>
      <c r="D32" s="462">
        <f t="shared" si="4"/>
        <v>1862.5354743789185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2215.7760050892398</v>
      </c>
    </row>
    <row r="33" spans="1:17" s="474" customFormat="1">
      <c r="A33" s="471" t="s">
        <v>568</v>
      </c>
      <c r="B33" s="472">
        <f ca="1">SUM(B22:B32)</f>
        <v>23732.92542502403</v>
      </c>
      <c r="C33" s="472">
        <f t="shared" ref="C33:Q33" ca="1" si="18">SUM(C22:C32)</f>
        <v>4820.755462184874</v>
      </c>
      <c r="D33" s="472">
        <f t="shared" ca="1" si="18"/>
        <v>31591.284921238504</v>
      </c>
      <c r="E33" s="472">
        <f t="shared" si="18"/>
        <v>2537.5845813449378</v>
      </c>
      <c r="F33" s="472">
        <f t="shared" ca="1" si="18"/>
        <v>29677.564181460421</v>
      </c>
      <c r="G33" s="472">
        <f t="shared" si="18"/>
        <v>30548.791433366747</v>
      </c>
      <c r="H33" s="472">
        <f t="shared" si="18"/>
        <v>5290.8410585268703</v>
      </c>
      <c r="I33" s="472">
        <f t="shared" si="18"/>
        <v>0</v>
      </c>
      <c r="J33" s="472">
        <f t="shared" si="18"/>
        <v>68.676337161187035</v>
      </c>
      <c r="K33" s="472">
        <f t="shared" si="18"/>
        <v>0</v>
      </c>
      <c r="L33" s="472">
        <f t="shared" ca="1" si="18"/>
        <v>0</v>
      </c>
      <c r="M33" s="472">
        <f t="shared" si="18"/>
        <v>0</v>
      </c>
      <c r="N33" s="472">
        <f t="shared" ca="1" si="18"/>
        <v>0</v>
      </c>
      <c r="O33" s="472">
        <f t="shared" si="18"/>
        <v>0</v>
      </c>
      <c r="P33" s="472">
        <f t="shared" si="18"/>
        <v>0</v>
      </c>
      <c r="Q33" s="472">
        <f t="shared" ca="1" si="18"/>
        <v>128268.42340030757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16929.421890000001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12058.009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14199.75</v>
      </c>
      <c r="D8" s="1047">
        <f>'SEAP template'!D76</f>
        <v>16705.588235294115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3374.5288235294115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28987.430890000003</v>
      </c>
      <c r="C10" s="1051">
        <f>SUM(C4:C9)</f>
        <v>14199.75</v>
      </c>
      <c r="D10" s="1051">
        <f t="shared" ref="D10:H10" si="0">SUM(D8:D9)</f>
        <v>16705.588235294115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3374.5288235294115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0.19596679304870432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20285.357142857141</v>
      </c>
      <c r="D17" s="1048">
        <f>'SEAP template'!D87</f>
        <v>23865.126050420164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4820.7554621848731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20285.357142857141</v>
      </c>
      <c r="D20" s="1051">
        <f t="shared" ref="D20:H20" si="2">SUM(D17:D19)</f>
        <v>23865.126050420164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4820.7554621848731</v>
      </c>
    </row>
    <row r="22" spans="1:16">
      <c r="A22" s="475" t="s">
        <v>896</v>
      </c>
      <c r="B22" s="781" t="s">
        <v>890</v>
      </c>
      <c r="C22" s="781">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0.19596679304870432</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2019-07-04T14:25:45Z</dcterms:modified>
</cp:coreProperties>
</file>